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6315-2025</t>
        </is>
      </c>
      <c r="B13" s="1" t="n">
        <v>45698</v>
      </c>
      <c r="C13" s="1" t="n">
        <v>45736</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27265-2020</t>
        </is>
      </c>
      <c r="B14" s="1" t="n">
        <v>43992</v>
      </c>
      <c r="C14" s="1" t="n">
        <v>45736</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46201-2023</t>
        </is>
      </c>
      <c r="B15" s="1" t="n">
        <v>45196</v>
      </c>
      <c r="C15" s="1" t="n">
        <v>45736</v>
      </c>
      <c r="D15" t="inlineStr">
        <is>
          <t>VÄRMLANDS LÄN</t>
        </is>
      </c>
      <c r="E15" t="inlineStr">
        <is>
          <t>EDA</t>
        </is>
      </c>
      <c r="G15" t="n">
        <v>17.8</v>
      </c>
      <c r="H15" t="n">
        <v>2</v>
      </c>
      <c r="I15" t="n">
        <v>9</v>
      </c>
      <c r="J15" t="n">
        <v>5</v>
      </c>
      <c r="K15" t="n">
        <v>0</v>
      </c>
      <c r="L15" t="n">
        <v>0</v>
      </c>
      <c r="M15" t="n">
        <v>0</v>
      </c>
      <c r="N15" t="n">
        <v>0</v>
      </c>
      <c r="O15" t="n">
        <v>5</v>
      </c>
      <c r="P15" t="n">
        <v>0</v>
      </c>
      <c r="Q15" t="n">
        <v>15</v>
      </c>
      <c r="R15" s="2" t="inlineStr">
        <is>
          <t>Garnlav
Lunglav
Motaggsvamp
Tallticka
Vedtrappmossa
Bronshjon
Dropptaggsvamp
Grönpyrola
Korallblylav
Korallrot
Mindre märgborre
Skinnlav
Svart trolldruva
Vårärt
Tjäder</t>
        </is>
      </c>
      <c r="S15">
        <f>HYPERLINK("https://klasma.github.io/Logging_1730/artfynd/A 46201-2023 artfynd.xlsx", "A 46201-2023")</f>
        <v/>
      </c>
      <c r="T15">
        <f>HYPERLINK("https://klasma.github.io/Logging_1730/kartor/A 46201-2023 karta.png", "A 46201-2023")</f>
        <v/>
      </c>
      <c r="V15">
        <f>HYPERLINK("https://klasma.github.io/Logging_1730/klagomål/A 46201-2023 FSC-klagomål.docx", "A 46201-2023")</f>
        <v/>
      </c>
      <c r="W15">
        <f>HYPERLINK("https://klasma.github.io/Logging_1730/klagomålsmail/A 46201-2023 FSC-klagomål mail.docx", "A 46201-2023")</f>
        <v/>
      </c>
      <c r="X15">
        <f>HYPERLINK("https://klasma.github.io/Logging_1730/tillsyn/A 46201-2023 tillsynsbegäran.docx", "A 46201-2023")</f>
        <v/>
      </c>
      <c r="Y15">
        <f>HYPERLINK("https://klasma.github.io/Logging_1730/tillsynsmail/A 46201-2023 tillsynsbegäran mail.docx", "A 46201-2023")</f>
        <v/>
      </c>
      <c r="Z15">
        <f>HYPERLINK("https://klasma.github.io/Logging_1730/fåglar/A 46201-2023 prioriterade fågelarter.docx", "A 46201-2023")</f>
        <v/>
      </c>
    </row>
    <row r="16" ht="15" customHeight="1">
      <c r="A16" t="inlineStr">
        <is>
          <t>A 19458-2024</t>
        </is>
      </c>
      <c r="B16" s="1" t="n">
        <v>45429</v>
      </c>
      <c r="C16" s="1" t="n">
        <v>45736</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45736</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45736</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45736</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45736</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45736</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45736</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45736</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45736</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45736</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45736</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45736</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45736</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45736</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45736</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45736</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45736</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45736</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45736</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45736</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45736</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45736</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45736</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45736</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45736</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45736</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45736</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45736</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45736</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45736</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45736</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45736</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45736</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45736</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45736</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45736</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45736</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45736</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45736</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45736</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45736</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45736</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45736</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45736</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45736</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45736</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45736</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45736</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45736</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45736</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45736</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45736</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45736</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45736</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45736</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45736</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45736</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45736</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45736</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45736</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45736</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45736</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45736</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45736</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45736</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45736</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45736</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45736</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45736</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45736</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45736</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45736</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45736</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45736</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45736</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45736</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45736</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45736</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45736</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45736</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45736</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45736</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45736</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45736</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45736</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45736</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45736</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45736</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45736</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45736</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45736</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45736</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45736</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45736</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45736</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45736</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45736</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45736</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45736</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45736</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45736</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45736</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45736</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45736</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45736</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45736</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45736</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45736</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45736</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45736</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45736</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45736</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45736</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45736</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45736</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45736</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45736</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45736</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45736</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45736</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45736</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45736</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45736</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45736</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45736</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45736</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45736</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45736</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45736</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45736</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45736</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45736</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45736</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45736</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45736</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45736</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45736</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45736</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45736</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45736</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45736</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45736</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45736</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45736</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45736</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45736</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45736</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45736</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45736</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45736</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45736</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45736</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45736</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45736</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45736</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45736</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45736</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45736</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45736</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45736</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45736</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45736</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45736</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45736</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45736</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45736</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45736</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45736</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45736</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45736</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45736</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45736</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45736</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45736</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45736</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45736</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45736</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45736</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45736</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45736</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45736</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45736</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45736</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45736</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45736</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45736</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45736</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45736</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45736</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45736</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45736</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45736</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45736</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45736</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60275-2024</t>
        </is>
      </c>
      <c r="B224" s="1" t="n">
        <v>45642</v>
      </c>
      <c r="C224" s="1" t="n">
        <v>45736</v>
      </c>
      <c r="D224" t="inlineStr">
        <is>
          <t>VÄRMLANDS LÄN</t>
        </is>
      </c>
      <c r="E224" t="inlineStr">
        <is>
          <t>KARLSTAD</t>
        </is>
      </c>
      <c r="G224" t="n">
        <v>11.2</v>
      </c>
      <c r="H224" t="n">
        <v>2</v>
      </c>
      <c r="I224" t="n">
        <v>0</v>
      </c>
      <c r="J224" t="n">
        <v>1</v>
      </c>
      <c r="K224" t="n">
        <v>0</v>
      </c>
      <c r="L224" t="n">
        <v>2</v>
      </c>
      <c r="M224" t="n">
        <v>0</v>
      </c>
      <c r="N224" t="n">
        <v>0</v>
      </c>
      <c r="O224" t="n">
        <v>3</v>
      </c>
      <c r="P224" t="n">
        <v>2</v>
      </c>
      <c r="Q224" t="n">
        <v>3</v>
      </c>
      <c r="R224" s="2" t="inlineStr">
        <is>
          <t>Ask
Grönfink
Mindre hackspett</t>
        </is>
      </c>
      <c r="S224">
        <f>HYPERLINK("https://klasma.github.io/Logging_1780/artfynd/A 60275-2024 artfynd.xlsx", "A 60275-2024")</f>
        <v/>
      </c>
      <c r="T224">
        <f>HYPERLINK("https://klasma.github.io/Logging_1780/kartor/A 60275-2024 karta.png", "A 60275-2024")</f>
        <v/>
      </c>
      <c r="V224">
        <f>HYPERLINK("https://klasma.github.io/Logging_1780/klagomål/A 60275-2024 FSC-klagomål.docx", "A 60275-2024")</f>
        <v/>
      </c>
      <c r="W224">
        <f>HYPERLINK("https://klasma.github.io/Logging_1780/klagomålsmail/A 60275-2024 FSC-klagomål mail.docx", "A 60275-2024")</f>
        <v/>
      </c>
      <c r="X224">
        <f>HYPERLINK("https://klasma.github.io/Logging_1780/tillsyn/A 60275-2024 tillsynsbegäran.docx", "A 60275-2024")</f>
        <v/>
      </c>
      <c r="Y224">
        <f>HYPERLINK("https://klasma.github.io/Logging_1780/tillsynsmail/A 60275-2024 tillsynsbegäran mail.docx", "A 60275-2024")</f>
        <v/>
      </c>
      <c r="Z224">
        <f>HYPERLINK("https://klasma.github.io/Logging_1780/fåglar/A 60275-2024 prioriterade fågelarter.docx", "A 60275-2024")</f>
        <v/>
      </c>
    </row>
    <row r="225" ht="15" customHeight="1">
      <c r="A225" t="inlineStr">
        <is>
          <t>A 7098-2025</t>
        </is>
      </c>
      <c r="B225" s="1" t="n">
        <v>45701</v>
      </c>
      <c r="C225" s="1" t="n">
        <v>45736</v>
      </c>
      <c r="D225" t="inlineStr">
        <is>
          <t>VÄRMLANDS LÄN</t>
        </is>
      </c>
      <c r="E225" t="inlineStr">
        <is>
          <t>SUNNE</t>
        </is>
      </c>
      <c r="G225" t="n">
        <v>7.8</v>
      </c>
      <c r="H225" t="n">
        <v>1</v>
      </c>
      <c r="I225" t="n">
        <v>0</v>
      </c>
      <c r="J225" t="n">
        <v>2</v>
      </c>
      <c r="K225" t="n">
        <v>0</v>
      </c>
      <c r="L225" t="n">
        <v>0</v>
      </c>
      <c r="M225" t="n">
        <v>0</v>
      </c>
      <c r="N225" t="n">
        <v>0</v>
      </c>
      <c r="O225" t="n">
        <v>2</v>
      </c>
      <c r="P225" t="n">
        <v>0</v>
      </c>
      <c r="Q225" t="n">
        <v>3</v>
      </c>
      <c r="R225" s="2" t="inlineStr">
        <is>
          <t>Motaggsvamp
Violettgrå tagellav
Tjäder</t>
        </is>
      </c>
      <c r="S225">
        <f>HYPERLINK("https://klasma.github.io/Logging_1766/artfynd/A 7098-2025 artfynd.xlsx", "A 7098-2025")</f>
        <v/>
      </c>
      <c r="T225">
        <f>HYPERLINK("https://klasma.github.io/Logging_1766/kartor/A 7098-2025 karta.png", "A 7098-2025")</f>
        <v/>
      </c>
      <c r="V225">
        <f>HYPERLINK("https://klasma.github.io/Logging_1766/klagomål/A 7098-2025 FSC-klagomål.docx", "A 7098-2025")</f>
        <v/>
      </c>
      <c r="W225">
        <f>HYPERLINK("https://klasma.github.io/Logging_1766/klagomålsmail/A 7098-2025 FSC-klagomål mail.docx", "A 7098-2025")</f>
        <v/>
      </c>
      <c r="X225">
        <f>HYPERLINK("https://klasma.github.io/Logging_1766/tillsyn/A 7098-2025 tillsynsbegäran.docx", "A 7098-2025")</f>
        <v/>
      </c>
      <c r="Y225">
        <f>HYPERLINK("https://klasma.github.io/Logging_1766/tillsynsmail/A 7098-2025 tillsynsbegäran mail.docx", "A 7098-2025")</f>
        <v/>
      </c>
      <c r="Z225">
        <f>HYPERLINK("https://klasma.github.io/Logging_1766/fåglar/A 7098-2025 prioriterade fågelarter.docx", "A 7098-2025")</f>
        <v/>
      </c>
    </row>
    <row r="226" ht="15" customHeight="1">
      <c r="A226" t="inlineStr">
        <is>
          <t>A 7350-2025</t>
        </is>
      </c>
      <c r="B226" s="1" t="n">
        <v>45703</v>
      </c>
      <c r="C226" s="1" t="n">
        <v>45736</v>
      </c>
      <c r="D226" t="inlineStr">
        <is>
          <t>VÄRMLANDS LÄN</t>
        </is>
      </c>
      <c r="E226" t="inlineStr">
        <is>
          <t>ARVIKA</t>
        </is>
      </c>
      <c r="G226" t="n">
        <v>7.7</v>
      </c>
      <c r="H226" t="n">
        <v>3</v>
      </c>
      <c r="I226" t="n">
        <v>0</v>
      </c>
      <c r="J226" t="n">
        <v>2</v>
      </c>
      <c r="K226" t="n">
        <v>0</v>
      </c>
      <c r="L226" t="n">
        <v>0</v>
      </c>
      <c r="M226" t="n">
        <v>0</v>
      </c>
      <c r="N226" t="n">
        <v>0</v>
      </c>
      <c r="O226" t="n">
        <v>2</v>
      </c>
      <c r="P226" t="n">
        <v>0</v>
      </c>
      <c r="Q226" t="n">
        <v>3</v>
      </c>
      <c r="R226" s="2" t="inlineStr">
        <is>
          <t>Entita
Talltita
Tjäder</t>
        </is>
      </c>
      <c r="S226">
        <f>HYPERLINK("https://klasma.github.io/Logging_1784/artfynd/A 7350-2025 artfynd.xlsx", "A 7350-2025")</f>
        <v/>
      </c>
      <c r="T226">
        <f>HYPERLINK("https://klasma.github.io/Logging_1784/kartor/A 7350-2025 karta.png", "A 7350-2025")</f>
        <v/>
      </c>
      <c r="V226">
        <f>HYPERLINK("https://klasma.github.io/Logging_1784/klagomål/A 7350-2025 FSC-klagomål.docx", "A 7350-2025")</f>
        <v/>
      </c>
      <c r="W226">
        <f>HYPERLINK("https://klasma.github.io/Logging_1784/klagomålsmail/A 7350-2025 FSC-klagomål mail.docx", "A 7350-2025")</f>
        <v/>
      </c>
      <c r="X226">
        <f>HYPERLINK("https://klasma.github.io/Logging_1784/tillsyn/A 7350-2025 tillsynsbegäran.docx", "A 7350-2025")</f>
        <v/>
      </c>
      <c r="Y226">
        <f>HYPERLINK("https://klasma.github.io/Logging_1784/tillsynsmail/A 7350-2025 tillsynsbegäran mail.docx", "A 7350-2025")</f>
        <v/>
      </c>
      <c r="Z226">
        <f>HYPERLINK("https://klasma.github.io/Logging_1784/fåglar/A 7350-2025 prioriterade fågelarter.docx", "A 7350-2025")</f>
        <v/>
      </c>
    </row>
    <row r="227" ht="15" customHeight="1">
      <c r="A227" t="inlineStr">
        <is>
          <t>A 13181-2025</t>
        </is>
      </c>
      <c r="B227" s="1" t="n">
        <v>45735</v>
      </c>
      <c r="C227" s="1" t="n">
        <v>45736</v>
      </c>
      <c r="D227" t="inlineStr">
        <is>
          <t>VÄRMLANDS LÄN</t>
        </is>
      </c>
      <c r="E227" t="inlineStr">
        <is>
          <t>SUNNE</t>
        </is>
      </c>
      <c r="F227" t="inlineStr">
        <is>
          <t>Bergvik skog väst AB</t>
        </is>
      </c>
      <c r="G227" t="n">
        <v>2.9</v>
      </c>
      <c r="H227" t="n">
        <v>3</v>
      </c>
      <c r="I227" t="n">
        <v>0</v>
      </c>
      <c r="J227" t="n">
        <v>0</v>
      </c>
      <c r="K227" t="n">
        <v>0</v>
      </c>
      <c r="L227" t="n">
        <v>0</v>
      </c>
      <c r="M227" t="n">
        <v>0</v>
      </c>
      <c r="N227" t="n">
        <v>0</v>
      </c>
      <c r="O227" t="n">
        <v>0</v>
      </c>
      <c r="P227" t="n">
        <v>0</v>
      </c>
      <c r="Q227" t="n">
        <v>3</v>
      </c>
      <c r="R227" s="2" t="inlineStr">
        <is>
          <t>Gråspett
Kungsfågel
Tjäder</t>
        </is>
      </c>
      <c r="S227">
        <f>HYPERLINK("https://klasma.github.io/Logging_1766/artfynd/A 13181-2025 artfynd.xlsx", "A 13181-2025")</f>
        <v/>
      </c>
      <c r="T227">
        <f>HYPERLINK("https://klasma.github.io/Logging_1766/kartor/A 13181-2025 karta.png", "A 13181-2025")</f>
        <v/>
      </c>
      <c r="V227">
        <f>HYPERLINK("https://klasma.github.io/Logging_1766/klagomål/A 13181-2025 FSC-klagomål.docx", "A 13181-2025")</f>
        <v/>
      </c>
      <c r="W227">
        <f>HYPERLINK("https://klasma.github.io/Logging_1766/klagomålsmail/A 13181-2025 FSC-klagomål mail.docx", "A 13181-2025")</f>
        <v/>
      </c>
      <c r="X227">
        <f>HYPERLINK("https://klasma.github.io/Logging_1766/tillsyn/A 13181-2025 tillsynsbegäran.docx", "A 13181-2025")</f>
        <v/>
      </c>
      <c r="Y227">
        <f>HYPERLINK("https://klasma.github.io/Logging_1766/tillsynsmail/A 13181-2025 tillsynsbegäran mail.docx", "A 13181-2025")</f>
        <v/>
      </c>
      <c r="Z227">
        <f>HYPERLINK("https://klasma.github.io/Logging_1766/fåglar/A 13181-2025 prioriterade fågelarter.docx", "A 13181-2025")</f>
        <v/>
      </c>
    </row>
    <row r="228" ht="15" customHeight="1">
      <c r="A228" t="inlineStr">
        <is>
          <t>A 18528-2019</t>
        </is>
      </c>
      <c r="B228" s="1" t="n">
        <v>43559</v>
      </c>
      <c r="C228" s="1" t="n">
        <v>45736</v>
      </c>
      <c r="D228" t="inlineStr">
        <is>
          <t>VÄRMLANDS LÄN</t>
        </is>
      </c>
      <c r="E228" t="inlineStr">
        <is>
          <t>TORSBY</t>
        </is>
      </c>
      <c r="G228" t="n">
        <v>1.9</v>
      </c>
      <c r="H228" t="n">
        <v>0</v>
      </c>
      <c r="I228" t="n">
        <v>1</v>
      </c>
      <c r="J228" t="n">
        <v>1</v>
      </c>
      <c r="K228" t="n">
        <v>0</v>
      </c>
      <c r="L228" t="n">
        <v>0</v>
      </c>
      <c r="M228" t="n">
        <v>0</v>
      </c>
      <c r="N228" t="n">
        <v>0</v>
      </c>
      <c r="O228" t="n">
        <v>1</v>
      </c>
      <c r="P228" t="n">
        <v>0</v>
      </c>
      <c r="Q228" t="n">
        <v>2</v>
      </c>
      <c r="R228" s="2" t="inlineStr">
        <is>
          <t>Lunglav
Kattfotslav</t>
        </is>
      </c>
      <c r="S228">
        <f>HYPERLINK("https://klasma.github.io/Logging_1737/artfynd/A 18528-2019 artfynd.xlsx", "A 18528-2019")</f>
        <v/>
      </c>
      <c r="T228">
        <f>HYPERLINK("https://klasma.github.io/Logging_1737/kartor/A 18528-2019 karta.png", "A 18528-2019")</f>
        <v/>
      </c>
      <c r="V228">
        <f>HYPERLINK("https://klasma.github.io/Logging_1737/klagomål/A 18528-2019 FSC-klagomål.docx", "A 18528-2019")</f>
        <v/>
      </c>
      <c r="W228">
        <f>HYPERLINK("https://klasma.github.io/Logging_1737/klagomålsmail/A 18528-2019 FSC-klagomål mail.docx", "A 18528-2019")</f>
        <v/>
      </c>
      <c r="X228">
        <f>HYPERLINK("https://klasma.github.io/Logging_1737/tillsyn/A 18528-2019 tillsynsbegäran.docx", "A 18528-2019")</f>
        <v/>
      </c>
      <c r="Y228">
        <f>HYPERLINK("https://klasma.github.io/Logging_1737/tillsynsmail/A 18528-2019 tillsynsbegäran mail.docx", "A 18528-2019")</f>
        <v/>
      </c>
    </row>
    <row r="229" ht="15" customHeight="1">
      <c r="A229" t="inlineStr">
        <is>
          <t>A 25572-2019</t>
        </is>
      </c>
      <c r="B229" s="1" t="n">
        <v>43607</v>
      </c>
      <c r="C229" s="1" t="n">
        <v>45736</v>
      </c>
      <c r="D229" t="inlineStr">
        <is>
          <t>VÄRMLANDS LÄN</t>
        </is>
      </c>
      <c r="E229" t="inlineStr">
        <is>
          <t>ARVIKA</t>
        </is>
      </c>
      <c r="F229" t="inlineStr">
        <is>
          <t>Bergvik skog väst AB</t>
        </is>
      </c>
      <c r="G229" t="n">
        <v>1.5</v>
      </c>
      <c r="H229" t="n">
        <v>0</v>
      </c>
      <c r="I229" t="n">
        <v>1</v>
      </c>
      <c r="J229" t="n">
        <v>1</v>
      </c>
      <c r="K229" t="n">
        <v>0</v>
      </c>
      <c r="L229" t="n">
        <v>0</v>
      </c>
      <c r="M229" t="n">
        <v>0</v>
      </c>
      <c r="N229" t="n">
        <v>0</v>
      </c>
      <c r="O229" t="n">
        <v>1</v>
      </c>
      <c r="P229" t="n">
        <v>0</v>
      </c>
      <c r="Q229" t="n">
        <v>2</v>
      </c>
      <c r="R229" s="2" t="inlineStr">
        <is>
          <t>Garnlav
Vedticka</t>
        </is>
      </c>
      <c r="S229">
        <f>HYPERLINK("https://klasma.github.io/Logging_1784/artfynd/A 25572-2019 artfynd.xlsx", "A 25572-2019")</f>
        <v/>
      </c>
      <c r="T229">
        <f>HYPERLINK("https://klasma.github.io/Logging_1784/kartor/A 25572-2019 karta.png", "A 25572-2019")</f>
        <v/>
      </c>
      <c r="V229">
        <f>HYPERLINK("https://klasma.github.io/Logging_1784/klagomål/A 25572-2019 FSC-klagomål.docx", "A 25572-2019")</f>
        <v/>
      </c>
      <c r="W229">
        <f>HYPERLINK("https://klasma.github.io/Logging_1784/klagomålsmail/A 25572-2019 FSC-klagomål mail.docx", "A 25572-2019")</f>
        <v/>
      </c>
      <c r="X229">
        <f>HYPERLINK("https://klasma.github.io/Logging_1784/tillsyn/A 25572-2019 tillsynsbegäran.docx", "A 25572-2019")</f>
        <v/>
      </c>
      <c r="Y229">
        <f>HYPERLINK("https://klasma.github.io/Logging_1784/tillsynsmail/A 25572-2019 tillsynsbegäran mail.docx", "A 25572-2019")</f>
        <v/>
      </c>
    </row>
    <row r="230" ht="15" customHeight="1">
      <c r="A230" t="inlineStr">
        <is>
          <t>A 26083-2019</t>
        </is>
      </c>
      <c r="B230" s="1" t="n">
        <v>43609</v>
      </c>
      <c r="C230" s="1" t="n">
        <v>45736</v>
      </c>
      <c r="D230" t="inlineStr">
        <is>
          <t>VÄRMLANDS LÄN</t>
        </is>
      </c>
      <c r="E230" t="inlineStr">
        <is>
          <t>ÅRJÄNG</t>
        </is>
      </c>
      <c r="F230" t="inlineStr">
        <is>
          <t>Bergvik skog väst AB</t>
        </is>
      </c>
      <c r="G230" t="n">
        <v>5.5</v>
      </c>
      <c r="H230" t="n">
        <v>2</v>
      </c>
      <c r="I230" t="n">
        <v>0</v>
      </c>
      <c r="J230" t="n">
        <v>1</v>
      </c>
      <c r="K230" t="n">
        <v>0</v>
      </c>
      <c r="L230" t="n">
        <v>0</v>
      </c>
      <c r="M230" t="n">
        <v>0</v>
      </c>
      <c r="N230" t="n">
        <v>0</v>
      </c>
      <c r="O230" t="n">
        <v>1</v>
      </c>
      <c r="P230" t="n">
        <v>0</v>
      </c>
      <c r="Q230" t="n">
        <v>2</v>
      </c>
      <c r="R230" s="2" t="inlineStr">
        <is>
          <t>Talltita
Orre</t>
        </is>
      </c>
      <c r="S230">
        <f>HYPERLINK("https://klasma.github.io/Logging_1765/artfynd/A 26083-2019 artfynd.xlsx", "A 26083-2019")</f>
        <v/>
      </c>
      <c r="T230">
        <f>HYPERLINK("https://klasma.github.io/Logging_1765/kartor/A 26083-2019 karta.png", "A 26083-2019")</f>
        <v/>
      </c>
      <c r="V230">
        <f>HYPERLINK("https://klasma.github.io/Logging_1765/klagomål/A 26083-2019 FSC-klagomål.docx", "A 26083-2019")</f>
        <v/>
      </c>
      <c r="W230">
        <f>HYPERLINK("https://klasma.github.io/Logging_1765/klagomålsmail/A 26083-2019 FSC-klagomål mail.docx", "A 26083-2019")</f>
        <v/>
      </c>
      <c r="X230">
        <f>HYPERLINK("https://klasma.github.io/Logging_1765/tillsyn/A 26083-2019 tillsynsbegäran.docx", "A 26083-2019")</f>
        <v/>
      </c>
      <c r="Y230">
        <f>HYPERLINK("https://klasma.github.io/Logging_1765/tillsynsmail/A 26083-2019 tillsynsbegäran mail.docx", "A 26083-2019")</f>
        <v/>
      </c>
      <c r="Z230">
        <f>HYPERLINK("https://klasma.github.io/Logging_1765/fåglar/A 26083-2019 prioriterade fågelarter.docx", "A 26083-2019")</f>
        <v/>
      </c>
    </row>
    <row r="231" ht="15" customHeight="1">
      <c r="A231" t="inlineStr">
        <is>
          <t>A 47423-2019</t>
        </is>
      </c>
      <c r="B231" s="1" t="n">
        <v>43723</v>
      </c>
      <c r="C231" s="1" t="n">
        <v>45736</v>
      </c>
      <c r="D231" t="inlineStr">
        <is>
          <t>VÄRMLANDS LÄN</t>
        </is>
      </c>
      <c r="E231" t="inlineStr">
        <is>
          <t>TORSBY</t>
        </is>
      </c>
      <c r="G231" t="n">
        <v>5.1</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47423-2019 artfynd.xlsx", "A 47423-2019")</f>
        <v/>
      </c>
      <c r="T231">
        <f>HYPERLINK("https://klasma.github.io/Logging_1737/kartor/A 47423-2019 karta.png", "A 47423-2019")</f>
        <v/>
      </c>
      <c r="V231">
        <f>HYPERLINK("https://klasma.github.io/Logging_1737/klagomål/A 47423-2019 FSC-klagomål.docx", "A 47423-2019")</f>
        <v/>
      </c>
      <c r="W231">
        <f>HYPERLINK("https://klasma.github.io/Logging_1737/klagomålsmail/A 47423-2019 FSC-klagomål mail.docx", "A 47423-2019")</f>
        <v/>
      </c>
      <c r="X231">
        <f>HYPERLINK("https://klasma.github.io/Logging_1737/tillsyn/A 47423-2019 tillsynsbegäran.docx", "A 47423-2019")</f>
        <v/>
      </c>
      <c r="Y231">
        <f>HYPERLINK("https://klasma.github.io/Logging_1737/tillsynsmail/A 47423-2019 tillsynsbegäran mail.docx", "A 47423-2019")</f>
        <v/>
      </c>
    </row>
    <row r="232" ht="15" customHeight="1">
      <c r="A232" t="inlineStr">
        <is>
          <t>A 60661-2019</t>
        </is>
      </c>
      <c r="B232" s="1" t="n">
        <v>43781</v>
      </c>
      <c r="C232" s="1" t="n">
        <v>45736</v>
      </c>
      <c r="D232" t="inlineStr">
        <is>
          <t>VÄRMLANDS LÄN</t>
        </is>
      </c>
      <c r="E232" t="inlineStr">
        <is>
          <t>TORSBY</t>
        </is>
      </c>
      <c r="F232" t="inlineStr">
        <is>
          <t>Bergvik skog väst AB</t>
        </is>
      </c>
      <c r="G232" t="n">
        <v>40.4</v>
      </c>
      <c r="H232" t="n">
        <v>2</v>
      </c>
      <c r="I232" t="n">
        <v>0</v>
      </c>
      <c r="J232" t="n">
        <v>1</v>
      </c>
      <c r="K232" t="n">
        <v>0</v>
      </c>
      <c r="L232" t="n">
        <v>0</v>
      </c>
      <c r="M232" t="n">
        <v>0</v>
      </c>
      <c r="N232" t="n">
        <v>0</v>
      </c>
      <c r="O232" t="n">
        <v>1</v>
      </c>
      <c r="P232" t="n">
        <v>0</v>
      </c>
      <c r="Q232" t="n">
        <v>2</v>
      </c>
      <c r="R232" s="2" t="inlineStr">
        <is>
          <t>Spillkråka
Gråkråka</t>
        </is>
      </c>
      <c r="S232">
        <f>HYPERLINK("https://klasma.github.io/Logging_1737/artfynd/A 60661-2019 artfynd.xlsx", "A 60661-2019")</f>
        <v/>
      </c>
      <c r="T232">
        <f>HYPERLINK("https://klasma.github.io/Logging_1737/kartor/A 60661-2019 karta.png", "A 60661-2019")</f>
        <v/>
      </c>
      <c r="V232">
        <f>HYPERLINK("https://klasma.github.io/Logging_1737/klagomål/A 60661-2019 FSC-klagomål.docx", "A 60661-2019")</f>
        <v/>
      </c>
      <c r="W232">
        <f>HYPERLINK("https://klasma.github.io/Logging_1737/klagomålsmail/A 60661-2019 FSC-klagomål mail.docx", "A 60661-2019")</f>
        <v/>
      </c>
      <c r="X232">
        <f>HYPERLINK("https://klasma.github.io/Logging_1737/tillsyn/A 60661-2019 tillsynsbegäran.docx", "A 60661-2019")</f>
        <v/>
      </c>
      <c r="Y232">
        <f>HYPERLINK("https://klasma.github.io/Logging_1737/tillsynsmail/A 60661-2019 tillsynsbegäran mail.docx", "A 60661-2019")</f>
        <v/>
      </c>
      <c r="Z232">
        <f>HYPERLINK("https://klasma.github.io/Logging_1737/fåglar/A 60661-2019 prioriterade fågelarter.docx", "A 60661-2019")</f>
        <v/>
      </c>
    </row>
    <row r="233" ht="15" customHeight="1">
      <c r="A233" t="inlineStr">
        <is>
          <t>A 68629-2019</t>
        </is>
      </c>
      <c r="B233" s="1" t="n">
        <v>43819</v>
      </c>
      <c r="C233" s="1" t="n">
        <v>45736</v>
      </c>
      <c r="D233" t="inlineStr">
        <is>
          <t>VÄRMLANDS LÄN</t>
        </is>
      </c>
      <c r="E233" t="inlineStr">
        <is>
          <t>ARVIKA</t>
        </is>
      </c>
      <c r="G233" t="n">
        <v>11.3</v>
      </c>
      <c r="H233" t="n">
        <v>1</v>
      </c>
      <c r="I233" t="n">
        <v>0</v>
      </c>
      <c r="J233" t="n">
        <v>2</v>
      </c>
      <c r="K233" t="n">
        <v>0</v>
      </c>
      <c r="L233" t="n">
        <v>0</v>
      </c>
      <c r="M233" t="n">
        <v>0</v>
      </c>
      <c r="N233" t="n">
        <v>0</v>
      </c>
      <c r="O233" t="n">
        <v>2</v>
      </c>
      <c r="P233" t="n">
        <v>0</v>
      </c>
      <c r="Q233" t="n">
        <v>2</v>
      </c>
      <c r="R233" s="2" t="inlineStr">
        <is>
          <t>Dvärglin
Havsörn</t>
        </is>
      </c>
      <c r="S233">
        <f>HYPERLINK("https://klasma.github.io/Logging_1784/artfynd/A 68629-2019 artfynd.xlsx", "A 68629-2019")</f>
        <v/>
      </c>
      <c r="T233">
        <f>HYPERLINK("https://klasma.github.io/Logging_1784/kartor/A 68629-2019 karta.png", "A 68629-2019")</f>
        <v/>
      </c>
      <c r="V233">
        <f>HYPERLINK("https://klasma.github.io/Logging_1784/klagomål/A 68629-2019 FSC-klagomål.docx", "A 68629-2019")</f>
        <v/>
      </c>
      <c r="W233">
        <f>HYPERLINK("https://klasma.github.io/Logging_1784/klagomålsmail/A 68629-2019 FSC-klagomål mail.docx", "A 68629-2019")</f>
        <v/>
      </c>
      <c r="X233">
        <f>HYPERLINK("https://klasma.github.io/Logging_1784/tillsyn/A 68629-2019 tillsynsbegäran.docx", "A 68629-2019")</f>
        <v/>
      </c>
      <c r="Y233">
        <f>HYPERLINK("https://klasma.github.io/Logging_1784/tillsynsmail/A 68629-2019 tillsynsbegäran mail.docx", "A 68629-2019")</f>
        <v/>
      </c>
      <c r="Z233">
        <f>HYPERLINK("https://klasma.github.io/Logging_1784/fåglar/A 68629-2019 prioriterade fågelarter.docx", "A 68629-2019")</f>
        <v/>
      </c>
    </row>
    <row r="234" ht="15" customHeight="1">
      <c r="A234" t="inlineStr">
        <is>
          <t>A 3380-2020</t>
        </is>
      </c>
      <c r="B234" s="1" t="n">
        <v>43852</v>
      </c>
      <c r="C234" s="1" t="n">
        <v>45736</v>
      </c>
      <c r="D234" t="inlineStr">
        <is>
          <t>VÄRMLANDS LÄN</t>
        </is>
      </c>
      <c r="E234" t="inlineStr">
        <is>
          <t>ÅRJÄNG</t>
        </is>
      </c>
      <c r="G234" t="n">
        <v>3.8</v>
      </c>
      <c r="H234" t="n">
        <v>1</v>
      </c>
      <c r="I234" t="n">
        <v>1</v>
      </c>
      <c r="J234" t="n">
        <v>1</v>
      </c>
      <c r="K234" t="n">
        <v>0</v>
      </c>
      <c r="L234" t="n">
        <v>0</v>
      </c>
      <c r="M234" t="n">
        <v>0</v>
      </c>
      <c r="N234" t="n">
        <v>0</v>
      </c>
      <c r="O234" t="n">
        <v>1</v>
      </c>
      <c r="P234" t="n">
        <v>0</v>
      </c>
      <c r="Q234" t="n">
        <v>2</v>
      </c>
      <c r="R234" s="2" t="inlineStr">
        <is>
          <t>Kådvaxskinn
Spindelblomster</t>
        </is>
      </c>
      <c r="S234">
        <f>HYPERLINK("https://klasma.github.io/Logging_1765/artfynd/A 3380-2020 artfynd.xlsx", "A 3380-2020")</f>
        <v/>
      </c>
      <c r="T234">
        <f>HYPERLINK("https://klasma.github.io/Logging_1765/kartor/A 3380-2020 karta.png", "A 3380-2020")</f>
        <v/>
      </c>
      <c r="V234">
        <f>HYPERLINK("https://klasma.github.io/Logging_1765/klagomål/A 3380-2020 FSC-klagomål.docx", "A 3380-2020")</f>
        <v/>
      </c>
      <c r="W234">
        <f>HYPERLINK("https://klasma.github.io/Logging_1765/klagomålsmail/A 3380-2020 FSC-klagomål mail.docx", "A 3380-2020")</f>
        <v/>
      </c>
      <c r="X234">
        <f>HYPERLINK("https://klasma.github.io/Logging_1765/tillsyn/A 3380-2020 tillsynsbegäran.docx", "A 3380-2020")</f>
        <v/>
      </c>
      <c r="Y234">
        <f>HYPERLINK("https://klasma.github.io/Logging_1765/tillsynsmail/A 3380-2020 tillsynsbegäran mail.docx", "A 3380-2020")</f>
        <v/>
      </c>
    </row>
    <row r="235" ht="15" customHeight="1">
      <c r="A235" t="inlineStr">
        <is>
          <t>A 9585-2020</t>
        </is>
      </c>
      <c r="B235" s="1" t="n">
        <v>43878</v>
      </c>
      <c r="C235" s="1" t="n">
        <v>45736</v>
      </c>
      <c r="D235" t="inlineStr">
        <is>
          <t>VÄRMLANDS LÄN</t>
        </is>
      </c>
      <c r="E235" t="inlineStr">
        <is>
          <t>SUNNE</t>
        </is>
      </c>
      <c r="G235" t="n">
        <v>22.3</v>
      </c>
      <c r="H235" t="n">
        <v>1</v>
      </c>
      <c r="I235" t="n">
        <v>1</v>
      </c>
      <c r="J235" t="n">
        <v>0</v>
      </c>
      <c r="K235" t="n">
        <v>0</v>
      </c>
      <c r="L235" t="n">
        <v>0</v>
      </c>
      <c r="M235" t="n">
        <v>0</v>
      </c>
      <c r="N235" t="n">
        <v>0</v>
      </c>
      <c r="O235" t="n">
        <v>0</v>
      </c>
      <c r="P235" t="n">
        <v>0</v>
      </c>
      <c r="Q235" t="n">
        <v>2</v>
      </c>
      <c r="R235" s="2" t="inlineStr">
        <is>
          <t>Blåmossa
Tjäder</t>
        </is>
      </c>
      <c r="S235">
        <f>HYPERLINK("https://klasma.github.io/Logging_1766/artfynd/A 9585-2020 artfynd.xlsx", "A 9585-2020")</f>
        <v/>
      </c>
      <c r="T235">
        <f>HYPERLINK("https://klasma.github.io/Logging_1766/kartor/A 9585-2020 karta.png", "A 9585-2020")</f>
        <v/>
      </c>
      <c r="V235">
        <f>HYPERLINK("https://klasma.github.io/Logging_1766/klagomål/A 9585-2020 FSC-klagomål.docx", "A 9585-2020")</f>
        <v/>
      </c>
      <c r="W235">
        <f>HYPERLINK("https://klasma.github.io/Logging_1766/klagomålsmail/A 9585-2020 FSC-klagomål mail.docx", "A 9585-2020")</f>
        <v/>
      </c>
      <c r="X235">
        <f>HYPERLINK("https://klasma.github.io/Logging_1766/tillsyn/A 9585-2020 tillsynsbegäran.docx", "A 9585-2020")</f>
        <v/>
      </c>
      <c r="Y235">
        <f>HYPERLINK("https://klasma.github.io/Logging_1766/tillsynsmail/A 9585-2020 tillsynsbegäran mail.docx", "A 9585-2020")</f>
        <v/>
      </c>
      <c r="Z235">
        <f>HYPERLINK("https://klasma.github.io/Logging_1766/fåglar/A 9585-2020 prioriterade fågelarter.docx", "A 9585-2020")</f>
        <v/>
      </c>
    </row>
    <row r="236" ht="15" customHeight="1">
      <c r="A236" t="inlineStr">
        <is>
          <t>A 16101-2020</t>
        </is>
      </c>
      <c r="B236" s="1" t="n">
        <v>43916</v>
      </c>
      <c r="C236" s="1" t="n">
        <v>45736</v>
      </c>
      <c r="D236" t="inlineStr">
        <is>
          <t>VÄRMLANDS LÄN</t>
        </is>
      </c>
      <c r="E236" t="inlineStr">
        <is>
          <t>TORSBY</t>
        </is>
      </c>
      <c r="G236" t="n">
        <v>14.6</v>
      </c>
      <c r="H236" t="n">
        <v>2</v>
      </c>
      <c r="I236" t="n">
        <v>0</v>
      </c>
      <c r="J236" t="n">
        <v>1</v>
      </c>
      <c r="K236" t="n">
        <v>0</v>
      </c>
      <c r="L236" t="n">
        <v>0</v>
      </c>
      <c r="M236" t="n">
        <v>0</v>
      </c>
      <c r="N236" t="n">
        <v>0</v>
      </c>
      <c r="O236" t="n">
        <v>1</v>
      </c>
      <c r="P236" t="n">
        <v>0</v>
      </c>
      <c r="Q236" t="n">
        <v>2</v>
      </c>
      <c r="R236" s="2" t="inlineStr">
        <is>
          <t>Spillkråka
Tjäder</t>
        </is>
      </c>
      <c r="S236">
        <f>HYPERLINK("https://klasma.github.io/Logging_1737/artfynd/A 16101-2020 artfynd.xlsx", "A 16101-2020")</f>
        <v/>
      </c>
      <c r="T236">
        <f>HYPERLINK("https://klasma.github.io/Logging_1737/kartor/A 16101-2020 karta.png", "A 16101-2020")</f>
        <v/>
      </c>
      <c r="V236">
        <f>HYPERLINK("https://klasma.github.io/Logging_1737/klagomål/A 16101-2020 FSC-klagomål.docx", "A 16101-2020")</f>
        <v/>
      </c>
      <c r="W236">
        <f>HYPERLINK("https://klasma.github.io/Logging_1737/klagomålsmail/A 16101-2020 FSC-klagomål mail.docx", "A 16101-2020")</f>
        <v/>
      </c>
      <c r="X236">
        <f>HYPERLINK("https://klasma.github.io/Logging_1737/tillsyn/A 16101-2020 tillsynsbegäran.docx", "A 16101-2020")</f>
        <v/>
      </c>
      <c r="Y236">
        <f>HYPERLINK("https://klasma.github.io/Logging_1737/tillsynsmail/A 16101-2020 tillsynsbegäran mail.docx", "A 16101-2020")</f>
        <v/>
      </c>
      <c r="Z236">
        <f>HYPERLINK("https://klasma.github.io/Logging_1737/fåglar/A 16101-2020 prioriterade fågelarter.docx", "A 16101-2020")</f>
        <v/>
      </c>
    </row>
    <row r="237" ht="15" customHeight="1">
      <c r="A237" t="inlineStr">
        <is>
          <t>A 18231-2020</t>
        </is>
      </c>
      <c r="B237" s="1" t="n">
        <v>43928</v>
      </c>
      <c r="C237" s="1" t="n">
        <v>45736</v>
      </c>
      <c r="D237" t="inlineStr">
        <is>
          <t>VÄRMLANDS LÄN</t>
        </is>
      </c>
      <c r="E237" t="inlineStr">
        <is>
          <t>KARLSTAD</t>
        </is>
      </c>
      <c r="G237" t="n">
        <v>0.5</v>
      </c>
      <c r="H237" t="n">
        <v>2</v>
      </c>
      <c r="I237" t="n">
        <v>0</v>
      </c>
      <c r="J237" t="n">
        <v>0</v>
      </c>
      <c r="K237" t="n">
        <v>1</v>
      </c>
      <c r="L237" t="n">
        <v>0</v>
      </c>
      <c r="M237" t="n">
        <v>0</v>
      </c>
      <c r="N237" t="n">
        <v>0</v>
      </c>
      <c r="O237" t="n">
        <v>1</v>
      </c>
      <c r="P237" t="n">
        <v>1</v>
      </c>
      <c r="Q237" t="n">
        <v>2</v>
      </c>
      <c r="R237" s="2" t="inlineStr">
        <is>
          <t>Knärot
Mattlummer</t>
        </is>
      </c>
      <c r="S237">
        <f>HYPERLINK("https://klasma.github.io/Logging_1780/artfynd/A 18231-2020 artfynd.xlsx", "A 18231-2020")</f>
        <v/>
      </c>
      <c r="T237">
        <f>HYPERLINK("https://klasma.github.io/Logging_1780/kartor/A 18231-2020 karta.png", "A 18231-2020")</f>
        <v/>
      </c>
      <c r="U237">
        <f>HYPERLINK("https://klasma.github.io/Logging_1780/knärot/A 18231-2020 karta knärot.png", "A 18231-2020")</f>
        <v/>
      </c>
      <c r="V237">
        <f>HYPERLINK("https://klasma.github.io/Logging_1780/klagomål/A 18231-2020 FSC-klagomål.docx", "A 18231-2020")</f>
        <v/>
      </c>
      <c r="W237">
        <f>HYPERLINK("https://klasma.github.io/Logging_1780/klagomålsmail/A 18231-2020 FSC-klagomål mail.docx", "A 18231-2020")</f>
        <v/>
      </c>
      <c r="X237">
        <f>HYPERLINK("https://klasma.github.io/Logging_1780/tillsyn/A 18231-2020 tillsynsbegäran.docx", "A 18231-2020")</f>
        <v/>
      </c>
      <c r="Y237">
        <f>HYPERLINK("https://klasma.github.io/Logging_1780/tillsynsmail/A 18231-2020 tillsynsbegäran mail.docx", "A 18231-2020")</f>
        <v/>
      </c>
    </row>
    <row r="238" ht="15" customHeight="1">
      <c r="A238" t="inlineStr">
        <is>
          <t>A 34418-2020</t>
        </is>
      </c>
      <c r="B238" s="1" t="n">
        <v>44029</v>
      </c>
      <c r="C238" s="1" t="n">
        <v>45736</v>
      </c>
      <c r="D238" t="inlineStr">
        <is>
          <t>VÄRMLANDS LÄN</t>
        </is>
      </c>
      <c r="E238" t="inlineStr">
        <is>
          <t>STORFORS</t>
        </is>
      </c>
      <c r="G238" t="n">
        <v>3.1</v>
      </c>
      <c r="H238" t="n">
        <v>0</v>
      </c>
      <c r="I238" t="n">
        <v>1</v>
      </c>
      <c r="J238" t="n">
        <v>1</v>
      </c>
      <c r="K238" t="n">
        <v>0</v>
      </c>
      <c r="L238" t="n">
        <v>0</v>
      </c>
      <c r="M238" t="n">
        <v>0</v>
      </c>
      <c r="N238" t="n">
        <v>0</v>
      </c>
      <c r="O238" t="n">
        <v>1</v>
      </c>
      <c r="P238" t="n">
        <v>0</v>
      </c>
      <c r="Q238" t="n">
        <v>2</v>
      </c>
      <c r="R238" s="2" t="inlineStr">
        <is>
          <t>Lunglav
Fällmossa</t>
        </is>
      </c>
      <c r="S238">
        <f>HYPERLINK("https://klasma.github.io/Logging_1760/artfynd/A 34418-2020 artfynd.xlsx", "A 34418-2020")</f>
        <v/>
      </c>
      <c r="T238">
        <f>HYPERLINK("https://klasma.github.io/Logging_1760/kartor/A 34418-2020 karta.png", "A 34418-2020")</f>
        <v/>
      </c>
      <c r="V238">
        <f>HYPERLINK("https://klasma.github.io/Logging_1760/klagomål/A 34418-2020 FSC-klagomål.docx", "A 34418-2020")</f>
        <v/>
      </c>
      <c r="W238">
        <f>HYPERLINK("https://klasma.github.io/Logging_1760/klagomålsmail/A 34418-2020 FSC-klagomål mail.docx", "A 34418-2020")</f>
        <v/>
      </c>
      <c r="X238">
        <f>HYPERLINK("https://klasma.github.io/Logging_1760/tillsyn/A 34418-2020 tillsynsbegäran.docx", "A 34418-2020")</f>
        <v/>
      </c>
      <c r="Y238">
        <f>HYPERLINK("https://klasma.github.io/Logging_1760/tillsynsmail/A 34418-2020 tillsynsbegäran mail.docx", "A 34418-2020")</f>
        <v/>
      </c>
    </row>
    <row r="239" ht="15" customHeight="1">
      <c r="A239" t="inlineStr">
        <is>
          <t>A 43407-2020</t>
        </is>
      </c>
      <c r="B239" s="1" t="n">
        <v>44081</v>
      </c>
      <c r="C239" s="1" t="n">
        <v>45736</v>
      </c>
      <c r="D239" t="inlineStr">
        <is>
          <t>VÄRMLANDS LÄN</t>
        </is>
      </c>
      <c r="E239" t="inlineStr">
        <is>
          <t>KRISTINEHAMN</t>
        </is>
      </c>
      <c r="G239" t="n">
        <v>6.9</v>
      </c>
      <c r="H239" t="n">
        <v>2</v>
      </c>
      <c r="I239" t="n">
        <v>0</v>
      </c>
      <c r="J239" t="n">
        <v>0</v>
      </c>
      <c r="K239" t="n">
        <v>2</v>
      </c>
      <c r="L239" t="n">
        <v>0</v>
      </c>
      <c r="M239" t="n">
        <v>0</v>
      </c>
      <c r="N239" t="n">
        <v>0</v>
      </c>
      <c r="O239" t="n">
        <v>2</v>
      </c>
      <c r="P239" t="n">
        <v>2</v>
      </c>
      <c r="Q239" t="n">
        <v>2</v>
      </c>
      <c r="R239" s="2" t="inlineStr">
        <is>
          <t>Bombmurkla
Knärot</t>
        </is>
      </c>
      <c r="S239">
        <f>HYPERLINK("https://klasma.github.io/Logging_1781/artfynd/A 43407-2020 artfynd.xlsx", "A 43407-2020")</f>
        <v/>
      </c>
      <c r="T239">
        <f>HYPERLINK("https://klasma.github.io/Logging_1781/kartor/A 43407-2020 karta.png", "A 43407-2020")</f>
        <v/>
      </c>
      <c r="U239">
        <f>HYPERLINK("https://klasma.github.io/Logging_1781/knärot/A 43407-2020 karta knärot.png", "A 43407-2020")</f>
        <v/>
      </c>
      <c r="V239">
        <f>HYPERLINK("https://klasma.github.io/Logging_1781/klagomål/A 43407-2020 FSC-klagomål.docx", "A 43407-2020")</f>
        <v/>
      </c>
      <c r="W239">
        <f>HYPERLINK("https://klasma.github.io/Logging_1781/klagomålsmail/A 43407-2020 FSC-klagomål mail.docx", "A 43407-2020")</f>
        <v/>
      </c>
      <c r="X239">
        <f>HYPERLINK("https://klasma.github.io/Logging_1781/tillsyn/A 43407-2020 tillsynsbegäran.docx", "A 43407-2020")</f>
        <v/>
      </c>
      <c r="Y239">
        <f>HYPERLINK("https://klasma.github.io/Logging_1781/tillsynsmail/A 43407-2020 tillsynsbegäran mail.docx", "A 43407-2020")</f>
        <v/>
      </c>
    </row>
    <row r="240" ht="15" customHeight="1">
      <c r="A240" t="inlineStr">
        <is>
          <t>A 51666-2020</t>
        </is>
      </c>
      <c r="B240" s="1" t="n">
        <v>44113</v>
      </c>
      <c r="C240" s="1" t="n">
        <v>45736</v>
      </c>
      <c r="D240" t="inlineStr">
        <is>
          <t>VÄRMLANDS LÄN</t>
        </is>
      </c>
      <c r="E240" t="inlineStr">
        <is>
          <t>ARVIKA</t>
        </is>
      </c>
      <c r="G240" t="n">
        <v>4</v>
      </c>
      <c r="H240" t="n">
        <v>0</v>
      </c>
      <c r="I240" t="n">
        <v>0</v>
      </c>
      <c r="J240" t="n">
        <v>2</v>
      </c>
      <c r="K240" t="n">
        <v>0</v>
      </c>
      <c r="L240" t="n">
        <v>0</v>
      </c>
      <c r="M240" t="n">
        <v>0</v>
      </c>
      <c r="N240" t="n">
        <v>0</v>
      </c>
      <c r="O240" t="n">
        <v>2</v>
      </c>
      <c r="P240" t="n">
        <v>0</v>
      </c>
      <c r="Q240" t="n">
        <v>2</v>
      </c>
      <c r="R240" s="2" t="inlineStr">
        <is>
          <t>Hjeltfibbla
Rönnfibbla</t>
        </is>
      </c>
      <c r="S240">
        <f>HYPERLINK("https://klasma.github.io/Logging_1784/artfynd/A 51666-2020 artfynd.xlsx", "A 51666-2020")</f>
        <v/>
      </c>
      <c r="T240">
        <f>HYPERLINK("https://klasma.github.io/Logging_1784/kartor/A 51666-2020 karta.png", "A 51666-2020")</f>
        <v/>
      </c>
      <c r="V240">
        <f>HYPERLINK("https://klasma.github.io/Logging_1784/klagomål/A 51666-2020 FSC-klagomål.docx", "A 51666-2020")</f>
        <v/>
      </c>
      <c r="W240">
        <f>HYPERLINK("https://klasma.github.io/Logging_1784/klagomålsmail/A 51666-2020 FSC-klagomål mail.docx", "A 51666-2020")</f>
        <v/>
      </c>
      <c r="X240">
        <f>HYPERLINK("https://klasma.github.io/Logging_1784/tillsyn/A 51666-2020 tillsynsbegäran.docx", "A 51666-2020")</f>
        <v/>
      </c>
      <c r="Y240">
        <f>HYPERLINK("https://klasma.github.io/Logging_1784/tillsynsmail/A 51666-2020 tillsynsbegäran mail.docx", "A 51666-2020")</f>
        <v/>
      </c>
    </row>
    <row r="241" ht="15" customHeight="1">
      <c r="A241" t="inlineStr">
        <is>
          <t>A 53198-2020</t>
        </is>
      </c>
      <c r="B241" s="1" t="n">
        <v>44122</v>
      </c>
      <c r="C241" s="1" t="n">
        <v>45736</v>
      </c>
      <c r="D241" t="inlineStr">
        <is>
          <t>VÄRMLANDS LÄN</t>
        </is>
      </c>
      <c r="E241" t="inlineStr">
        <is>
          <t>TORSBY</t>
        </is>
      </c>
      <c r="G241" t="n">
        <v>6.5</v>
      </c>
      <c r="H241" t="n">
        <v>0</v>
      </c>
      <c r="I241" t="n">
        <v>0</v>
      </c>
      <c r="J241" t="n">
        <v>2</v>
      </c>
      <c r="K241" t="n">
        <v>0</v>
      </c>
      <c r="L241" t="n">
        <v>0</v>
      </c>
      <c r="M241" t="n">
        <v>0</v>
      </c>
      <c r="N241" t="n">
        <v>0</v>
      </c>
      <c r="O241" t="n">
        <v>2</v>
      </c>
      <c r="P241" t="n">
        <v>0</v>
      </c>
      <c r="Q241" t="n">
        <v>2</v>
      </c>
      <c r="R241" s="2" t="inlineStr">
        <is>
          <t>Garnlav
Kolflarnlav</t>
        </is>
      </c>
      <c r="S241">
        <f>HYPERLINK("https://klasma.github.io/Logging_1737/artfynd/A 53198-2020 artfynd.xlsx", "A 53198-2020")</f>
        <v/>
      </c>
      <c r="T241">
        <f>HYPERLINK("https://klasma.github.io/Logging_1737/kartor/A 53198-2020 karta.png", "A 53198-2020")</f>
        <v/>
      </c>
      <c r="V241">
        <f>HYPERLINK("https://klasma.github.io/Logging_1737/klagomål/A 53198-2020 FSC-klagomål.docx", "A 53198-2020")</f>
        <v/>
      </c>
      <c r="W241">
        <f>HYPERLINK("https://klasma.github.io/Logging_1737/klagomålsmail/A 53198-2020 FSC-klagomål mail.docx", "A 53198-2020")</f>
        <v/>
      </c>
      <c r="X241">
        <f>HYPERLINK("https://klasma.github.io/Logging_1737/tillsyn/A 53198-2020 tillsynsbegäran.docx", "A 53198-2020")</f>
        <v/>
      </c>
      <c r="Y241">
        <f>HYPERLINK("https://klasma.github.io/Logging_1737/tillsynsmail/A 53198-2020 tillsynsbegäran mail.docx", "A 53198-2020")</f>
        <v/>
      </c>
    </row>
    <row r="242" ht="15" customHeight="1">
      <c r="A242" t="inlineStr">
        <is>
          <t>A 1524-2021</t>
        </is>
      </c>
      <c r="B242" s="1" t="n">
        <v>44209</v>
      </c>
      <c r="C242" s="1" t="n">
        <v>45736</v>
      </c>
      <c r="D242" t="inlineStr">
        <is>
          <t>VÄRMLANDS LÄN</t>
        </is>
      </c>
      <c r="E242" t="inlineStr">
        <is>
          <t>TORSBY</t>
        </is>
      </c>
      <c r="G242" t="n">
        <v>1</v>
      </c>
      <c r="H242" t="n">
        <v>0</v>
      </c>
      <c r="I242" t="n">
        <v>2</v>
      </c>
      <c r="J242" t="n">
        <v>0</v>
      </c>
      <c r="K242" t="n">
        <v>0</v>
      </c>
      <c r="L242" t="n">
        <v>0</v>
      </c>
      <c r="M242" t="n">
        <v>0</v>
      </c>
      <c r="N242" t="n">
        <v>0</v>
      </c>
      <c r="O242" t="n">
        <v>0</v>
      </c>
      <c r="P242" t="n">
        <v>0</v>
      </c>
      <c r="Q242" t="n">
        <v>2</v>
      </c>
      <c r="R242" s="2" t="inlineStr">
        <is>
          <t>Dropptaggsvamp
Skarp dropptaggsvamp</t>
        </is>
      </c>
      <c r="S242">
        <f>HYPERLINK("https://klasma.github.io/Logging_1737/artfynd/A 1524-2021 artfynd.xlsx", "A 1524-2021")</f>
        <v/>
      </c>
      <c r="T242">
        <f>HYPERLINK("https://klasma.github.io/Logging_1737/kartor/A 1524-2021 karta.png", "A 1524-2021")</f>
        <v/>
      </c>
      <c r="V242">
        <f>HYPERLINK("https://klasma.github.io/Logging_1737/klagomål/A 1524-2021 FSC-klagomål.docx", "A 1524-2021")</f>
        <v/>
      </c>
      <c r="W242">
        <f>HYPERLINK("https://klasma.github.io/Logging_1737/klagomålsmail/A 1524-2021 FSC-klagomål mail.docx", "A 1524-2021")</f>
        <v/>
      </c>
      <c r="X242">
        <f>HYPERLINK("https://klasma.github.io/Logging_1737/tillsyn/A 1524-2021 tillsynsbegäran.docx", "A 1524-2021")</f>
        <v/>
      </c>
      <c r="Y242">
        <f>HYPERLINK("https://klasma.github.io/Logging_1737/tillsynsmail/A 1524-2021 tillsynsbegäran mail.docx", "A 1524-2021")</f>
        <v/>
      </c>
    </row>
    <row r="243" ht="15" customHeight="1">
      <c r="A243" t="inlineStr">
        <is>
          <t>A 10098-2021</t>
        </is>
      </c>
      <c r="B243" s="1" t="n">
        <v>44253</v>
      </c>
      <c r="C243" s="1" t="n">
        <v>45736</v>
      </c>
      <c r="D243" t="inlineStr">
        <is>
          <t>VÄRMLANDS LÄN</t>
        </is>
      </c>
      <c r="E243" t="inlineStr">
        <is>
          <t>GRUMS</t>
        </is>
      </c>
      <c r="F243" t="inlineStr">
        <is>
          <t>Bergvik skog väst AB</t>
        </is>
      </c>
      <c r="G243" t="n">
        <v>8.4</v>
      </c>
      <c r="H243" t="n">
        <v>2</v>
      </c>
      <c r="I243" t="n">
        <v>0</v>
      </c>
      <c r="J243" t="n">
        <v>1</v>
      </c>
      <c r="K243" t="n">
        <v>0</v>
      </c>
      <c r="L243" t="n">
        <v>0</v>
      </c>
      <c r="M243" t="n">
        <v>0</v>
      </c>
      <c r="N243" t="n">
        <v>0</v>
      </c>
      <c r="O243" t="n">
        <v>1</v>
      </c>
      <c r="P243" t="n">
        <v>0</v>
      </c>
      <c r="Q243" t="n">
        <v>2</v>
      </c>
      <c r="R243" s="2" t="inlineStr">
        <is>
          <t>Spillkråka
Vanlig groda</t>
        </is>
      </c>
      <c r="S243">
        <f>HYPERLINK("https://klasma.github.io/Logging_1764/artfynd/A 10098-2021 artfynd.xlsx", "A 10098-2021")</f>
        <v/>
      </c>
      <c r="T243">
        <f>HYPERLINK("https://klasma.github.io/Logging_1764/kartor/A 10098-2021 karta.png", "A 10098-2021")</f>
        <v/>
      </c>
      <c r="V243">
        <f>HYPERLINK("https://klasma.github.io/Logging_1764/klagomål/A 10098-2021 FSC-klagomål.docx", "A 10098-2021")</f>
        <v/>
      </c>
      <c r="W243">
        <f>HYPERLINK("https://klasma.github.io/Logging_1764/klagomålsmail/A 10098-2021 FSC-klagomål mail.docx", "A 10098-2021")</f>
        <v/>
      </c>
      <c r="X243">
        <f>HYPERLINK("https://klasma.github.io/Logging_1764/tillsyn/A 10098-2021 tillsynsbegäran.docx", "A 10098-2021")</f>
        <v/>
      </c>
      <c r="Y243">
        <f>HYPERLINK("https://klasma.github.io/Logging_1764/tillsynsmail/A 10098-2021 tillsynsbegäran mail.docx", "A 10098-2021")</f>
        <v/>
      </c>
      <c r="Z243">
        <f>HYPERLINK("https://klasma.github.io/Logging_1764/fåglar/A 10098-2021 prioriterade fågelarter.docx", "A 10098-2021")</f>
        <v/>
      </c>
    </row>
    <row r="244" ht="15" customHeight="1">
      <c r="A244" t="inlineStr">
        <is>
          <t>A 11581-2021</t>
        </is>
      </c>
      <c r="B244" s="1" t="n">
        <v>44264</v>
      </c>
      <c r="C244" s="1" t="n">
        <v>45736</v>
      </c>
      <c r="D244" t="inlineStr">
        <is>
          <t>VÄRMLANDS LÄN</t>
        </is>
      </c>
      <c r="E244" t="inlineStr">
        <is>
          <t>KARLSTAD</t>
        </is>
      </c>
      <c r="F244" t="inlineStr">
        <is>
          <t>Kommuner</t>
        </is>
      </c>
      <c r="G244" t="n">
        <v>2.3</v>
      </c>
      <c r="H244" t="n">
        <v>0</v>
      </c>
      <c r="I244" t="n">
        <v>2</v>
      </c>
      <c r="J244" t="n">
        <v>0</v>
      </c>
      <c r="K244" t="n">
        <v>0</v>
      </c>
      <c r="L244" t="n">
        <v>0</v>
      </c>
      <c r="M244" t="n">
        <v>0</v>
      </c>
      <c r="N244" t="n">
        <v>0</v>
      </c>
      <c r="O244" t="n">
        <v>0</v>
      </c>
      <c r="P244" t="n">
        <v>0</v>
      </c>
      <c r="Q244" t="n">
        <v>2</v>
      </c>
      <c r="R244" s="2" t="inlineStr">
        <is>
          <t>Rödgul trumpetsvamp
Vågbandad barkbock</t>
        </is>
      </c>
      <c r="S244">
        <f>HYPERLINK("https://klasma.github.io/Logging_1780/artfynd/A 11581-2021 artfynd.xlsx", "A 11581-2021")</f>
        <v/>
      </c>
      <c r="T244">
        <f>HYPERLINK("https://klasma.github.io/Logging_1780/kartor/A 11581-2021 karta.png", "A 11581-2021")</f>
        <v/>
      </c>
      <c r="V244">
        <f>HYPERLINK("https://klasma.github.io/Logging_1780/klagomål/A 11581-2021 FSC-klagomål.docx", "A 11581-2021")</f>
        <v/>
      </c>
      <c r="W244">
        <f>HYPERLINK("https://klasma.github.io/Logging_1780/klagomålsmail/A 11581-2021 FSC-klagomål mail.docx", "A 11581-2021")</f>
        <v/>
      </c>
      <c r="X244">
        <f>HYPERLINK("https://klasma.github.io/Logging_1780/tillsyn/A 11581-2021 tillsynsbegäran.docx", "A 11581-2021")</f>
        <v/>
      </c>
      <c r="Y244">
        <f>HYPERLINK("https://klasma.github.io/Logging_1780/tillsynsmail/A 11581-2021 tillsynsbegäran mail.docx", "A 11581-2021")</f>
        <v/>
      </c>
    </row>
    <row r="245" ht="15" customHeight="1">
      <c r="A245" t="inlineStr">
        <is>
          <t>A 17055-2021</t>
        </is>
      </c>
      <c r="B245" s="1" t="n">
        <v>44296</v>
      </c>
      <c r="C245" s="1" t="n">
        <v>45736</v>
      </c>
      <c r="D245" t="inlineStr">
        <is>
          <t>VÄRMLANDS LÄN</t>
        </is>
      </c>
      <c r="E245" t="inlineStr">
        <is>
          <t>EDA</t>
        </is>
      </c>
      <c r="G245" t="n">
        <v>3.8</v>
      </c>
      <c r="H245" t="n">
        <v>0</v>
      </c>
      <c r="I245" t="n">
        <v>1</v>
      </c>
      <c r="J245" t="n">
        <v>0</v>
      </c>
      <c r="K245" t="n">
        <v>0</v>
      </c>
      <c r="L245" t="n">
        <v>1</v>
      </c>
      <c r="M245" t="n">
        <v>0</v>
      </c>
      <c r="N245" t="n">
        <v>0</v>
      </c>
      <c r="O245" t="n">
        <v>1</v>
      </c>
      <c r="P245" t="n">
        <v>1</v>
      </c>
      <c r="Q245" t="n">
        <v>2</v>
      </c>
      <c r="R245" s="2" t="inlineStr">
        <is>
          <t>Ask
Dvärghäxört</t>
        </is>
      </c>
      <c r="S245">
        <f>HYPERLINK("https://klasma.github.io/Logging_1730/artfynd/A 17055-2021 artfynd.xlsx", "A 17055-2021")</f>
        <v/>
      </c>
      <c r="T245">
        <f>HYPERLINK("https://klasma.github.io/Logging_1730/kartor/A 17055-2021 karta.png", "A 17055-2021")</f>
        <v/>
      </c>
      <c r="V245">
        <f>HYPERLINK("https://klasma.github.io/Logging_1730/klagomål/A 17055-2021 FSC-klagomål.docx", "A 17055-2021")</f>
        <v/>
      </c>
      <c r="W245">
        <f>HYPERLINK("https://klasma.github.io/Logging_1730/klagomålsmail/A 17055-2021 FSC-klagomål mail.docx", "A 17055-2021")</f>
        <v/>
      </c>
      <c r="X245">
        <f>HYPERLINK("https://klasma.github.io/Logging_1730/tillsyn/A 17055-2021 tillsynsbegäran.docx", "A 17055-2021")</f>
        <v/>
      </c>
      <c r="Y245">
        <f>HYPERLINK("https://klasma.github.io/Logging_1730/tillsynsmail/A 17055-2021 tillsynsbegäran mail.docx", "A 17055-2021")</f>
        <v/>
      </c>
    </row>
    <row r="246" ht="15" customHeight="1">
      <c r="A246" t="inlineStr">
        <is>
          <t>A 22410-2021</t>
        </is>
      </c>
      <c r="B246" s="1" t="n">
        <v>44326</v>
      </c>
      <c r="C246" s="1" t="n">
        <v>45736</v>
      </c>
      <c r="D246" t="inlineStr">
        <is>
          <t>VÄRMLANDS LÄN</t>
        </is>
      </c>
      <c r="E246" t="inlineStr">
        <is>
          <t>FILIPSTAD</t>
        </is>
      </c>
      <c r="F246" t="inlineStr">
        <is>
          <t>Bergvik skog väst AB</t>
        </is>
      </c>
      <c r="G246" t="n">
        <v>9.800000000000001</v>
      </c>
      <c r="H246" t="n">
        <v>1</v>
      </c>
      <c r="I246" t="n">
        <v>0</v>
      </c>
      <c r="J246" t="n">
        <v>1</v>
      </c>
      <c r="K246" t="n">
        <v>0</v>
      </c>
      <c r="L246" t="n">
        <v>0</v>
      </c>
      <c r="M246" t="n">
        <v>0</v>
      </c>
      <c r="N246" t="n">
        <v>0</v>
      </c>
      <c r="O246" t="n">
        <v>1</v>
      </c>
      <c r="P246" t="n">
        <v>0</v>
      </c>
      <c r="Q246" t="n">
        <v>2</v>
      </c>
      <c r="R246" s="2" t="inlineStr">
        <is>
          <t>Brunklöver
Revlummer</t>
        </is>
      </c>
      <c r="S246">
        <f>HYPERLINK("https://klasma.github.io/Logging_1782/artfynd/A 22410-2021 artfynd.xlsx", "A 22410-2021")</f>
        <v/>
      </c>
      <c r="T246">
        <f>HYPERLINK("https://klasma.github.io/Logging_1782/kartor/A 22410-2021 karta.png", "A 22410-2021")</f>
        <v/>
      </c>
      <c r="V246">
        <f>HYPERLINK("https://klasma.github.io/Logging_1782/klagomål/A 22410-2021 FSC-klagomål.docx", "A 22410-2021")</f>
        <v/>
      </c>
      <c r="W246">
        <f>HYPERLINK("https://klasma.github.io/Logging_1782/klagomålsmail/A 22410-2021 FSC-klagomål mail.docx", "A 22410-2021")</f>
        <v/>
      </c>
      <c r="X246">
        <f>HYPERLINK("https://klasma.github.io/Logging_1782/tillsyn/A 22410-2021 tillsynsbegäran.docx", "A 22410-2021")</f>
        <v/>
      </c>
      <c r="Y246">
        <f>HYPERLINK("https://klasma.github.io/Logging_1782/tillsynsmail/A 22410-2021 tillsynsbegäran mail.docx", "A 22410-2021")</f>
        <v/>
      </c>
    </row>
    <row r="247" ht="15" customHeight="1">
      <c r="A247" t="inlineStr">
        <is>
          <t>A 33866-2021</t>
        </is>
      </c>
      <c r="B247" s="1" t="n">
        <v>44378</v>
      </c>
      <c r="C247" s="1" t="n">
        <v>45736</v>
      </c>
      <c r="D247" t="inlineStr">
        <is>
          <t>VÄRMLANDS LÄN</t>
        </is>
      </c>
      <c r="E247" t="inlineStr">
        <is>
          <t>KARLSTAD</t>
        </is>
      </c>
      <c r="F247" t="inlineStr">
        <is>
          <t>Kyrkan</t>
        </is>
      </c>
      <c r="G247" t="n">
        <v>5.8</v>
      </c>
      <c r="H247" t="n">
        <v>2</v>
      </c>
      <c r="I247" t="n">
        <v>1</v>
      </c>
      <c r="J247" t="n">
        <v>0</v>
      </c>
      <c r="K247" t="n">
        <v>0</v>
      </c>
      <c r="L247" t="n">
        <v>0</v>
      </c>
      <c r="M247" t="n">
        <v>0</v>
      </c>
      <c r="N247" t="n">
        <v>0</v>
      </c>
      <c r="O247" t="n">
        <v>0</v>
      </c>
      <c r="P247" t="n">
        <v>0</v>
      </c>
      <c r="Q247" t="n">
        <v>2</v>
      </c>
      <c r="R247" s="2" t="inlineStr">
        <is>
          <t>Plattlummer
Mattlummer</t>
        </is>
      </c>
      <c r="S247">
        <f>HYPERLINK("https://klasma.github.io/Logging_1780/artfynd/A 33866-2021 artfynd.xlsx", "A 33866-2021")</f>
        <v/>
      </c>
      <c r="T247">
        <f>HYPERLINK("https://klasma.github.io/Logging_1780/kartor/A 33866-2021 karta.png", "A 33866-2021")</f>
        <v/>
      </c>
      <c r="V247">
        <f>HYPERLINK("https://klasma.github.io/Logging_1780/klagomål/A 33866-2021 FSC-klagomål.docx", "A 33866-2021")</f>
        <v/>
      </c>
      <c r="W247">
        <f>HYPERLINK("https://klasma.github.io/Logging_1780/klagomålsmail/A 33866-2021 FSC-klagomål mail.docx", "A 33866-2021")</f>
        <v/>
      </c>
      <c r="X247">
        <f>HYPERLINK("https://klasma.github.io/Logging_1780/tillsyn/A 33866-2021 tillsynsbegäran.docx", "A 33866-2021")</f>
        <v/>
      </c>
      <c r="Y247">
        <f>HYPERLINK("https://klasma.github.io/Logging_1780/tillsynsmail/A 33866-2021 tillsynsbegäran mail.docx", "A 33866-2021")</f>
        <v/>
      </c>
    </row>
    <row r="248" ht="15" customHeight="1">
      <c r="A248" t="inlineStr">
        <is>
          <t>A 38044-2021</t>
        </is>
      </c>
      <c r="B248" s="1" t="n">
        <v>44404</v>
      </c>
      <c r="C248" s="1" t="n">
        <v>45736</v>
      </c>
      <c r="D248" t="inlineStr">
        <is>
          <t>VÄRMLANDS LÄN</t>
        </is>
      </c>
      <c r="E248" t="inlineStr">
        <is>
          <t>EDA</t>
        </is>
      </c>
      <c r="G248" t="n">
        <v>11.4</v>
      </c>
      <c r="H248" t="n">
        <v>2</v>
      </c>
      <c r="I248" t="n">
        <v>0</v>
      </c>
      <c r="J248" t="n">
        <v>0</v>
      </c>
      <c r="K248" t="n">
        <v>0</v>
      </c>
      <c r="L248" t="n">
        <v>0</v>
      </c>
      <c r="M248" t="n">
        <v>0</v>
      </c>
      <c r="N248" t="n">
        <v>0</v>
      </c>
      <c r="O248" t="n">
        <v>0</v>
      </c>
      <c r="P248" t="n">
        <v>0</v>
      </c>
      <c r="Q248" t="n">
        <v>2</v>
      </c>
      <c r="R248" s="2" t="inlineStr">
        <is>
          <t>Grönsiska
Orre</t>
        </is>
      </c>
      <c r="S248">
        <f>HYPERLINK("https://klasma.github.io/Logging_1730/artfynd/A 38044-2021 artfynd.xlsx", "A 38044-2021")</f>
        <v/>
      </c>
      <c r="T248">
        <f>HYPERLINK("https://klasma.github.io/Logging_1730/kartor/A 38044-2021 karta.png", "A 38044-2021")</f>
        <v/>
      </c>
      <c r="V248">
        <f>HYPERLINK("https://klasma.github.io/Logging_1730/klagomål/A 38044-2021 FSC-klagomål.docx", "A 38044-2021")</f>
        <v/>
      </c>
      <c r="W248">
        <f>HYPERLINK("https://klasma.github.io/Logging_1730/klagomålsmail/A 38044-2021 FSC-klagomål mail.docx", "A 38044-2021")</f>
        <v/>
      </c>
      <c r="X248">
        <f>HYPERLINK("https://klasma.github.io/Logging_1730/tillsyn/A 38044-2021 tillsynsbegäran.docx", "A 38044-2021")</f>
        <v/>
      </c>
      <c r="Y248">
        <f>HYPERLINK("https://klasma.github.io/Logging_1730/tillsynsmail/A 38044-2021 tillsynsbegäran mail.docx", "A 38044-2021")</f>
        <v/>
      </c>
      <c r="Z248">
        <f>HYPERLINK("https://klasma.github.io/Logging_1730/fåglar/A 38044-2021 prioriterade fågelarter.docx", "A 38044-2021")</f>
        <v/>
      </c>
    </row>
    <row r="249" ht="15" customHeight="1">
      <c r="A249" t="inlineStr">
        <is>
          <t>A 43023-2021</t>
        </is>
      </c>
      <c r="B249" s="1" t="n">
        <v>44431</v>
      </c>
      <c r="C249" s="1" t="n">
        <v>45736</v>
      </c>
      <c r="D249" t="inlineStr">
        <is>
          <t>VÄRMLANDS LÄN</t>
        </is>
      </c>
      <c r="E249" t="inlineStr">
        <is>
          <t>TORSBY</t>
        </is>
      </c>
      <c r="G249" t="n">
        <v>1</v>
      </c>
      <c r="H249" t="n">
        <v>0</v>
      </c>
      <c r="I249" t="n">
        <v>0</v>
      </c>
      <c r="J249" t="n">
        <v>2</v>
      </c>
      <c r="K249" t="n">
        <v>0</v>
      </c>
      <c r="L249" t="n">
        <v>0</v>
      </c>
      <c r="M249" t="n">
        <v>0</v>
      </c>
      <c r="N249" t="n">
        <v>0</v>
      </c>
      <c r="O249" t="n">
        <v>2</v>
      </c>
      <c r="P249" t="n">
        <v>0</v>
      </c>
      <c r="Q249" t="n">
        <v>2</v>
      </c>
      <c r="R249" s="2" t="inlineStr">
        <is>
          <t>Doftskinn
Violettgrå tagellav</t>
        </is>
      </c>
      <c r="S249">
        <f>HYPERLINK("https://klasma.github.io/Logging_1737/artfynd/A 43023-2021 artfynd.xlsx", "A 43023-2021")</f>
        <v/>
      </c>
      <c r="T249">
        <f>HYPERLINK("https://klasma.github.io/Logging_1737/kartor/A 43023-2021 karta.png", "A 43023-2021")</f>
        <v/>
      </c>
      <c r="V249">
        <f>HYPERLINK("https://klasma.github.io/Logging_1737/klagomål/A 43023-2021 FSC-klagomål.docx", "A 43023-2021")</f>
        <v/>
      </c>
      <c r="W249">
        <f>HYPERLINK("https://klasma.github.io/Logging_1737/klagomålsmail/A 43023-2021 FSC-klagomål mail.docx", "A 43023-2021")</f>
        <v/>
      </c>
      <c r="X249">
        <f>HYPERLINK("https://klasma.github.io/Logging_1737/tillsyn/A 43023-2021 tillsynsbegäran.docx", "A 43023-2021")</f>
        <v/>
      </c>
      <c r="Y249">
        <f>HYPERLINK("https://klasma.github.io/Logging_1737/tillsynsmail/A 43023-2021 tillsynsbegäran mail.docx", "A 43023-2021")</f>
        <v/>
      </c>
    </row>
    <row r="250" ht="15" customHeight="1">
      <c r="A250" t="inlineStr">
        <is>
          <t>A 45750-2021</t>
        </is>
      </c>
      <c r="B250" s="1" t="n">
        <v>44435</v>
      </c>
      <c r="C250" s="1" t="n">
        <v>45736</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48762-2021</t>
        </is>
      </c>
      <c r="B251" s="1" t="n">
        <v>44452</v>
      </c>
      <c r="C251" s="1" t="n">
        <v>45736</v>
      </c>
      <c r="D251" t="inlineStr">
        <is>
          <t>VÄRMLANDS LÄN</t>
        </is>
      </c>
      <c r="E251" t="inlineStr">
        <is>
          <t>SÄFFLE</t>
        </is>
      </c>
      <c r="F251" t="inlineStr">
        <is>
          <t>Bergvik skog väst AB</t>
        </is>
      </c>
      <c r="G251" t="n">
        <v>40.8</v>
      </c>
      <c r="H251" t="n">
        <v>0</v>
      </c>
      <c r="I251" t="n">
        <v>0</v>
      </c>
      <c r="J251" t="n">
        <v>2</v>
      </c>
      <c r="K251" t="n">
        <v>0</v>
      </c>
      <c r="L251" t="n">
        <v>0</v>
      </c>
      <c r="M251" t="n">
        <v>0</v>
      </c>
      <c r="N251" t="n">
        <v>0</v>
      </c>
      <c r="O251" t="n">
        <v>2</v>
      </c>
      <c r="P251" t="n">
        <v>0</v>
      </c>
      <c r="Q251" t="n">
        <v>2</v>
      </c>
      <c r="R251" s="2" t="inlineStr">
        <is>
          <t>Kandelabersvamp
Veckticka</t>
        </is>
      </c>
      <c r="S251">
        <f>HYPERLINK("https://klasma.github.io/Logging_1785/artfynd/A 48762-2021 artfynd.xlsx", "A 48762-2021")</f>
        <v/>
      </c>
      <c r="T251">
        <f>HYPERLINK("https://klasma.github.io/Logging_1785/kartor/A 48762-2021 karta.png", "A 48762-2021")</f>
        <v/>
      </c>
      <c r="V251">
        <f>HYPERLINK("https://klasma.github.io/Logging_1785/klagomål/A 48762-2021 FSC-klagomål.docx", "A 48762-2021")</f>
        <v/>
      </c>
      <c r="W251">
        <f>HYPERLINK("https://klasma.github.io/Logging_1785/klagomålsmail/A 48762-2021 FSC-klagomål mail.docx", "A 48762-2021")</f>
        <v/>
      </c>
      <c r="X251">
        <f>HYPERLINK("https://klasma.github.io/Logging_1785/tillsyn/A 48762-2021 tillsynsbegäran.docx", "A 48762-2021")</f>
        <v/>
      </c>
      <c r="Y251">
        <f>HYPERLINK("https://klasma.github.io/Logging_1785/tillsynsmail/A 48762-2021 tillsynsbegäran mail.docx", "A 48762-2021")</f>
        <v/>
      </c>
    </row>
    <row r="252" ht="15" customHeight="1">
      <c r="A252" t="inlineStr">
        <is>
          <t>A 50826-2021</t>
        </is>
      </c>
      <c r="B252" s="1" t="n">
        <v>44460</v>
      </c>
      <c r="C252" s="1" t="n">
        <v>45736</v>
      </c>
      <c r="D252" t="inlineStr">
        <is>
          <t>VÄRMLANDS LÄN</t>
        </is>
      </c>
      <c r="E252" t="inlineStr">
        <is>
          <t>KARLSTAD</t>
        </is>
      </c>
      <c r="F252" t="inlineStr">
        <is>
          <t>Kommuner</t>
        </is>
      </c>
      <c r="G252" t="n">
        <v>0.9</v>
      </c>
      <c r="H252" t="n">
        <v>1</v>
      </c>
      <c r="I252" t="n">
        <v>1</v>
      </c>
      <c r="J252" t="n">
        <v>1</v>
      </c>
      <c r="K252" t="n">
        <v>0</v>
      </c>
      <c r="L252" t="n">
        <v>0</v>
      </c>
      <c r="M252" t="n">
        <v>0</v>
      </c>
      <c r="N252" t="n">
        <v>0</v>
      </c>
      <c r="O252" t="n">
        <v>1</v>
      </c>
      <c r="P252" t="n">
        <v>0</v>
      </c>
      <c r="Q252" t="n">
        <v>2</v>
      </c>
      <c r="R252" s="2" t="inlineStr">
        <is>
          <t>Spillkråka
Flagellkvastmossa</t>
        </is>
      </c>
      <c r="S252">
        <f>HYPERLINK("https://klasma.github.io/Logging_1780/artfynd/A 50826-2021 artfynd.xlsx", "A 50826-2021")</f>
        <v/>
      </c>
      <c r="T252">
        <f>HYPERLINK("https://klasma.github.io/Logging_1780/kartor/A 50826-2021 karta.png", "A 50826-2021")</f>
        <v/>
      </c>
      <c r="V252">
        <f>HYPERLINK("https://klasma.github.io/Logging_1780/klagomål/A 50826-2021 FSC-klagomål.docx", "A 50826-2021")</f>
        <v/>
      </c>
      <c r="W252">
        <f>HYPERLINK("https://klasma.github.io/Logging_1780/klagomålsmail/A 50826-2021 FSC-klagomål mail.docx", "A 50826-2021")</f>
        <v/>
      </c>
      <c r="X252">
        <f>HYPERLINK("https://klasma.github.io/Logging_1780/tillsyn/A 50826-2021 tillsynsbegäran.docx", "A 50826-2021")</f>
        <v/>
      </c>
      <c r="Y252">
        <f>HYPERLINK("https://klasma.github.io/Logging_1780/tillsynsmail/A 50826-2021 tillsynsbegäran mail.docx", "A 50826-2021")</f>
        <v/>
      </c>
      <c r="Z252">
        <f>HYPERLINK("https://klasma.github.io/Logging_1780/fåglar/A 50826-2021 prioriterade fågelarter.docx", "A 50826-2021")</f>
        <v/>
      </c>
    </row>
    <row r="253" ht="15" customHeight="1">
      <c r="A253" t="inlineStr">
        <is>
          <t>A 51072-2021</t>
        </is>
      </c>
      <c r="B253" s="1" t="n">
        <v>44461</v>
      </c>
      <c r="C253" s="1" t="n">
        <v>45736</v>
      </c>
      <c r="D253" t="inlineStr">
        <is>
          <t>VÄRMLANDS LÄN</t>
        </is>
      </c>
      <c r="E253" t="inlineStr">
        <is>
          <t>FORSHAGA</t>
        </is>
      </c>
      <c r="G253" t="n">
        <v>19.6</v>
      </c>
      <c r="H253" t="n">
        <v>1</v>
      </c>
      <c r="I253" t="n">
        <v>0</v>
      </c>
      <c r="J253" t="n">
        <v>2</v>
      </c>
      <c r="K253" t="n">
        <v>0</v>
      </c>
      <c r="L253" t="n">
        <v>0</v>
      </c>
      <c r="M253" t="n">
        <v>0</v>
      </c>
      <c r="N253" t="n">
        <v>0</v>
      </c>
      <c r="O253" t="n">
        <v>2</v>
      </c>
      <c r="P253" t="n">
        <v>0</v>
      </c>
      <c r="Q253" t="n">
        <v>2</v>
      </c>
      <c r="R253" s="2" t="inlineStr">
        <is>
          <t>Brun gräsfjäril
Violettkantad guldvinge</t>
        </is>
      </c>
      <c r="S253">
        <f>HYPERLINK("https://klasma.github.io/Logging_1763/artfynd/A 51072-2021 artfynd.xlsx", "A 51072-2021")</f>
        <v/>
      </c>
      <c r="T253">
        <f>HYPERLINK("https://klasma.github.io/Logging_1763/kartor/A 51072-2021 karta.png", "A 51072-2021")</f>
        <v/>
      </c>
      <c r="V253">
        <f>HYPERLINK("https://klasma.github.io/Logging_1763/klagomål/A 51072-2021 FSC-klagomål.docx", "A 51072-2021")</f>
        <v/>
      </c>
      <c r="W253">
        <f>HYPERLINK("https://klasma.github.io/Logging_1763/klagomålsmail/A 51072-2021 FSC-klagomål mail.docx", "A 51072-2021")</f>
        <v/>
      </c>
      <c r="X253">
        <f>HYPERLINK("https://klasma.github.io/Logging_1763/tillsyn/A 51072-2021 tillsynsbegäran.docx", "A 51072-2021")</f>
        <v/>
      </c>
      <c r="Y253">
        <f>HYPERLINK("https://klasma.github.io/Logging_1763/tillsynsmail/A 51072-2021 tillsynsbegäran mail.docx", "A 51072-2021")</f>
        <v/>
      </c>
    </row>
    <row r="254" ht="15" customHeight="1">
      <c r="A254" t="inlineStr">
        <is>
          <t>A 54323-2021</t>
        </is>
      </c>
      <c r="B254" s="1" t="n">
        <v>44472</v>
      </c>
      <c r="C254" s="1" t="n">
        <v>45736</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55210-2021</t>
        </is>
      </c>
      <c r="B255" s="1" t="n">
        <v>44475</v>
      </c>
      <c r="C255" s="1" t="n">
        <v>45736</v>
      </c>
      <c r="D255" t="inlineStr">
        <is>
          <t>VÄRMLANDS LÄN</t>
        </is>
      </c>
      <c r="E255" t="inlineStr">
        <is>
          <t>KARLSTAD</t>
        </is>
      </c>
      <c r="F255" t="inlineStr">
        <is>
          <t>Kommuner</t>
        </is>
      </c>
      <c r="G255" t="n">
        <v>3.9</v>
      </c>
      <c r="H255" t="n">
        <v>1</v>
      </c>
      <c r="I255" t="n">
        <v>0</v>
      </c>
      <c r="J255" t="n">
        <v>2</v>
      </c>
      <c r="K255" t="n">
        <v>0</v>
      </c>
      <c r="L255" t="n">
        <v>0</v>
      </c>
      <c r="M255" t="n">
        <v>0</v>
      </c>
      <c r="N255" t="n">
        <v>0</v>
      </c>
      <c r="O255" t="n">
        <v>2</v>
      </c>
      <c r="P255" t="n">
        <v>0</v>
      </c>
      <c r="Q255" t="n">
        <v>2</v>
      </c>
      <c r="R255" s="2" t="inlineStr">
        <is>
          <t>Spillkråka
Tallticka</t>
        </is>
      </c>
      <c r="S255">
        <f>HYPERLINK("https://klasma.github.io/Logging_1780/artfynd/A 55210-2021 artfynd.xlsx", "A 55210-2021")</f>
        <v/>
      </c>
      <c r="T255">
        <f>HYPERLINK("https://klasma.github.io/Logging_1780/kartor/A 55210-2021 karta.png", "A 55210-2021")</f>
        <v/>
      </c>
      <c r="V255">
        <f>HYPERLINK("https://klasma.github.io/Logging_1780/klagomål/A 55210-2021 FSC-klagomål.docx", "A 55210-2021")</f>
        <v/>
      </c>
      <c r="W255">
        <f>HYPERLINK("https://klasma.github.io/Logging_1780/klagomålsmail/A 55210-2021 FSC-klagomål mail.docx", "A 55210-2021")</f>
        <v/>
      </c>
      <c r="X255">
        <f>HYPERLINK("https://klasma.github.io/Logging_1780/tillsyn/A 55210-2021 tillsynsbegäran.docx", "A 55210-2021")</f>
        <v/>
      </c>
      <c r="Y255">
        <f>HYPERLINK("https://klasma.github.io/Logging_1780/tillsynsmail/A 55210-2021 tillsynsbegäran mail.docx", "A 55210-2021")</f>
        <v/>
      </c>
      <c r="Z255">
        <f>HYPERLINK("https://klasma.github.io/Logging_1780/fåglar/A 55210-2021 prioriterade fågelarter.docx", "A 55210-2021")</f>
        <v/>
      </c>
    </row>
    <row r="256" ht="15" customHeight="1">
      <c r="A256" t="inlineStr">
        <is>
          <t>A 65319-2021</t>
        </is>
      </c>
      <c r="B256" s="1" t="n">
        <v>44515</v>
      </c>
      <c r="C256" s="1" t="n">
        <v>45736</v>
      </c>
      <c r="D256" t="inlineStr">
        <is>
          <t>VÄRMLANDS LÄN</t>
        </is>
      </c>
      <c r="E256" t="inlineStr">
        <is>
          <t>ÅRJÄNG</t>
        </is>
      </c>
      <c r="G256" t="n">
        <v>4.9</v>
      </c>
      <c r="H256" t="n">
        <v>0</v>
      </c>
      <c r="I256" t="n">
        <v>0</v>
      </c>
      <c r="J256" t="n">
        <v>2</v>
      </c>
      <c r="K256" t="n">
        <v>0</v>
      </c>
      <c r="L256" t="n">
        <v>0</v>
      </c>
      <c r="M256" t="n">
        <v>0</v>
      </c>
      <c r="N256" t="n">
        <v>0</v>
      </c>
      <c r="O256" t="n">
        <v>2</v>
      </c>
      <c r="P256" t="n">
        <v>0</v>
      </c>
      <c r="Q256" t="n">
        <v>2</v>
      </c>
      <c r="R256" s="2" t="inlineStr">
        <is>
          <t>Garnlav
Lunglav</t>
        </is>
      </c>
      <c r="S256">
        <f>HYPERLINK("https://klasma.github.io/Logging_1765/artfynd/A 65319-2021 artfynd.xlsx", "A 65319-2021")</f>
        <v/>
      </c>
      <c r="T256">
        <f>HYPERLINK("https://klasma.github.io/Logging_1765/kartor/A 65319-2021 karta.png", "A 65319-2021")</f>
        <v/>
      </c>
      <c r="U256">
        <f>HYPERLINK("https://klasma.github.io/Logging_1765/knärot/A 65319-2021 karta knärot.png", "A 65319-2021")</f>
        <v/>
      </c>
      <c r="V256">
        <f>HYPERLINK("https://klasma.github.io/Logging_1765/klagomål/A 65319-2021 FSC-klagomål.docx", "A 65319-2021")</f>
        <v/>
      </c>
      <c r="W256">
        <f>HYPERLINK("https://klasma.github.io/Logging_1765/klagomålsmail/A 65319-2021 FSC-klagomål mail.docx", "A 65319-2021")</f>
        <v/>
      </c>
      <c r="X256">
        <f>HYPERLINK("https://klasma.github.io/Logging_1765/tillsyn/A 65319-2021 tillsynsbegäran.docx", "A 65319-2021")</f>
        <v/>
      </c>
      <c r="Y256">
        <f>HYPERLINK("https://klasma.github.io/Logging_1765/tillsynsmail/A 65319-2021 tillsynsbegäran mail.docx", "A 65319-2021")</f>
        <v/>
      </c>
    </row>
    <row r="257" ht="15" customHeight="1">
      <c r="A257" t="inlineStr">
        <is>
          <t>A 66072-2021</t>
        </is>
      </c>
      <c r="B257" s="1" t="n">
        <v>44517</v>
      </c>
      <c r="C257" s="1" t="n">
        <v>45736</v>
      </c>
      <c r="D257" t="inlineStr">
        <is>
          <t>VÄRMLANDS LÄN</t>
        </is>
      </c>
      <c r="E257" t="inlineStr">
        <is>
          <t>FORSHAGA</t>
        </is>
      </c>
      <c r="F257" t="inlineStr">
        <is>
          <t>Bergvik skog väst AB</t>
        </is>
      </c>
      <c r="G257" t="n">
        <v>2</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HYPERLINK("https://klasma.github.io/Logging_1763/artfynd/A 66072-2021 artfynd.xlsx", "A 66072-2021")</f>
        <v/>
      </c>
      <c r="T257">
        <f>HYPERLINK("https://klasma.github.io/Logging_1763/kartor/A 66072-2021 karta.png", "A 66072-2021")</f>
        <v/>
      </c>
      <c r="V257">
        <f>HYPERLINK("https://klasma.github.io/Logging_1763/klagomål/A 66072-2021 FSC-klagomål.docx", "A 66072-2021")</f>
        <v/>
      </c>
      <c r="W257">
        <f>HYPERLINK("https://klasma.github.io/Logging_1763/klagomålsmail/A 66072-2021 FSC-klagomål mail.docx", "A 66072-2021")</f>
        <v/>
      </c>
      <c r="X257">
        <f>HYPERLINK("https://klasma.github.io/Logging_1763/tillsyn/A 66072-2021 tillsynsbegäran.docx", "A 66072-2021")</f>
        <v/>
      </c>
      <c r="Y257">
        <f>HYPERLINK("https://klasma.github.io/Logging_1763/tillsynsmail/A 66072-2021 tillsynsbegäran mail.docx", "A 66072-2021")</f>
        <v/>
      </c>
    </row>
    <row r="258" ht="15" customHeight="1">
      <c r="A258" t="inlineStr">
        <is>
          <t>A 66652-2021</t>
        </is>
      </c>
      <c r="B258" s="1" t="n">
        <v>44519</v>
      </c>
      <c r="C258" s="1" t="n">
        <v>45736</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69928-2021</t>
        </is>
      </c>
      <c r="B259" s="1" t="n">
        <v>44533</v>
      </c>
      <c r="C259" s="1" t="n">
        <v>45736</v>
      </c>
      <c r="D259" t="inlineStr">
        <is>
          <t>VÄRMLANDS LÄN</t>
        </is>
      </c>
      <c r="E259" t="inlineStr">
        <is>
          <t>ARVIKA</t>
        </is>
      </c>
      <c r="G259" t="n">
        <v>1.9</v>
      </c>
      <c r="H259" t="n">
        <v>0</v>
      </c>
      <c r="I259" t="n">
        <v>1</v>
      </c>
      <c r="J259" t="n">
        <v>1</v>
      </c>
      <c r="K259" t="n">
        <v>0</v>
      </c>
      <c r="L259" t="n">
        <v>0</v>
      </c>
      <c r="M259" t="n">
        <v>0</v>
      </c>
      <c r="N259" t="n">
        <v>0</v>
      </c>
      <c r="O259" t="n">
        <v>1</v>
      </c>
      <c r="P259" t="n">
        <v>0</v>
      </c>
      <c r="Q259" t="n">
        <v>2</v>
      </c>
      <c r="R259" s="2" t="inlineStr">
        <is>
          <t>Orange taggsvamp
Rödgul trumpetsvamp</t>
        </is>
      </c>
      <c r="S259">
        <f>HYPERLINK("https://klasma.github.io/Logging_1784/artfynd/A 69928-2021 artfynd.xlsx", "A 69928-2021")</f>
        <v/>
      </c>
      <c r="T259">
        <f>HYPERLINK("https://klasma.github.io/Logging_1784/kartor/A 69928-2021 karta.png", "A 69928-2021")</f>
        <v/>
      </c>
      <c r="V259">
        <f>HYPERLINK("https://klasma.github.io/Logging_1784/klagomål/A 69928-2021 FSC-klagomål.docx", "A 69928-2021")</f>
        <v/>
      </c>
      <c r="W259">
        <f>HYPERLINK("https://klasma.github.io/Logging_1784/klagomålsmail/A 69928-2021 FSC-klagomål mail.docx", "A 69928-2021")</f>
        <v/>
      </c>
      <c r="X259">
        <f>HYPERLINK("https://klasma.github.io/Logging_1784/tillsyn/A 69928-2021 tillsynsbegäran.docx", "A 69928-2021")</f>
        <v/>
      </c>
      <c r="Y259">
        <f>HYPERLINK("https://klasma.github.io/Logging_1784/tillsynsmail/A 69928-2021 tillsynsbegäran mail.docx", "A 69928-2021")</f>
        <v/>
      </c>
    </row>
    <row r="260" ht="15" customHeight="1">
      <c r="A260" t="inlineStr">
        <is>
          <t>A 72989-2021</t>
        </is>
      </c>
      <c r="B260" s="1" t="n">
        <v>44549</v>
      </c>
      <c r="C260" s="1" t="n">
        <v>45736</v>
      </c>
      <c r="D260" t="inlineStr">
        <is>
          <t>VÄRMLANDS LÄN</t>
        </is>
      </c>
      <c r="E260" t="inlineStr">
        <is>
          <t>FORSHAGA</t>
        </is>
      </c>
      <c r="G260" t="n">
        <v>3.3</v>
      </c>
      <c r="H260" t="n">
        <v>2</v>
      </c>
      <c r="I260" t="n">
        <v>0</v>
      </c>
      <c r="J260" t="n">
        <v>1</v>
      </c>
      <c r="K260" t="n">
        <v>1</v>
      </c>
      <c r="L260" t="n">
        <v>0</v>
      </c>
      <c r="M260" t="n">
        <v>0</v>
      </c>
      <c r="N260" t="n">
        <v>0</v>
      </c>
      <c r="O260" t="n">
        <v>2</v>
      </c>
      <c r="P260" t="n">
        <v>1</v>
      </c>
      <c r="Q260" t="n">
        <v>2</v>
      </c>
      <c r="R260" s="2" t="inlineStr">
        <is>
          <t>Kungsfiskare
Mindre hackspett</t>
        </is>
      </c>
      <c r="S260">
        <f>HYPERLINK("https://klasma.github.io/Logging_1763/artfynd/A 72989-2021 artfynd.xlsx", "A 72989-2021")</f>
        <v/>
      </c>
      <c r="T260">
        <f>HYPERLINK("https://klasma.github.io/Logging_1763/kartor/A 72989-2021 karta.png", "A 72989-2021")</f>
        <v/>
      </c>
      <c r="V260">
        <f>HYPERLINK("https://klasma.github.io/Logging_1763/klagomål/A 72989-2021 FSC-klagomål.docx", "A 72989-2021")</f>
        <v/>
      </c>
      <c r="W260">
        <f>HYPERLINK("https://klasma.github.io/Logging_1763/klagomålsmail/A 72989-2021 FSC-klagomål mail.docx", "A 72989-2021")</f>
        <v/>
      </c>
      <c r="X260">
        <f>HYPERLINK("https://klasma.github.io/Logging_1763/tillsyn/A 72989-2021 tillsynsbegäran.docx", "A 72989-2021")</f>
        <v/>
      </c>
      <c r="Y260">
        <f>HYPERLINK("https://klasma.github.io/Logging_1763/tillsynsmail/A 72989-2021 tillsynsbegäran mail.docx", "A 72989-2021")</f>
        <v/>
      </c>
      <c r="Z260">
        <f>HYPERLINK("https://klasma.github.io/Logging_1763/fåglar/A 72989-2021 prioriterade fågelarter.docx", "A 72989-2021")</f>
        <v/>
      </c>
    </row>
    <row r="261" ht="15" customHeight="1">
      <c r="A261" t="inlineStr">
        <is>
          <t>A 206-2022</t>
        </is>
      </c>
      <c r="B261" s="1" t="n">
        <v>44564</v>
      </c>
      <c r="C261" s="1" t="n">
        <v>45736</v>
      </c>
      <c r="D261" t="inlineStr">
        <is>
          <t>VÄRMLANDS LÄN</t>
        </is>
      </c>
      <c r="E261" t="inlineStr">
        <is>
          <t>SUNNE</t>
        </is>
      </c>
      <c r="G261" t="n">
        <v>11</v>
      </c>
      <c r="H261" t="n">
        <v>2</v>
      </c>
      <c r="I261" t="n">
        <v>0</v>
      </c>
      <c r="J261" t="n">
        <v>0</v>
      </c>
      <c r="K261" t="n">
        <v>0</v>
      </c>
      <c r="L261" t="n">
        <v>0</v>
      </c>
      <c r="M261" t="n">
        <v>0</v>
      </c>
      <c r="N261" t="n">
        <v>0</v>
      </c>
      <c r="O261" t="n">
        <v>0</v>
      </c>
      <c r="P261" t="n">
        <v>0</v>
      </c>
      <c r="Q261" t="n">
        <v>2</v>
      </c>
      <c r="R261" s="2" t="inlineStr">
        <is>
          <t>Kungsfågel
Sparvuggla</t>
        </is>
      </c>
      <c r="S261">
        <f>HYPERLINK("https://klasma.github.io/Logging_1766/artfynd/A 206-2022 artfynd.xlsx", "A 206-2022")</f>
        <v/>
      </c>
      <c r="T261">
        <f>HYPERLINK("https://klasma.github.io/Logging_1766/kartor/A 206-2022 karta.png", "A 206-2022")</f>
        <v/>
      </c>
      <c r="V261">
        <f>HYPERLINK("https://klasma.github.io/Logging_1766/klagomål/A 206-2022 FSC-klagomål.docx", "A 206-2022")</f>
        <v/>
      </c>
      <c r="W261">
        <f>HYPERLINK("https://klasma.github.io/Logging_1766/klagomålsmail/A 206-2022 FSC-klagomål mail.docx", "A 206-2022")</f>
        <v/>
      </c>
      <c r="X261">
        <f>HYPERLINK("https://klasma.github.io/Logging_1766/tillsyn/A 206-2022 tillsynsbegäran.docx", "A 206-2022")</f>
        <v/>
      </c>
      <c r="Y261">
        <f>HYPERLINK("https://klasma.github.io/Logging_1766/tillsynsmail/A 206-2022 tillsynsbegäran mail.docx", "A 206-2022")</f>
        <v/>
      </c>
      <c r="Z261">
        <f>HYPERLINK("https://klasma.github.io/Logging_1766/fåglar/A 206-2022 prioriterade fågelarter.docx", "A 206-2022")</f>
        <v/>
      </c>
    </row>
    <row r="262" ht="15" customHeight="1">
      <c r="A262" t="inlineStr">
        <is>
          <t>A 573-2022</t>
        </is>
      </c>
      <c r="B262" s="1" t="n">
        <v>44566</v>
      </c>
      <c r="C262" s="1" t="n">
        <v>45736</v>
      </c>
      <c r="D262" t="inlineStr">
        <is>
          <t>VÄRMLANDS LÄN</t>
        </is>
      </c>
      <c r="E262" t="inlineStr">
        <is>
          <t>SUNNE</t>
        </is>
      </c>
      <c r="G262" t="n">
        <v>7.1</v>
      </c>
      <c r="H262" t="n">
        <v>1</v>
      </c>
      <c r="I262" t="n">
        <v>2</v>
      </c>
      <c r="J262" t="n">
        <v>0</v>
      </c>
      <c r="K262" t="n">
        <v>0</v>
      </c>
      <c r="L262" t="n">
        <v>0</v>
      </c>
      <c r="M262" t="n">
        <v>0</v>
      </c>
      <c r="N262" t="n">
        <v>0</v>
      </c>
      <c r="O262" t="n">
        <v>0</v>
      </c>
      <c r="P262" t="n">
        <v>0</v>
      </c>
      <c r="Q262" t="n">
        <v>2</v>
      </c>
      <c r="R262" s="2" t="inlineStr">
        <is>
          <t>Grön sköldmossa
Stubbspretmossa</t>
        </is>
      </c>
      <c r="S262">
        <f>HYPERLINK("https://klasma.github.io/Logging_1766/artfynd/A 573-2022 artfynd.xlsx", "A 573-2022")</f>
        <v/>
      </c>
      <c r="T262">
        <f>HYPERLINK("https://klasma.github.io/Logging_1766/kartor/A 573-2022 karta.png", "A 573-2022")</f>
        <v/>
      </c>
      <c r="V262">
        <f>HYPERLINK("https://klasma.github.io/Logging_1766/klagomål/A 573-2022 FSC-klagomål.docx", "A 573-2022")</f>
        <v/>
      </c>
      <c r="W262">
        <f>HYPERLINK("https://klasma.github.io/Logging_1766/klagomålsmail/A 573-2022 FSC-klagomål mail.docx", "A 573-2022")</f>
        <v/>
      </c>
      <c r="X262">
        <f>HYPERLINK("https://klasma.github.io/Logging_1766/tillsyn/A 573-2022 tillsynsbegäran.docx", "A 573-2022")</f>
        <v/>
      </c>
      <c r="Y262">
        <f>HYPERLINK("https://klasma.github.io/Logging_1766/tillsynsmail/A 573-2022 tillsynsbegäran mail.docx", "A 573-2022")</f>
        <v/>
      </c>
    </row>
    <row r="263" ht="15" customHeight="1">
      <c r="A263" t="inlineStr">
        <is>
          <t>A 656-2022</t>
        </is>
      </c>
      <c r="B263" s="1" t="n">
        <v>44566</v>
      </c>
      <c r="C263" s="1" t="n">
        <v>45736</v>
      </c>
      <c r="D263" t="inlineStr">
        <is>
          <t>VÄRMLANDS LÄN</t>
        </is>
      </c>
      <c r="E263" t="inlineStr">
        <is>
          <t>HAGFORS</t>
        </is>
      </c>
      <c r="G263" t="n">
        <v>35.1</v>
      </c>
      <c r="H263" t="n">
        <v>0</v>
      </c>
      <c r="I263" t="n">
        <v>0</v>
      </c>
      <c r="J263" t="n">
        <v>2</v>
      </c>
      <c r="K263" t="n">
        <v>0</v>
      </c>
      <c r="L263" t="n">
        <v>0</v>
      </c>
      <c r="M263" t="n">
        <v>0</v>
      </c>
      <c r="N263" t="n">
        <v>0</v>
      </c>
      <c r="O263" t="n">
        <v>2</v>
      </c>
      <c r="P263" t="n">
        <v>0</v>
      </c>
      <c r="Q263" t="n">
        <v>2</v>
      </c>
      <c r="R263" s="2" t="inlineStr">
        <is>
          <t>Dvärgbägarlav
Vedskivlav</t>
        </is>
      </c>
      <c r="S263">
        <f>HYPERLINK("https://klasma.github.io/Logging_1783/artfynd/A 656-2022 artfynd.xlsx", "A 656-2022")</f>
        <v/>
      </c>
      <c r="T263">
        <f>HYPERLINK("https://klasma.github.io/Logging_1783/kartor/A 656-2022 karta.png", "A 656-2022")</f>
        <v/>
      </c>
      <c r="V263">
        <f>HYPERLINK("https://klasma.github.io/Logging_1783/klagomål/A 656-2022 FSC-klagomål.docx", "A 656-2022")</f>
        <v/>
      </c>
      <c r="W263">
        <f>HYPERLINK("https://klasma.github.io/Logging_1783/klagomålsmail/A 656-2022 FSC-klagomål mail.docx", "A 656-2022")</f>
        <v/>
      </c>
      <c r="X263">
        <f>HYPERLINK("https://klasma.github.io/Logging_1783/tillsyn/A 656-2022 tillsynsbegäran.docx", "A 656-2022")</f>
        <v/>
      </c>
      <c r="Y263">
        <f>HYPERLINK("https://klasma.github.io/Logging_1783/tillsynsmail/A 656-2022 tillsynsbegäran mail.docx", "A 656-2022")</f>
        <v/>
      </c>
    </row>
    <row r="264" ht="15" customHeight="1">
      <c r="A264" t="inlineStr">
        <is>
          <t>A 3340-2022</t>
        </is>
      </c>
      <c r="B264" s="1" t="n">
        <v>44585</v>
      </c>
      <c r="C264" s="1" t="n">
        <v>45736</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12375-2022</t>
        </is>
      </c>
      <c r="B265" s="1" t="n">
        <v>44637</v>
      </c>
      <c r="C265" s="1" t="n">
        <v>45736</v>
      </c>
      <c r="D265" t="inlineStr">
        <is>
          <t>VÄRMLANDS LÄN</t>
        </is>
      </c>
      <c r="E265" t="inlineStr">
        <is>
          <t>TORSBY</t>
        </is>
      </c>
      <c r="G265" t="n">
        <v>5.8</v>
      </c>
      <c r="H265" t="n">
        <v>0</v>
      </c>
      <c r="I265" t="n">
        <v>1</v>
      </c>
      <c r="J265" t="n">
        <v>1</v>
      </c>
      <c r="K265" t="n">
        <v>0</v>
      </c>
      <c r="L265" t="n">
        <v>0</v>
      </c>
      <c r="M265" t="n">
        <v>0</v>
      </c>
      <c r="N265" t="n">
        <v>0</v>
      </c>
      <c r="O265" t="n">
        <v>1</v>
      </c>
      <c r="P265" t="n">
        <v>0</v>
      </c>
      <c r="Q265" t="n">
        <v>2</v>
      </c>
      <c r="R265" s="2" t="inlineStr">
        <is>
          <t>Garnlav
Nästlav</t>
        </is>
      </c>
      <c r="S265">
        <f>HYPERLINK("https://klasma.github.io/Logging_1737/artfynd/A 12375-2022 artfynd.xlsx", "A 12375-2022")</f>
        <v/>
      </c>
      <c r="T265">
        <f>HYPERLINK("https://klasma.github.io/Logging_1737/kartor/A 12375-2022 karta.png", "A 12375-2022")</f>
        <v/>
      </c>
      <c r="V265">
        <f>HYPERLINK("https://klasma.github.io/Logging_1737/klagomål/A 12375-2022 FSC-klagomål.docx", "A 12375-2022")</f>
        <v/>
      </c>
      <c r="W265">
        <f>HYPERLINK("https://klasma.github.io/Logging_1737/klagomålsmail/A 12375-2022 FSC-klagomål mail.docx", "A 12375-2022")</f>
        <v/>
      </c>
      <c r="X265">
        <f>HYPERLINK("https://klasma.github.io/Logging_1737/tillsyn/A 12375-2022 tillsynsbegäran.docx", "A 12375-2022")</f>
        <v/>
      </c>
      <c r="Y265">
        <f>HYPERLINK("https://klasma.github.io/Logging_1737/tillsynsmail/A 12375-2022 tillsynsbegäran mail.docx", "A 12375-2022")</f>
        <v/>
      </c>
    </row>
    <row r="266" ht="15" customHeight="1">
      <c r="A266" t="inlineStr">
        <is>
          <t>A 12372-2022</t>
        </is>
      </c>
      <c r="B266" s="1" t="n">
        <v>44637</v>
      </c>
      <c r="C266" s="1" t="n">
        <v>45736</v>
      </c>
      <c r="D266" t="inlineStr">
        <is>
          <t>VÄRMLANDS LÄN</t>
        </is>
      </c>
      <c r="E266" t="inlineStr">
        <is>
          <t>TORSBY</t>
        </is>
      </c>
      <c r="G266" t="n">
        <v>3.4</v>
      </c>
      <c r="H266" t="n">
        <v>0</v>
      </c>
      <c r="I266" t="n">
        <v>0</v>
      </c>
      <c r="J266" t="n">
        <v>2</v>
      </c>
      <c r="K266" t="n">
        <v>0</v>
      </c>
      <c r="L266" t="n">
        <v>0</v>
      </c>
      <c r="M266" t="n">
        <v>0</v>
      </c>
      <c r="N266" t="n">
        <v>0</v>
      </c>
      <c r="O266" t="n">
        <v>2</v>
      </c>
      <c r="P266" t="n">
        <v>0</v>
      </c>
      <c r="Q266" t="n">
        <v>2</v>
      </c>
      <c r="R266" s="2" t="inlineStr">
        <is>
          <t>Gammelgransskål
Garnlav</t>
        </is>
      </c>
      <c r="S266">
        <f>HYPERLINK("https://klasma.github.io/Logging_1737/artfynd/A 12372-2022 artfynd.xlsx", "A 12372-2022")</f>
        <v/>
      </c>
      <c r="T266">
        <f>HYPERLINK("https://klasma.github.io/Logging_1737/kartor/A 12372-2022 karta.png", "A 12372-2022")</f>
        <v/>
      </c>
      <c r="V266">
        <f>HYPERLINK("https://klasma.github.io/Logging_1737/klagomål/A 12372-2022 FSC-klagomål.docx", "A 12372-2022")</f>
        <v/>
      </c>
      <c r="W266">
        <f>HYPERLINK("https://klasma.github.io/Logging_1737/klagomålsmail/A 12372-2022 FSC-klagomål mail.docx", "A 12372-2022")</f>
        <v/>
      </c>
      <c r="X266">
        <f>HYPERLINK("https://klasma.github.io/Logging_1737/tillsyn/A 12372-2022 tillsynsbegäran.docx", "A 12372-2022")</f>
        <v/>
      </c>
      <c r="Y266">
        <f>HYPERLINK("https://klasma.github.io/Logging_1737/tillsynsmail/A 12372-2022 tillsynsbegäran mail.docx", "A 12372-2022")</f>
        <v/>
      </c>
    </row>
    <row r="267" ht="15" customHeight="1">
      <c r="A267" t="inlineStr">
        <is>
          <t>A 13548-2022</t>
        </is>
      </c>
      <c r="B267" s="1" t="n">
        <v>44648</v>
      </c>
      <c r="C267" s="1" t="n">
        <v>45736</v>
      </c>
      <c r="D267" t="inlineStr">
        <is>
          <t>VÄRMLANDS LÄN</t>
        </is>
      </c>
      <c r="E267" t="inlineStr">
        <is>
          <t>KARLSTAD</t>
        </is>
      </c>
      <c r="F267" t="inlineStr">
        <is>
          <t>Bergvik skog väst AB</t>
        </is>
      </c>
      <c r="G267" t="n">
        <v>15.9</v>
      </c>
      <c r="H267" t="n">
        <v>1</v>
      </c>
      <c r="I267" t="n">
        <v>0</v>
      </c>
      <c r="J267" t="n">
        <v>1</v>
      </c>
      <c r="K267" t="n">
        <v>0</v>
      </c>
      <c r="L267" t="n">
        <v>0</v>
      </c>
      <c r="M267" t="n">
        <v>0</v>
      </c>
      <c r="N267" t="n">
        <v>0</v>
      </c>
      <c r="O267" t="n">
        <v>1</v>
      </c>
      <c r="P267" t="n">
        <v>0</v>
      </c>
      <c r="Q267" t="n">
        <v>2</v>
      </c>
      <c r="R267" s="2" t="inlineStr">
        <is>
          <t>Motaggsvamp
Tjäder</t>
        </is>
      </c>
      <c r="S267">
        <f>HYPERLINK("https://klasma.github.io/Logging_1780/artfynd/A 13548-2022 artfynd.xlsx", "A 13548-2022")</f>
        <v/>
      </c>
      <c r="T267">
        <f>HYPERLINK("https://klasma.github.io/Logging_1780/kartor/A 13548-2022 karta.png", "A 13548-2022")</f>
        <v/>
      </c>
      <c r="V267">
        <f>HYPERLINK("https://klasma.github.io/Logging_1780/klagomål/A 13548-2022 FSC-klagomål.docx", "A 13548-2022")</f>
        <v/>
      </c>
      <c r="W267">
        <f>HYPERLINK("https://klasma.github.io/Logging_1780/klagomålsmail/A 13548-2022 FSC-klagomål mail.docx", "A 13548-2022")</f>
        <v/>
      </c>
      <c r="X267">
        <f>HYPERLINK("https://klasma.github.io/Logging_1780/tillsyn/A 13548-2022 tillsynsbegäran.docx", "A 13548-2022")</f>
        <v/>
      </c>
      <c r="Y267">
        <f>HYPERLINK("https://klasma.github.io/Logging_1780/tillsynsmail/A 13548-2022 tillsynsbegäran mail.docx", "A 13548-2022")</f>
        <v/>
      </c>
      <c r="Z267">
        <f>HYPERLINK("https://klasma.github.io/Logging_1780/fåglar/A 13548-2022 prioriterade fågelarter.docx", "A 13548-2022")</f>
        <v/>
      </c>
    </row>
    <row r="268" ht="15" customHeight="1">
      <c r="A268" t="inlineStr">
        <is>
          <t>A 16766-2022</t>
        </is>
      </c>
      <c r="B268" s="1" t="n">
        <v>44673</v>
      </c>
      <c r="C268" s="1" t="n">
        <v>45736</v>
      </c>
      <c r="D268" t="inlineStr">
        <is>
          <t>VÄRMLANDS LÄN</t>
        </is>
      </c>
      <c r="E268" t="inlineStr">
        <is>
          <t>SÄFFLE</t>
        </is>
      </c>
      <c r="F268" t="inlineStr">
        <is>
          <t>Kyrkan</t>
        </is>
      </c>
      <c r="G268" t="n">
        <v>5.5</v>
      </c>
      <c r="H268" t="n">
        <v>1</v>
      </c>
      <c r="I268" t="n">
        <v>1</v>
      </c>
      <c r="J268" t="n">
        <v>0</v>
      </c>
      <c r="K268" t="n">
        <v>1</v>
      </c>
      <c r="L268" t="n">
        <v>0</v>
      </c>
      <c r="M268" t="n">
        <v>0</v>
      </c>
      <c r="N268" t="n">
        <v>0</v>
      </c>
      <c r="O268" t="n">
        <v>1</v>
      </c>
      <c r="P268" t="n">
        <v>1</v>
      </c>
      <c r="Q268" t="n">
        <v>2</v>
      </c>
      <c r="R268" s="2" t="inlineStr">
        <is>
          <t>Slåttergubbe
Korallrot</t>
        </is>
      </c>
      <c r="S268">
        <f>HYPERLINK("https://klasma.github.io/Logging_1785/artfynd/A 16766-2022 artfynd.xlsx", "A 16766-2022")</f>
        <v/>
      </c>
      <c r="T268">
        <f>HYPERLINK("https://klasma.github.io/Logging_1785/kartor/A 16766-2022 karta.png", "A 16766-2022")</f>
        <v/>
      </c>
      <c r="V268">
        <f>HYPERLINK("https://klasma.github.io/Logging_1785/klagomål/A 16766-2022 FSC-klagomål.docx", "A 16766-2022")</f>
        <v/>
      </c>
      <c r="W268">
        <f>HYPERLINK("https://klasma.github.io/Logging_1785/klagomålsmail/A 16766-2022 FSC-klagomål mail.docx", "A 16766-2022")</f>
        <v/>
      </c>
      <c r="X268">
        <f>HYPERLINK("https://klasma.github.io/Logging_1785/tillsyn/A 16766-2022 tillsynsbegäran.docx", "A 16766-2022")</f>
        <v/>
      </c>
      <c r="Y268">
        <f>HYPERLINK("https://klasma.github.io/Logging_1785/tillsynsmail/A 16766-2022 tillsynsbegäran mail.docx", "A 16766-2022")</f>
        <v/>
      </c>
    </row>
    <row r="269" ht="15" customHeight="1">
      <c r="A269" t="inlineStr">
        <is>
          <t>A 20765-2022</t>
        </is>
      </c>
      <c r="B269" s="1" t="n">
        <v>44701</v>
      </c>
      <c r="C269" s="1" t="n">
        <v>45736</v>
      </c>
      <c r="D269" t="inlineStr">
        <is>
          <t>VÄRMLANDS LÄN</t>
        </is>
      </c>
      <c r="E269" t="inlineStr">
        <is>
          <t>KARLSTAD</t>
        </is>
      </c>
      <c r="F269" t="inlineStr">
        <is>
          <t>Bergvik skog väst AB</t>
        </is>
      </c>
      <c r="G269" t="n">
        <v>3.4</v>
      </c>
      <c r="H269" t="n">
        <v>2</v>
      </c>
      <c r="I269" t="n">
        <v>0</v>
      </c>
      <c r="J269" t="n">
        <v>0</v>
      </c>
      <c r="K269" t="n">
        <v>0</v>
      </c>
      <c r="L269" t="n">
        <v>0</v>
      </c>
      <c r="M269" t="n">
        <v>0</v>
      </c>
      <c r="N269" t="n">
        <v>0</v>
      </c>
      <c r="O269" t="n">
        <v>0</v>
      </c>
      <c r="P269" t="n">
        <v>0</v>
      </c>
      <c r="Q269" t="n">
        <v>2</v>
      </c>
      <c r="R269" s="2" t="inlineStr">
        <is>
          <t>Fläcknycklar
Mattlummer</t>
        </is>
      </c>
      <c r="S269">
        <f>HYPERLINK("https://klasma.github.io/Logging_1780/artfynd/A 20765-2022 artfynd.xlsx", "A 20765-2022")</f>
        <v/>
      </c>
      <c r="T269">
        <f>HYPERLINK("https://klasma.github.io/Logging_1780/kartor/A 20765-2022 karta.png", "A 20765-2022")</f>
        <v/>
      </c>
      <c r="V269">
        <f>HYPERLINK("https://klasma.github.io/Logging_1780/klagomål/A 20765-2022 FSC-klagomål.docx", "A 20765-2022")</f>
        <v/>
      </c>
      <c r="W269">
        <f>HYPERLINK("https://klasma.github.io/Logging_1780/klagomålsmail/A 20765-2022 FSC-klagomål mail.docx", "A 20765-2022")</f>
        <v/>
      </c>
      <c r="X269">
        <f>HYPERLINK("https://klasma.github.io/Logging_1780/tillsyn/A 20765-2022 tillsynsbegäran.docx", "A 20765-2022")</f>
        <v/>
      </c>
      <c r="Y269">
        <f>HYPERLINK("https://klasma.github.io/Logging_1780/tillsynsmail/A 20765-2022 tillsynsbegäran mail.docx", "A 20765-2022")</f>
        <v/>
      </c>
    </row>
    <row r="270" ht="15" customHeight="1">
      <c r="A270" t="inlineStr">
        <is>
          <t>A 22174-2022</t>
        </is>
      </c>
      <c r="B270" s="1" t="n">
        <v>44712</v>
      </c>
      <c r="C270" s="1" t="n">
        <v>45736</v>
      </c>
      <c r="D270" t="inlineStr">
        <is>
          <t>VÄRMLANDS LÄN</t>
        </is>
      </c>
      <c r="E270" t="inlineStr">
        <is>
          <t>TORSBY</t>
        </is>
      </c>
      <c r="G270" t="n">
        <v>11</v>
      </c>
      <c r="H270" t="n">
        <v>1</v>
      </c>
      <c r="I270" t="n">
        <v>1</v>
      </c>
      <c r="J270" t="n">
        <v>0</v>
      </c>
      <c r="K270" t="n">
        <v>0</v>
      </c>
      <c r="L270" t="n">
        <v>0</v>
      </c>
      <c r="M270" t="n">
        <v>0</v>
      </c>
      <c r="N270" t="n">
        <v>0</v>
      </c>
      <c r="O270" t="n">
        <v>0</v>
      </c>
      <c r="P270" t="n">
        <v>0</v>
      </c>
      <c r="Q270" t="n">
        <v>2</v>
      </c>
      <c r="R270" s="2" t="inlineStr">
        <is>
          <t>Svart trolldruva
Revlummer</t>
        </is>
      </c>
      <c r="S270">
        <f>HYPERLINK("https://klasma.github.io/Logging_1737/artfynd/A 22174-2022 artfynd.xlsx", "A 22174-2022")</f>
        <v/>
      </c>
      <c r="T270">
        <f>HYPERLINK("https://klasma.github.io/Logging_1737/kartor/A 22174-2022 karta.png", "A 22174-2022")</f>
        <v/>
      </c>
      <c r="V270">
        <f>HYPERLINK("https://klasma.github.io/Logging_1737/klagomål/A 22174-2022 FSC-klagomål.docx", "A 22174-2022")</f>
        <v/>
      </c>
      <c r="W270">
        <f>HYPERLINK("https://klasma.github.io/Logging_1737/klagomålsmail/A 22174-2022 FSC-klagomål mail.docx", "A 22174-2022")</f>
        <v/>
      </c>
      <c r="X270">
        <f>HYPERLINK("https://klasma.github.io/Logging_1737/tillsyn/A 22174-2022 tillsynsbegäran.docx", "A 22174-2022")</f>
        <v/>
      </c>
      <c r="Y270">
        <f>HYPERLINK("https://klasma.github.io/Logging_1737/tillsynsmail/A 22174-2022 tillsynsbegäran mail.docx", "A 22174-2022")</f>
        <v/>
      </c>
    </row>
    <row r="271" ht="15" customHeight="1">
      <c r="A271" t="inlineStr">
        <is>
          <t>A 28156-2022</t>
        </is>
      </c>
      <c r="B271" s="1" t="n">
        <v>44746</v>
      </c>
      <c r="C271" s="1" t="n">
        <v>45736</v>
      </c>
      <c r="D271" t="inlineStr">
        <is>
          <t>VÄRMLANDS LÄN</t>
        </is>
      </c>
      <c r="E271" t="inlineStr">
        <is>
          <t>TORSBY</t>
        </is>
      </c>
      <c r="F271" t="inlineStr">
        <is>
          <t>Bergvik skog väst AB</t>
        </is>
      </c>
      <c r="G271" t="n">
        <v>8.300000000000001</v>
      </c>
      <c r="H271" t="n">
        <v>0</v>
      </c>
      <c r="I271" t="n">
        <v>0</v>
      </c>
      <c r="J271" t="n">
        <v>1</v>
      </c>
      <c r="K271" t="n">
        <v>1</v>
      </c>
      <c r="L271" t="n">
        <v>0</v>
      </c>
      <c r="M271" t="n">
        <v>0</v>
      </c>
      <c r="N271" t="n">
        <v>0</v>
      </c>
      <c r="O271" t="n">
        <v>2</v>
      </c>
      <c r="P271" t="n">
        <v>1</v>
      </c>
      <c r="Q271" t="n">
        <v>2</v>
      </c>
      <c r="R271" s="2" t="inlineStr">
        <is>
          <t>Raggbock
Tallticka</t>
        </is>
      </c>
      <c r="S271">
        <f>HYPERLINK("https://klasma.github.io/Logging_1737/artfynd/A 28156-2022 artfynd.xlsx", "A 28156-2022")</f>
        <v/>
      </c>
      <c r="T271">
        <f>HYPERLINK("https://klasma.github.io/Logging_1737/kartor/A 28156-2022 karta.png", "A 28156-2022")</f>
        <v/>
      </c>
      <c r="V271">
        <f>HYPERLINK("https://klasma.github.io/Logging_1737/klagomål/A 28156-2022 FSC-klagomål.docx", "A 28156-2022")</f>
        <v/>
      </c>
      <c r="W271">
        <f>HYPERLINK("https://klasma.github.io/Logging_1737/klagomålsmail/A 28156-2022 FSC-klagomål mail.docx", "A 28156-2022")</f>
        <v/>
      </c>
      <c r="X271">
        <f>HYPERLINK("https://klasma.github.io/Logging_1737/tillsyn/A 28156-2022 tillsynsbegäran.docx", "A 28156-2022")</f>
        <v/>
      </c>
      <c r="Y271">
        <f>HYPERLINK("https://klasma.github.io/Logging_1737/tillsynsmail/A 28156-2022 tillsynsbegäran mail.docx", "A 28156-2022")</f>
        <v/>
      </c>
    </row>
    <row r="272" ht="15" customHeight="1">
      <c r="A272" t="inlineStr">
        <is>
          <t>A 31603-2022</t>
        </is>
      </c>
      <c r="B272" s="1" t="n">
        <v>44775</v>
      </c>
      <c r="C272" s="1" t="n">
        <v>45736</v>
      </c>
      <c r="D272" t="inlineStr">
        <is>
          <t>VÄRMLANDS LÄN</t>
        </is>
      </c>
      <c r="E272" t="inlineStr">
        <is>
          <t>SUNNE</t>
        </is>
      </c>
      <c r="G272" t="n">
        <v>4.8</v>
      </c>
      <c r="H272" t="n">
        <v>1</v>
      </c>
      <c r="I272" t="n">
        <v>1</v>
      </c>
      <c r="J272" t="n">
        <v>0</v>
      </c>
      <c r="K272" t="n">
        <v>0</v>
      </c>
      <c r="L272" t="n">
        <v>0</v>
      </c>
      <c r="M272" t="n">
        <v>0</v>
      </c>
      <c r="N272" t="n">
        <v>0</v>
      </c>
      <c r="O272" t="n">
        <v>0</v>
      </c>
      <c r="P272" t="n">
        <v>0</v>
      </c>
      <c r="Q272" t="n">
        <v>2</v>
      </c>
      <c r="R272" s="2" t="inlineStr">
        <is>
          <t>Springkorn
Fläcknycklar</t>
        </is>
      </c>
      <c r="S272">
        <f>HYPERLINK("https://klasma.github.io/Logging_1766/artfynd/A 31603-2022 artfynd.xlsx", "A 31603-2022")</f>
        <v/>
      </c>
      <c r="T272">
        <f>HYPERLINK("https://klasma.github.io/Logging_1766/kartor/A 31603-2022 karta.png", "A 31603-2022")</f>
        <v/>
      </c>
      <c r="V272">
        <f>HYPERLINK("https://klasma.github.io/Logging_1766/klagomål/A 31603-2022 FSC-klagomål.docx", "A 31603-2022")</f>
        <v/>
      </c>
      <c r="W272">
        <f>HYPERLINK("https://klasma.github.io/Logging_1766/klagomålsmail/A 31603-2022 FSC-klagomål mail.docx", "A 31603-2022")</f>
        <v/>
      </c>
      <c r="X272">
        <f>HYPERLINK("https://klasma.github.io/Logging_1766/tillsyn/A 31603-2022 tillsynsbegäran.docx", "A 31603-2022")</f>
        <v/>
      </c>
      <c r="Y272">
        <f>HYPERLINK("https://klasma.github.io/Logging_1766/tillsynsmail/A 31603-2022 tillsynsbegäran mail.docx", "A 31603-2022")</f>
        <v/>
      </c>
    </row>
    <row r="273" ht="15" customHeight="1">
      <c r="A273" t="inlineStr">
        <is>
          <t>A 34930-2022</t>
        </is>
      </c>
      <c r="B273" s="1" t="n">
        <v>44796</v>
      </c>
      <c r="C273" s="1" t="n">
        <v>45736</v>
      </c>
      <c r="D273" t="inlineStr">
        <is>
          <t>VÄRMLANDS LÄN</t>
        </is>
      </c>
      <c r="E273" t="inlineStr">
        <is>
          <t>TORSBY</t>
        </is>
      </c>
      <c r="G273" t="n">
        <v>3.3</v>
      </c>
      <c r="H273" t="n">
        <v>0</v>
      </c>
      <c r="I273" t="n">
        <v>2</v>
      </c>
      <c r="J273" t="n">
        <v>0</v>
      </c>
      <c r="K273" t="n">
        <v>0</v>
      </c>
      <c r="L273" t="n">
        <v>0</v>
      </c>
      <c r="M273" t="n">
        <v>0</v>
      </c>
      <c r="N273" t="n">
        <v>0</v>
      </c>
      <c r="O273" t="n">
        <v>0</v>
      </c>
      <c r="P273" t="n">
        <v>0</v>
      </c>
      <c r="Q273" t="n">
        <v>2</v>
      </c>
      <c r="R273" s="2" t="inlineStr">
        <is>
          <t>Mörk husmossa
Terpentinmossa</t>
        </is>
      </c>
      <c r="S273">
        <f>HYPERLINK("https://klasma.github.io/Logging_1737/artfynd/A 34930-2022 artfynd.xlsx", "A 34930-2022")</f>
        <v/>
      </c>
      <c r="T273">
        <f>HYPERLINK("https://klasma.github.io/Logging_1737/kartor/A 34930-2022 karta.png", "A 34930-2022")</f>
        <v/>
      </c>
      <c r="V273">
        <f>HYPERLINK("https://klasma.github.io/Logging_1737/klagomål/A 34930-2022 FSC-klagomål.docx", "A 34930-2022")</f>
        <v/>
      </c>
      <c r="W273">
        <f>HYPERLINK("https://klasma.github.io/Logging_1737/klagomålsmail/A 34930-2022 FSC-klagomål mail.docx", "A 34930-2022")</f>
        <v/>
      </c>
      <c r="X273">
        <f>HYPERLINK("https://klasma.github.io/Logging_1737/tillsyn/A 34930-2022 tillsynsbegäran.docx", "A 34930-2022")</f>
        <v/>
      </c>
      <c r="Y273">
        <f>HYPERLINK("https://klasma.github.io/Logging_1737/tillsynsmail/A 34930-2022 tillsynsbegäran mail.docx", "A 34930-2022")</f>
        <v/>
      </c>
    </row>
    <row r="274" ht="15" customHeight="1">
      <c r="A274" t="inlineStr">
        <is>
          <t>A 36298-2022</t>
        </is>
      </c>
      <c r="B274" s="1" t="n">
        <v>44803</v>
      </c>
      <c r="C274" s="1" t="n">
        <v>45736</v>
      </c>
      <c r="D274" t="inlineStr">
        <is>
          <t>VÄRMLANDS LÄN</t>
        </is>
      </c>
      <c r="E274" t="inlineStr">
        <is>
          <t>KIL</t>
        </is>
      </c>
      <c r="G274" t="n">
        <v>2.1</v>
      </c>
      <c r="H274" t="n">
        <v>1</v>
      </c>
      <c r="I274" t="n">
        <v>0</v>
      </c>
      <c r="J274" t="n">
        <v>1</v>
      </c>
      <c r="K274" t="n">
        <v>0</v>
      </c>
      <c r="L274" t="n">
        <v>0</v>
      </c>
      <c r="M274" t="n">
        <v>0</v>
      </c>
      <c r="N274" t="n">
        <v>0</v>
      </c>
      <c r="O274" t="n">
        <v>1</v>
      </c>
      <c r="P274" t="n">
        <v>0</v>
      </c>
      <c r="Q274" t="n">
        <v>2</v>
      </c>
      <c r="R274" s="2" t="inlineStr">
        <is>
          <t>Orange taggsvamp
Fläcknycklar</t>
        </is>
      </c>
      <c r="S274">
        <f>HYPERLINK("https://klasma.github.io/Logging_1715/artfynd/A 36298-2022 artfynd.xlsx", "A 36298-2022")</f>
        <v/>
      </c>
      <c r="T274">
        <f>HYPERLINK("https://klasma.github.io/Logging_1715/kartor/A 36298-2022 karta.png", "A 36298-2022")</f>
        <v/>
      </c>
      <c r="V274">
        <f>HYPERLINK("https://klasma.github.io/Logging_1715/klagomål/A 36298-2022 FSC-klagomål.docx", "A 36298-2022")</f>
        <v/>
      </c>
      <c r="W274">
        <f>HYPERLINK("https://klasma.github.io/Logging_1715/klagomålsmail/A 36298-2022 FSC-klagomål mail.docx", "A 36298-2022")</f>
        <v/>
      </c>
      <c r="X274">
        <f>HYPERLINK("https://klasma.github.io/Logging_1715/tillsyn/A 36298-2022 tillsynsbegäran.docx", "A 36298-2022")</f>
        <v/>
      </c>
      <c r="Y274">
        <f>HYPERLINK("https://klasma.github.io/Logging_1715/tillsynsmail/A 36298-2022 tillsynsbegäran mail.docx", "A 36298-2022")</f>
        <v/>
      </c>
    </row>
    <row r="275" ht="15" customHeight="1">
      <c r="A275" t="inlineStr">
        <is>
          <t>A 40235-2022</t>
        </is>
      </c>
      <c r="B275" s="1" t="n">
        <v>44820</v>
      </c>
      <c r="C275" s="1" t="n">
        <v>45736</v>
      </c>
      <c r="D275" t="inlineStr">
        <is>
          <t>VÄRMLANDS LÄN</t>
        </is>
      </c>
      <c r="E275" t="inlineStr">
        <is>
          <t>SUNNE</t>
        </is>
      </c>
      <c r="G275" t="n">
        <v>6.5</v>
      </c>
      <c r="H275" t="n">
        <v>0</v>
      </c>
      <c r="I275" t="n">
        <v>0</v>
      </c>
      <c r="J275" t="n">
        <v>2</v>
      </c>
      <c r="K275" t="n">
        <v>0</v>
      </c>
      <c r="L275" t="n">
        <v>0</v>
      </c>
      <c r="M275" t="n">
        <v>0</v>
      </c>
      <c r="N275" t="n">
        <v>0</v>
      </c>
      <c r="O275" t="n">
        <v>2</v>
      </c>
      <c r="P275" t="n">
        <v>0</v>
      </c>
      <c r="Q275" t="n">
        <v>2</v>
      </c>
      <c r="R275" s="2" t="inlineStr">
        <is>
          <t>Dofttaggsvamp
Grantaggsvamp</t>
        </is>
      </c>
      <c r="S275">
        <f>HYPERLINK("https://klasma.github.io/Logging_1766/artfynd/A 40235-2022 artfynd.xlsx", "A 40235-2022")</f>
        <v/>
      </c>
      <c r="T275">
        <f>HYPERLINK("https://klasma.github.io/Logging_1766/kartor/A 40235-2022 karta.png", "A 40235-2022")</f>
        <v/>
      </c>
      <c r="V275">
        <f>HYPERLINK("https://klasma.github.io/Logging_1766/klagomål/A 40235-2022 FSC-klagomål.docx", "A 40235-2022")</f>
        <v/>
      </c>
      <c r="W275">
        <f>HYPERLINK("https://klasma.github.io/Logging_1766/klagomålsmail/A 40235-2022 FSC-klagomål mail.docx", "A 40235-2022")</f>
        <v/>
      </c>
      <c r="X275">
        <f>HYPERLINK("https://klasma.github.io/Logging_1766/tillsyn/A 40235-2022 tillsynsbegäran.docx", "A 40235-2022")</f>
        <v/>
      </c>
      <c r="Y275">
        <f>HYPERLINK("https://klasma.github.io/Logging_1766/tillsynsmail/A 40235-2022 tillsynsbegäran mail.docx", "A 40235-2022")</f>
        <v/>
      </c>
    </row>
    <row r="276" ht="15" customHeight="1">
      <c r="A276" t="inlineStr">
        <is>
          <t>A 45523-2022</t>
        </is>
      </c>
      <c r="B276" s="1" t="n">
        <v>44845</v>
      </c>
      <c r="C276" s="1" t="n">
        <v>45736</v>
      </c>
      <c r="D276" t="inlineStr">
        <is>
          <t>VÄRMLANDS LÄN</t>
        </is>
      </c>
      <c r="E276" t="inlineStr">
        <is>
          <t>FILIPSTAD</t>
        </is>
      </c>
      <c r="G276" t="n">
        <v>7.7</v>
      </c>
      <c r="H276" t="n">
        <v>0</v>
      </c>
      <c r="I276" t="n">
        <v>2</v>
      </c>
      <c r="J276" t="n">
        <v>0</v>
      </c>
      <c r="K276" t="n">
        <v>0</v>
      </c>
      <c r="L276" t="n">
        <v>0</v>
      </c>
      <c r="M276" t="n">
        <v>0</v>
      </c>
      <c r="N276" t="n">
        <v>0</v>
      </c>
      <c r="O276" t="n">
        <v>0</v>
      </c>
      <c r="P276" t="n">
        <v>0</v>
      </c>
      <c r="Q276" t="n">
        <v>2</v>
      </c>
      <c r="R276" s="2" t="inlineStr">
        <is>
          <t>Bronshjon
Korallblylav</t>
        </is>
      </c>
      <c r="S276">
        <f>HYPERLINK("https://klasma.github.io/Logging_1782/artfynd/A 45523-2022 artfynd.xlsx", "A 45523-2022")</f>
        <v/>
      </c>
      <c r="T276">
        <f>HYPERLINK("https://klasma.github.io/Logging_1782/kartor/A 45523-2022 karta.png", "A 45523-2022")</f>
        <v/>
      </c>
      <c r="V276">
        <f>HYPERLINK("https://klasma.github.io/Logging_1782/klagomål/A 45523-2022 FSC-klagomål.docx", "A 45523-2022")</f>
        <v/>
      </c>
      <c r="W276">
        <f>HYPERLINK("https://klasma.github.io/Logging_1782/klagomålsmail/A 45523-2022 FSC-klagomål mail.docx", "A 45523-2022")</f>
        <v/>
      </c>
      <c r="X276">
        <f>HYPERLINK("https://klasma.github.io/Logging_1782/tillsyn/A 45523-2022 tillsynsbegäran.docx", "A 45523-2022")</f>
        <v/>
      </c>
      <c r="Y276">
        <f>HYPERLINK("https://klasma.github.io/Logging_1782/tillsynsmail/A 45523-2022 tillsynsbegäran mail.docx", "A 45523-2022")</f>
        <v/>
      </c>
    </row>
    <row r="277" ht="15" customHeight="1">
      <c r="A277" t="inlineStr">
        <is>
          <t>A 50431-2022</t>
        </is>
      </c>
      <c r="B277" s="1" t="n">
        <v>44861</v>
      </c>
      <c r="C277" s="1" t="n">
        <v>45736</v>
      </c>
      <c r="D277" t="inlineStr">
        <is>
          <t>VÄRMLANDS LÄN</t>
        </is>
      </c>
      <c r="E277" t="inlineStr">
        <is>
          <t>SÄFFLE</t>
        </is>
      </c>
      <c r="G277" t="n">
        <v>1.9</v>
      </c>
      <c r="H277" t="n">
        <v>1</v>
      </c>
      <c r="I277" t="n">
        <v>0</v>
      </c>
      <c r="J277" t="n">
        <v>1</v>
      </c>
      <c r="K277" t="n">
        <v>0</v>
      </c>
      <c r="L277" t="n">
        <v>0</v>
      </c>
      <c r="M277" t="n">
        <v>0</v>
      </c>
      <c r="N277" t="n">
        <v>0</v>
      </c>
      <c r="O277" t="n">
        <v>1</v>
      </c>
      <c r="P277" t="n">
        <v>0</v>
      </c>
      <c r="Q277" t="n">
        <v>2</v>
      </c>
      <c r="R277" s="2" t="inlineStr">
        <is>
          <t>Skogsklocka
Nattviol</t>
        </is>
      </c>
      <c r="S277">
        <f>HYPERLINK("https://klasma.github.io/Logging_1785/artfynd/A 50431-2022 artfynd.xlsx", "A 50431-2022")</f>
        <v/>
      </c>
      <c r="T277">
        <f>HYPERLINK("https://klasma.github.io/Logging_1785/kartor/A 50431-2022 karta.png", "A 50431-2022")</f>
        <v/>
      </c>
      <c r="V277">
        <f>HYPERLINK("https://klasma.github.io/Logging_1785/klagomål/A 50431-2022 FSC-klagomål.docx", "A 50431-2022")</f>
        <v/>
      </c>
      <c r="W277">
        <f>HYPERLINK("https://klasma.github.io/Logging_1785/klagomålsmail/A 50431-2022 FSC-klagomål mail.docx", "A 50431-2022")</f>
        <v/>
      </c>
      <c r="X277">
        <f>HYPERLINK("https://klasma.github.io/Logging_1785/tillsyn/A 50431-2022 tillsynsbegäran.docx", "A 50431-2022")</f>
        <v/>
      </c>
      <c r="Y277">
        <f>HYPERLINK("https://klasma.github.io/Logging_1785/tillsynsmail/A 50431-2022 tillsynsbegäran mail.docx", "A 50431-2022")</f>
        <v/>
      </c>
    </row>
    <row r="278" ht="15" customHeight="1">
      <c r="A278" t="inlineStr">
        <is>
          <t>A 50102-2022</t>
        </is>
      </c>
      <c r="B278" s="1" t="n">
        <v>44865</v>
      </c>
      <c r="C278" s="1" t="n">
        <v>45736</v>
      </c>
      <c r="D278" t="inlineStr">
        <is>
          <t>VÄRMLANDS LÄN</t>
        </is>
      </c>
      <c r="E278" t="inlineStr">
        <is>
          <t>EDA</t>
        </is>
      </c>
      <c r="G278" t="n">
        <v>2.6</v>
      </c>
      <c r="H278" t="n">
        <v>0</v>
      </c>
      <c r="I278" t="n">
        <v>1</v>
      </c>
      <c r="J278" t="n">
        <v>1</v>
      </c>
      <c r="K278" t="n">
        <v>0</v>
      </c>
      <c r="L278" t="n">
        <v>0</v>
      </c>
      <c r="M278" t="n">
        <v>0</v>
      </c>
      <c r="N278" t="n">
        <v>0</v>
      </c>
      <c r="O278" t="n">
        <v>1</v>
      </c>
      <c r="P278" t="n">
        <v>0</v>
      </c>
      <c r="Q278" t="n">
        <v>2</v>
      </c>
      <c r="R278" s="2" t="inlineStr">
        <is>
          <t>Ullticka
Tibast</t>
        </is>
      </c>
      <c r="S278">
        <f>HYPERLINK("https://klasma.github.io/Logging_1730/artfynd/A 50102-2022 artfynd.xlsx", "A 50102-2022")</f>
        <v/>
      </c>
      <c r="T278">
        <f>HYPERLINK("https://klasma.github.io/Logging_1730/kartor/A 50102-2022 karta.png", "A 50102-2022")</f>
        <v/>
      </c>
      <c r="V278">
        <f>HYPERLINK("https://klasma.github.io/Logging_1730/klagomål/A 50102-2022 FSC-klagomål.docx", "A 50102-2022")</f>
        <v/>
      </c>
      <c r="W278">
        <f>HYPERLINK("https://klasma.github.io/Logging_1730/klagomålsmail/A 50102-2022 FSC-klagomål mail.docx", "A 50102-2022")</f>
        <v/>
      </c>
      <c r="X278">
        <f>HYPERLINK("https://klasma.github.io/Logging_1730/tillsyn/A 50102-2022 tillsynsbegäran.docx", "A 50102-2022")</f>
        <v/>
      </c>
      <c r="Y278">
        <f>HYPERLINK("https://klasma.github.io/Logging_1730/tillsynsmail/A 50102-2022 tillsynsbegäran mail.docx", "A 50102-2022")</f>
        <v/>
      </c>
    </row>
    <row r="279" ht="15" customHeight="1">
      <c r="A279" t="inlineStr">
        <is>
          <t>A 51253-2022</t>
        </is>
      </c>
      <c r="B279" s="1" t="n">
        <v>44868</v>
      </c>
      <c r="C279" s="1" t="n">
        <v>45736</v>
      </c>
      <c r="D279" t="inlineStr">
        <is>
          <t>VÄRMLANDS LÄN</t>
        </is>
      </c>
      <c r="E279" t="inlineStr">
        <is>
          <t>EDA</t>
        </is>
      </c>
      <c r="G279" t="n">
        <v>8.9</v>
      </c>
      <c r="H279" t="n">
        <v>0</v>
      </c>
      <c r="I279" t="n">
        <v>1</v>
      </c>
      <c r="J279" t="n">
        <v>1</v>
      </c>
      <c r="K279" t="n">
        <v>0</v>
      </c>
      <c r="L279" t="n">
        <v>0</v>
      </c>
      <c r="M279" t="n">
        <v>0</v>
      </c>
      <c r="N279" t="n">
        <v>0</v>
      </c>
      <c r="O279" t="n">
        <v>1</v>
      </c>
      <c r="P279" t="n">
        <v>0</v>
      </c>
      <c r="Q279" t="n">
        <v>2</v>
      </c>
      <c r="R279" s="2" t="inlineStr">
        <is>
          <t>Garnlav
Dropptaggsvamp</t>
        </is>
      </c>
      <c r="S279">
        <f>HYPERLINK("https://klasma.github.io/Logging_1730/artfynd/A 51253-2022 artfynd.xlsx", "A 51253-2022")</f>
        <v/>
      </c>
      <c r="T279">
        <f>HYPERLINK("https://klasma.github.io/Logging_1730/kartor/A 51253-2022 karta.png", "A 51253-2022")</f>
        <v/>
      </c>
      <c r="V279">
        <f>HYPERLINK("https://klasma.github.io/Logging_1730/klagomål/A 51253-2022 FSC-klagomål.docx", "A 51253-2022")</f>
        <v/>
      </c>
      <c r="W279">
        <f>HYPERLINK("https://klasma.github.io/Logging_1730/klagomålsmail/A 51253-2022 FSC-klagomål mail.docx", "A 51253-2022")</f>
        <v/>
      </c>
      <c r="X279">
        <f>HYPERLINK("https://klasma.github.io/Logging_1730/tillsyn/A 51253-2022 tillsynsbegäran.docx", "A 51253-2022")</f>
        <v/>
      </c>
      <c r="Y279">
        <f>HYPERLINK("https://klasma.github.io/Logging_1730/tillsynsmail/A 51253-2022 tillsynsbegäran mail.docx", "A 51253-2022")</f>
        <v/>
      </c>
    </row>
    <row r="280" ht="15" customHeight="1">
      <c r="A280" t="inlineStr">
        <is>
          <t>A 51769-2022</t>
        </is>
      </c>
      <c r="B280" s="1" t="n">
        <v>44872</v>
      </c>
      <c r="C280" s="1" t="n">
        <v>45736</v>
      </c>
      <c r="D280" t="inlineStr">
        <is>
          <t>VÄRMLANDS LÄN</t>
        </is>
      </c>
      <c r="E280" t="inlineStr">
        <is>
          <t>ARVIKA</t>
        </is>
      </c>
      <c r="F280" t="inlineStr">
        <is>
          <t>Kyrkan</t>
        </is>
      </c>
      <c r="G280" t="n">
        <v>1.9</v>
      </c>
      <c r="H280" t="n">
        <v>1</v>
      </c>
      <c r="I280" t="n">
        <v>1</v>
      </c>
      <c r="J280" t="n">
        <v>0</v>
      </c>
      <c r="K280" t="n">
        <v>1</v>
      </c>
      <c r="L280" t="n">
        <v>0</v>
      </c>
      <c r="M280" t="n">
        <v>0</v>
      </c>
      <c r="N280" t="n">
        <v>0</v>
      </c>
      <c r="O280" t="n">
        <v>1</v>
      </c>
      <c r="P280" t="n">
        <v>1</v>
      </c>
      <c r="Q280" t="n">
        <v>2</v>
      </c>
      <c r="R280" s="2" t="inlineStr">
        <is>
          <t>Knärot
Grönpyrola</t>
        </is>
      </c>
      <c r="S280">
        <f>HYPERLINK("https://klasma.github.io/Logging_1784/artfynd/A 51769-2022 artfynd.xlsx", "A 51769-2022")</f>
        <v/>
      </c>
      <c r="T280">
        <f>HYPERLINK("https://klasma.github.io/Logging_1784/kartor/A 51769-2022 karta.png", "A 51769-2022")</f>
        <v/>
      </c>
      <c r="U280">
        <f>HYPERLINK("https://klasma.github.io/Logging_1784/knärot/A 51769-2022 karta knärot.png", "A 51769-2022")</f>
        <v/>
      </c>
      <c r="V280">
        <f>HYPERLINK("https://klasma.github.io/Logging_1784/klagomål/A 51769-2022 FSC-klagomål.docx", "A 51769-2022")</f>
        <v/>
      </c>
      <c r="W280">
        <f>HYPERLINK("https://klasma.github.io/Logging_1784/klagomålsmail/A 51769-2022 FSC-klagomål mail.docx", "A 51769-2022")</f>
        <v/>
      </c>
      <c r="X280">
        <f>HYPERLINK("https://klasma.github.io/Logging_1784/tillsyn/A 51769-2022 tillsynsbegäran.docx", "A 51769-2022")</f>
        <v/>
      </c>
      <c r="Y280">
        <f>HYPERLINK("https://klasma.github.io/Logging_1784/tillsynsmail/A 51769-2022 tillsynsbegäran mail.docx", "A 51769-2022")</f>
        <v/>
      </c>
    </row>
    <row r="281" ht="15" customHeight="1">
      <c r="A281" t="inlineStr">
        <is>
          <t>A 51928-2022</t>
        </is>
      </c>
      <c r="B281" s="1" t="n">
        <v>44872</v>
      </c>
      <c r="C281" s="1" t="n">
        <v>45736</v>
      </c>
      <c r="D281" t="inlineStr">
        <is>
          <t>VÄRMLANDS LÄN</t>
        </is>
      </c>
      <c r="E281" t="inlineStr">
        <is>
          <t>ÅRJÄNG</t>
        </is>
      </c>
      <c r="G281" t="n">
        <v>14.1</v>
      </c>
      <c r="H281" t="n">
        <v>1</v>
      </c>
      <c r="I281" t="n">
        <v>1</v>
      </c>
      <c r="J281" t="n">
        <v>0</v>
      </c>
      <c r="K281" t="n">
        <v>1</v>
      </c>
      <c r="L281" t="n">
        <v>0</v>
      </c>
      <c r="M281" t="n">
        <v>0</v>
      </c>
      <c r="N281" t="n">
        <v>0</v>
      </c>
      <c r="O281" t="n">
        <v>1</v>
      </c>
      <c r="P281" t="n">
        <v>1</v>
      </c>
      <c r="Q281" t="n">
        <v>2</v>
      </c>
      <c r="R281" s="2" t="inlineStr">
        <is>
          <t>Knärot
Dropptaggsvamp</t>
        </is>
      </c>
      <c r="S281">
        <f>HYPERLINK("https://klasma.github.io/Logging_1765/artfynd/A 51928-2022 artfynd.xlsx", "A 51928-2022")</f>
        <v/>
      </c>
      <c r="T281">
        <f>HYPERLINK("https://klasma.github.io/Logging_1765/kartor/A 51928-2022 karta.png", "A 51928-2022")</f>
        <v/>
      </c>
      <c r="U281">
        <f>HYPERLINK("https://klasma.github.io/Logging_1765/knärot/A 51928-2022 karta knärot.png", "A 51928-2022")</f>
        <v/>
      </c>
      <c r="V281">
        <f>HYPERLINK("https://klasma.github.io/Logging_1765/klagomål/A 51928-2022 FSC-klagomål.docx", "A 51928-2022")</f>
        <v/>
      </c>
      <c r="W281">
        <f>HYPERLINK("https://klasma.github.io/Logging_1765/klagomålsmail/A 51928-2022 FSC-klagomål mail.docx", "A 51928-2022")</f>
        <v/>
      </c>
      <c r="X281">
        <f>HYPERLINK("https://klasma.github.io/Logging_1765/tillsyn/A 51928-2022 tillsynsbegäran.docx", "A 51928-2022")</f>
        <v/>
      </c>
      <c r="Y281">
        <f>HYPERLINK("https://klasma.github.io/Logging_1765/tillsynsmail/A 51928-2022 tillsynsbegäran mail.docx", "A 51928-2022")</f>
        <v/>
      </c>
    </row>
    <row r="282" ht="15" customHeight="1">
      <c r="A282" t="inlineStr">
        <is>
          <t>A 53155-2022</t>
        </is>
      </c>
      <c r="B282" s="1" t="n">
        <v>44876</v>
      </c>
      <c r="C282" s="1" t="n">
        <v>45736</v>
      </c>
      <c r="D282" t="inlineStr">
        <is>
          <t>VÄRMLANDS LÄN</t>
        </is>
      </c>
      <c r="E282" t="inlineStr">
        <is>
          <t>KARLSTAD</t>
        </is>
      </c>
      <c r="G282" t="n">
        <v>32.8</v>
      </c>
      <c r="H282" t="n">
        <v>2</v>
      </c>
      <c r="I282" t="n">
        <v>0</v>
      </c>
      <c r="J282" t="n">
        <v>1</v>
      </c>
      <c r="K282" t="n">
        <v>0</v>
      </c>
      <c r="L282" t="n">
        <v>0</v>
      </c>
      <c r="M282" t="n">
        <v>0</v>
      </c>
      <c r="N282" t="n">
        <v>0</v>
      </c>
      <c r="O282" t="n">
        <v>1</v>
      </c>
      <c r="P282" t="n">
        <v>0</v>
      </c>
      <c r="Q282" t="n">
        <v>2</v>
      </c>
      <c r="R282" s="2" t="inlineStr">
        <is>
          <t>Gulsparv
Trana</t>
        </is>
      </c>
      <c r="S282">
        <f>HYPERLINK("https://klasma.github.io/Logging_1780/artfynd/A 53155-2022 artfynd.xlsx", "A 53155-2022")</f>
        <v/>
      </c>
      <c r="T282">
        <f>HYPERLINK("https://klasma.github.io/Logging_1780/kartor/A 53155-2022 karta.png", "A 53155-2022")</f>
        <v/>
      </c>
      <c r="V282">
        <f>HYPERLINK("https://klasma.github.io/Logging_1780/klagomål/A 53155-2022 FSC-klagomål.docx", "A 53155-2022")</f>
        <v/>
      </c>
      <c r="W282">
        <f>HYPERLINK("https://klasma.github.io/Logging_1780/klagomålsmail/A 53155-2022 FSC-klagomål mail.docx", "A 53155-2022")</f>
        <v/>
      </c>
      <c r="X282">
        <f>HYPERLINK("https://klasma.github.io/Logging_1780/tillsyn/A 53155-2022 tillsynsbegäran.docx", "A 53155-2022")</f>
        <v/>
      </c>
      <c r="Y282">
        <f>HYPERLINK("https://klasma.github.io/Logging_1780/tillsynsmail/A 53155-2022 tillsynsbegäran mail.docx", "A 53155-2022")</f>
        <v/>
      </c>
      <c r="Z282">
        <f>HYPERLINK("https://klasma.github.io/Logging_1780/fåglar/A 53155-2022 prioriterade fågelarter.docx", "A 53155-2022")</f>
        <v/>
      </c>
    </row>
    <row r="283" ht="15" customHeight="1">
      <c r="A283" t="inlineStr">
        <is>
          <t>A 54195-2022</t>
        </is>
      </c>
      <c r="B283" s="1" t="n">
        <v>44881</v>
      </c>
      <c r="C283" s="1" t="n">
        <v>45736</v>
      </c>
      <c r="D283" t="inlineStr">
        <is>
          <t>VÄRMLANDS LÄN</t>
        </is>
      </c>
      <c r="E283" t="inlineStr">
        <is>
          <t>EDA</t>
        </is>
      </c>
      <c r="G283" t="n">
        <v>11</v>
      </c>
      <c r="H283" t="n">
        <v>0</v>
      </c>
      <c r="I283" t="n">
        <v>2</v>
      </c>
      <c r="J283" t="n">
        <v>0</v>
      </c>
      <c r="K283" t="n">
        <v>0</v>
      </c>
      <c r="L283" t="n">
        <v>0</v>
      </c>
      <c r="M283" t="n">
        <v>0</v>
      </c>
      <c r="N283" t="n">
        <v>0</v>
      </c>
      <c r="O283" t="n">
        <v>0</v>
      </c>
      <c r="P283" t="n">
        <v>0</v>
      </c>
      <c r="Q283" t="n">
        <v>2</v>
      </c>
      <c r="R283" s="2" t="inlineStr">
        <is>
          <t>Dvärghäxört
Springkorn</t>
        </is>
      </c>
      <c r="S283">
        <f>HYPERLINK("https://klasma.github.io/Logging_1730/artfynd/A 54195-2022 artfynd.xlsx", "A 54195-2022")</f>
        <v/>
      </c>
      <c r="T283">
        <f>HYPERLINK("https://klasma.github.io/Logging_1730/kartor/A 54195-2022 karta.png", "A 54195-2022")</f>
        <v/>
      </c>
      <c r="V283">
        <f>HYPERLINK("https://klasma.github.io/Logging_1730/klagomål/A 54195-2022 FSC-klagomål.docx", "A 54195-2022")</f>
        <v/>
      </c>
      <c r="W283">
        <f>HYPERLINK("https://klasma.github.io/Logging_1730/klagomålsmail/A 54195-2022 FSC-klagomål mail.docx", "A 54195-2022")</f>
        <v/>
      </c>
      <c r="X283">
        <f>HYPERLINK("https://klasma.github.io/Logging_1730/tillsyn/A 54195-2022 tillsynsbegäran.docx", "A 54195-2022")</f>
        <v/>
      </c>
      <c r="Y283">
        <f>HYPERLINK("https://klasma.github.io/Logging_1730/tillsynsmail/A 54195-2022 tillsynsbegäran mail.docx", "A 54195-2022")</f>
        <v/>
      </c>
    </row>
    <row r="284" ht="15" customHeight="1">
      <c r="A284" t="inlineStr">
        <is>
          <t>A 56624-2022</t>
        </is>
      </c>
      <c r="B284" s="1" t="n">
        <v>44893</v>
      </c>
      <c r="C284" s="1" t="n">
        <v>45736</v>
      </c>
      <c r="D284" t="inlineStr">
        <is>
          <t>VÄRMLANDS LÄN</t>
        </is>
      </c>
      <c r="E284" t="inlineStr">
        <is>
          <t>SUNNE</t>
        </is>
      </c>
      <c r="G284" t="n">
        <v>3</v>
      </c>
      <c r="H284" t="n">
        <v>0</v>
      </c>
      <c r="I284" t="n">
        <v>2</v>
      </c>
      <c r="J284" t="n">
        <v>0</v>
      </c>
      <c r="K284" t="n">
        <v>0</v>
      </c>
      <c r="L284" t="n">
        <v>0</v>
      </c>
      <c r="M284" t="n">
        <v>0</v>
      </c>
      <c r="N284" t="n">
        <v>0</v>
      </c>
      <c r="O284" t="n">
        <v>0</v>
      </c>
      <c r="P284" t="n">
        <v>0</v>
      </c>
      <c r="Q284" t="n">
        <v>2</v>
      </c>
      <c r="R284" s="2" t="inlineStr">
        <is>
          <t>Bronshjon
Kattfotslav</t>
        </is>
      </c>
      <c r="S284">
        <f>HYPERLINK("https://klasma.github.io/Logging_1766/artfynd/A 56624-2022 artfynd.xlsx", "A 56624-2022")</f>
        <v/>
      </c>
      <c r="T284">
        <f>HYPERLINK("https://klasma.github.io/Logging_1766/kartor/A 56624-2022 karta.png", "A 56624-2022")</f>
        <v/>
      </c>
      <c r="V284">
        <f>HYPERLINK("https://klasma.github.io/Logging_1766/klagomål/A 56624-2022 FSC-klagomål.docx", "A 56624-2022")</f>
        <v/>
      </c>
      <c r="W284">
        <f>HYPERLINK("https://klasma.github.io/Logging_1766/klagomålsmail/A 56624-2022 FSC-klagomål mail.docx", "A 56624-2022")</f>
        <v/>
      </c>
      <c r="X284">
        <f>HYPERLINK("https://klasma.github.io/Logging_1766/tillsyn/A 56624-2022 tillsynsbegäran.docx", "A 56624-2022")</f>
        <v/>
      </c>
      <c r="Y284">
        <f>HYPERLINK("https://klasma.github.io/Logging_1766/tillsynsmail/A 56624-2022 tillsynsbegäran mail.docx", "A 56624-2022")</f>
        <v/>
      </c>
    </row>
    <row r="285" ht="15" customHeight="1">
      <c r="A285" t="inlineStr">
        <is>
          <t>A 60826-2022</t>
        </is>
      </c>
      <c r="B285" s="1" t="n">
        <v>44907</v>
      </c>
      <c r="C285" s="1" t="n">
        <v>45736</v>
      </c>
      <c r="D285" t="inlineStr">
        <is>
          <t>VÄRMLANDS LÄN</t>
        </is>
      </c>
      <c r="E285" t="inlineStr">
        <is>
          <t>GRUMS</t>
        </is>
      </c>
      <c r="G285" t="n">
        <v>2.2</v>
      </c>
      <c r="H285" t="n">
        <v>0</v>
      </c>
      <c r="I285" t="n">
        <v>1</v>
      </c>
      <c r="J285" t="n">
        <v>1</v>
      </c>
      <c r="K285" t="n">
        <v>0</v>
      </c>
      <c r="L285" t="n">
        <v>0</v>
      </c>
      <c r="M285" t="n">
        <v>0</v>
      </c>
      <c r="N285" t="n">
        <v>0</v>
      </c>
      <c r="O285" t="n">
        <v>1</v>
      </c>
      <c r="P285" t="n">
        <v>0</v>
      </c>
      <c r="Q285" t="n">
        <v>2</v>
      </c>
      <c r="R285" s="2" t="inlineStr">
        <is>
          <t>Orange taggsvamp
Rödgul trumpetsvamp</t>
        </is>
      </c>
      <c r="S285">
        <f>HYPERLINK("https://klasma.github.io/Logging_1764/artfynd/A 60826-2022 artfynd.xlsx", "A 60826-2022")</f>
        <v/>
      </c>
      <c r="T285">
        <f>HYPERLINK("https://klasma.github.io/Logging_1764/kartor/A 60826-2022 karta.png", "A 60826-2022")</f>
        <v/>
      </c>
      <c r="V285">
        <f>HYPERLINK("https://klasma.github.io/Logging_1764/klagomål/A 60826-2022 FSC-klagomål.docx", "A 60826-2022")</f>
        <v/>
      </c>
      <c r="W285">
        <f>HYPERLINK("https://klasma.github.io/Logging_1764/klagomålsmail/A 60826-2022 FSC-klagomål mail.docx", "A 60826-2022")</f>
        <v/>
      </c>
      <c r="X285">
        <f>HYPERLINK("https://klasma.github.io/Logging_1764/tillsyn/A 60826-2022 tillsynsbegäran.docx", "A 60826-2022")</f>
        <v/>
      </c>
      <c r="Y285">
        <f>HYPERLINK("https://klasma.github.io/Logging_1764/tillsynsmail/A 60826-2022 tillsynsbegäran mail.docx", "A 60826-2022")</f>
        <v/>
      </c>
    </row>
    <row r="286" ht="15" customHeight="1">
      <c r="A286" t="inlineStr">
        <is>
          <t>A 1198-2023</t>
        </is>
      </c>
      <c r="B286" s="1" t="n">
        <v>44935</v>
      </c>
      <c r="C286" s="1" t="n">
        <v>45736</v>
      </c>
      <c r="D286" t="inlineStr">
        <is>
          <t>VÄRMLANDS LÄN</t>
        </is>
      </c>
      <c r="E286" t="inlineStr">
        <is>
          <t>ÅRJÄNG</t>
        </is>
      </c>
      <c r="G286" t="n">
        <v>19</v>
      </c>
      <c r="H286" t="n">
        <v>2</v>
      </c>
      <c r="I286" t="n">
        <v>0</v>
      </c>
      <c r="J286" t="n">
        <v>1</v>
      </c>
      <c r="K286" t="n">
        <v>0</v>
      </c>
      <c r="L286" t="n">
        <v>0</v>
      </c>
      <c r="M286" t="n">
        <v>0</v>
      </c>
      <c r="N286" t="n">
        <v>0</v>
      </c>
      <c r="O286" t="n">
        <v>1</v>
      </c>
      <c r="P286" t="n">
        <v>0</v>
      </c>
      <c r="Q286" t="n">
        <v>2</v>
      </c>
      <c r="R286" s="2" t="inlineStr">
        <is>
          <t>Talltita
Revlummer</t>
        </is>
      </c>
      <c r="S286">
        <f>HYPERLINK("https://klasma.github.io/Logging_1765/artfynd/A 1198-2023 artfynd.xlsx", "A 1198-2023")</f>
        <v/>
      </c>
      <c r="T286">
        <f>HYPERLINK("https://klasma.github.io/Logging_1765/kartor/A 1198-2023 karta.png", "A 1198-2023")</f>
        <v/>
      </c>
      <c r="V286">
        <f>HYPERLINK("https://klasma.github.io/Logging_1765/klagomål/A 1198-2023 FSC-klagomål.docx", "A 1198-2023")</f>
        <v/>
      </c>
      <c r="W286">
        <f>HYPERLINK("https://klasma.github.io/Logging_1765/klagomålsmail/A 1198-2023 FSC-klagomål mail.docx", "A 1198-2023")</f>
        <v/>
      </c>
      <c r="X286">
        <f>HYPERLINK("https://klasma.github.io/Logging_1765/tillsyn/A 1198-2023 tillsynsbegäran.docx", "A 1198-2023")</f>
        <v/>
      </c>
      <c r="Y286">
        <f>HYPERLINK("https://klasma.github.io/Logging_1765/tillsynsmail/A 1198-2023 tillsynsbegäran mail.docx", "A 1198-2023")</f>
        <v/>
      </c>
      <c r="Z286">
        <f>HYPERLINK("https://klasma.github.io/Logging_1765/fåglar/A 1198-2023 prioriterade fågelarter.docx", "A 1198-2023")</f>
        <v/>
      </c>
    </row>
    <row r="287" ht="15" customHeight="1">
      <c r="A287" t="inlineStr">
        <is>
          <t>A 2000-2023</t>
        </is>
      </c>
      <c r="B287" s="1" t="n">
        <v>44939</v>
      </c>
      <c r="C287" s="1" t="n">
        <v>45736</v>
      </c>
      <c r="D287" t="inlineStr">
        <is>
          <t>VÄRMLANDS LÄN</t>
        </is>
      </c>
      <c r="E287" t="inlineStr">
        <is>
          <t>TORSBY</t>
        </is>
      </c>
      <c r="G287" t="n">
        <v>3.2</v>
      </c>
      <c r="H287" t="n">
        <v>2</v>
      </c>
      <c r="I287" t="n">
        <v>1</v>
      </c>
      <c r="J287" t="n">
        <v>0</v>
      </c>
      <c r="K287" t="n">
        <v>0</v>
      </c>
      <c r="L287" t="n">
        <v>0</v>
      </c>
      <c r="M287" t="n">
        <v>0</v>
      </c>
      <c r="N287" t="n">
        <v>0</v>
      </c>
      <c r="O287" t="n">
        <v>0</v>
      </c>
      <c r="P287" t="n">
        <v>0</v>
      </c>
      <c r="Q287" t="n">
        <v>2</v>
      </c>
      <c r="R287" s="2" t="inlineStr">
        <is>
          <t>Spindelblomster
Mattlummer</t>
        </is>
      </c>
      <c r="S287">
        <f>HYPERLINK("https://klasma.github.io/Logging_1737/artfynd/A 2000-2023 artfynd.xlsx", "A 2000-2023")</f>
        <v/>
      </c>
      <c r="T287">
        <f>HYPERLINK("https://klasma.github.io/Logging_1737/kartor/A 2000-2023 karta.png", "A 2000-2023")</f>
        <v/>
      </c>
      <c r="V287">
        <f>HYPERLINK("https://klasma.github.io/Logging_1737/klagomål/A 2000-2023 FSC-klagomål.docx", "A 2000-2023")</f>
        <v/>
      </c>
      <c r="W287">
        <f>HYPERLINK("https://klasma.github.io/Logging_1737/klagomålsmail/A 2000-2023 FSC-klagomål mail.docx", "A 2000-2023")</f>
        <v/>
      </c>
      <c r="X287">
        <f>HYPERLINK("https://klasma.github.io/Logging_1737/tillsyn/A 2000-2023 tillsynsbegäran.docx", "A 2000-2023")</f>
        <v/>
      </c>
      <c r="Y287">
        <f>HYPERLINK("https://klasma.github.io/Logging_1737/tillsynsmail/A 2000-2023 tillsynsbegäran mail.docx", "A 2000-2023")</f>
        <v/>
      </c>
    </row>
    <row r="288" ht="15" customHeight="1">
      <c r="A288" t="inlineStr">
        <is>
          <t>A 4718-2023</t>
        </is>
      </c>
      <c r="B288" s="1" t="n">
        <v>44957</v>
      </c>
      <c r="C288" s="1" t="n">
        <v>45736</v>
      </c>
      <c r="D288" t="inlineStr">
        <is>
          <t>VÄRMLANDS LÄN</t>
        </is>
      </c>
      <c r="E288" t="inlineStr">
        <is>
          <t>TORSBY</t>
        </is>
      </c>
      <c r="G288" t="n">
        <v>8.5</v>
      </c>
      <c r="H288" t="n">
        <v>0</v>
      </c>
      <c r="I288" t="n">
        <v>0</v>
      </c>
      <c r="J288" t="n">
        <v>2</v>
      </c>
      <c r="K288" t="n">
        <v>0</v>
      </c>
      <c r="L288" t="n">
        <v>0</v>
      </c>
      <c r="M288" t="n">
        <v>0</v>
      </c>
      <c r="N288" t="n">
        <v>0</v>
      </c>
      <c r="O288" t="n">
        <v>2</v>
      </c>
      <c r="P288" t="n">
        <v>0</v>
      </c>
      <c r="Q288" t="n">
        <v>2</v>
      </c>
      <c r="R288" s="2" t="inlineStr">
        <is>
          <t>Garnlav
Violettgrå tagellav</t>
        </is>
      </c>
      <c r="S288">
        <f>HYPERLINK("https://klasma.github.io/Logging_1737/artfynd/A 4718-2023 artfynd.xlsx", "A 4718-2023")</f>
        <v/>
      </c>
      <c r="T288">
        <f>HYPERLINK("https://klasma.github.io/Logging_1737/kartor/A 4718-2023 karta.png", "A 4718-2023")</f>
        <v/>
      </c>
      <c r="V288">
        <f>HYPERLINK("https://klasma.github.io/Logging_1737/klagomål/A 4718-2023 FSC-klagomål.docx", "A 4718-2023")</f>
        <v/>
      </c>
      <c r="W288">
        <f>HYPERLINK("https://klasma.github.io/Logging_1737/klagomålsmail/A 4718-2023 FSC-klagomål mail.docx", "A 4718-2023")</f>
        <v/>
      </c>
      <c r="X288">
        <f>HYPERLINK("https://klasma.github.io/Logging_1737/tillsyn/A 4718-2023 tillsynsbegäran.docx", "A 4718-2023")</f>
        <v/>
      </c>
      <c r="Y288">
        <f>HYPERLINK("https://klasma.github.io/Logging_1737/tillsynsmail/A 4718-2023 tillsynsbegäran mail.docx", "A 4718-2023")</f>
        <v/>
      </c>
    </row>
    <row r="289" ht="15" customHeight="1">
      <c r="A289" t="inlineStr">
        <is>
          <t>A 6134-2023</t>
        </is>
      </c>
      <c r="B289" s="1" t="n">
        <v>44964</v>
      </c>
      <c r="C289" s="1" t="n">
        <v>45736</v>
      </c>
      <c r="D289" t="inlineStr">
        <is>
          <t>VÄRMLANDS LÄN</t>
        </is>
      </c>
      <c r="E289" t="inlineStr">
        <is>
          <t>ÅRJÄNG</t>
        </is>
      </c>
      <c r="G289" t="n">
        <v>5.4</v>
      </c>
      <c r="H289" t="n">
        <v>0</v>
      </c>
      <c r="I289" t="n">
        <v>1</v>
      </c>
      <c r="J289" t="n">
        <v>1</v>
      </c>
      <c r="K289" t="n">
        <v>0</v>
      </c>
      <c r="L289" t="n">
        <v>0</v>
      </c>
      <c r="M289" t="n">
        <v>0</v>
      </c>
      <c r="N289" t="n">
        <v>0</v>
      </c>
      <c r="O289" t="n">
        <v>1</v>
      </c>
      <c r="P289" t="n">
        <v>0</v>
      </c>
      <c r="Q289" t="n">
        <v>2</v>
      </c>
      <c r="R289" s="2" t="inlineStr">
        <is>
          <t>Garnlav
Korallblylav</t>
        </is>
      </c>
      <c r="S289">
        <f>HYPERLINK("https://klasma.github.io/Logging_1765/artfynd/A 6134-2023 artfynd.xlsx", "A 6134-2023")</f>
        <v/>
      </c>
      <c r="T289">
        <f>HYPERLINK("https://klasma.github.io/Logging_1765/kartor/A 6134-2023 karta.png", "A 6134-2023")</f>
        <v/>
      </c>
      <c r="V289">
        <f>HYPERLINK("https://klasma.github.io/Logging_1765/klagomål/A 6134-2023 FSC-klagomål.docx", "A 6134-2023")</f>
        <v/>
      </c>
      <c r="W289">
        <f>HYPERLINK("https://klasma.github.io/Logging_1765/klagomålsmail/A 6134-2023 FSC-klagomål mail.docx", "A 6134-2023")</f>
        <v/>
      </c>
      <c r="X289">
        <f>HYPERLINK("https://klasma.github.io/Logging_1765/tillsyn/A 6134-2023 tillsynsbegäran.docx", "A 6134-2023")</f>
        <v/>
      </c>
      <c r="Y289">
        <f>HYPERLINK("https://klasma.github.io/Logging_1765/tillsynsmail/A 6134-2023 tillsynsbegäran mail.docx", "A 6134-2023")</f>
        <v/>
      </c>
    </row>
    <row r="290" ht="15" customHeight="1">
      <c r="A290" t="inlineStr">
        <is>
          <t>A 8591-2023</t>
        </is>
      </c>
      <c r="B290" s="1" t="n">
        <v>44977</v>
      </c>
      <c r="C290" s="1" t="n">
        <v>45736</v>
      </c>
      <c r="D290" t="inlineStr">
        <is>
          <t>VÄRMLANDS LÄN</t>
        </is>
      </c>
      <c r="E290" t="inlineStr">
        <is>
          <t>ARVIKA</t>
        </is>
      </c>
      <c r="G290" t="n">
        <v>6</v>
      </c>
      <c r="H290" t="n">
        <v>1</v>
      </c>
      <c r="I290" t="n">
        <v>1</v>
      </c>
      <c r="J290" t="n">
        <v>0</v>
      </c>
      <c r="K290" t="n">
        <v>1</v>
      </c>
      <c r="L290" t="n">
        <v>0</v>
      </c>
      <c r="M290" t="n">
        <v>0</v>
      </c>
      <c r="N290" t="n">
        <v>0</v>
      </c>
      <c r="O290" t="n">
        <v>1</v>
      </c>
      <c r="P290" t="n">
        <v>1</v>
      </c>
      <c r="Q290" t="n">
        <v>2</v>
      </c>
      <c r="R290" s="2" t="inlineStr">
        <is>
          <t>Knärot
Fjällig taggsvamp s.str.</t>
        </is>
      </c>
      <c r="S290">
        <f>HYPERLINK("https://klasma.github.io/Logging_1784/artfynd/A 8591-2023 artfynd.xlsx", "A 8591-2023")</f>
        <v/>
      </c>
      <c r="T290">
        <f>HYPERLINK("https://klasma.github.io/Logging_1784/kartor/A 8591-2023 karta.png", "A 8591-2023")</f>
        <v/>
      </c>
      <c r="U290">
        <f>HYPERLINK("https://klasma.github.io/Logging_1784/knärot/A 8591-2023 karta knärot.png", "A 8591-2023")</f>
        <v/>
      </c>
      <c r="V290">
        <f>HYPERLINK("https://klasma.github.io/Logging_1784/klagomål/A 8591-2023 FSC-klagomål.docx", "A 8591-2023")</f>
        <v/>
      </c>
      <c r="W290">
        <f>HYPERLINK("https://klasma.github.io/Logging_1784/klagomålsmail/A 8591-2023 FSC-klagomål mail.docx", "A 8591-2023")</f>
        <v/>
      </c>
      <c r="X290">
        <f>HYPERLINK("https://klasma.github.io/Logging_1784/tillsyn/A 8591-2023 tillsynsbegäran.docx", "A 8591-2023")</f>
        <v/>
      </c>
      <c r="Y290">
        <f>HYPERLINK("https://klasma.github.io/Logging_1784/tillsynsmail/A 8591-2023 tillsynsbegäran mail.docx", "A 8591-2023")</f>
        <v/>
      </c>
    </row>
    <row r="291" ht="15" customHeight="1">
      <c r="A291" t="inlineStr">
        <is>
          <t>A 12949-2023</t>
        </is>
      </c>
      <c r="B291" s="1" t="n">
        <v>45001</v>
      </c>
      <c r="C291" s="1" t="n">
        <v>45736</v>
      </c>
      <c r="D291" t="inlineStr">
        <is>
          <t>VÄRMLANDS LÄN</t>
        </is>
      </c>
      <c r="E291" t="inlineStr">
        <is>
          <t>ÅRJÄNG</t>
        </is>
      </c>
      <c r="G291" t="n">
        <v>10.4</v>
      </c>
      <c r="H291" t="n">
        <v>0</v>
      </c>
      <c r="I291" t="n">
        <v>1</v>
      </c>
      <c r="J291" t="n">
        <v>1</v>
      </c>
      <c r="K291" t="n">
        <v>0</v>
      </c>
      <c r="L291" t="n">
        <v>0</v>
      </c>
      <c r="M291" t="n">
        <v>0</v>
      </c>
      <c r="N291" t="n">
        <v>0</v>
      </c>
      <c r="O291" t="n">
        <v>1</v>
      </c>
      <c r="P291" t="n">
        <v>0</v>
      </c>
      <c r="Q291" t="n">
        <v>2</v>
      </c>
      <c r="R291" s="2" t="inlineStr">
        <is>
          <t>Motaggsvamp
Dropptaggsvamp</t>
        </is>
      </c>
      <c r="S291">
        <f>HYPERLINK("https://klasma.github.io/Logging_1765/artfynd/A 12949-2023 artfynd.xlsx", "A 12949-2023")</f>
        <v/>
      </c>
      <c r="T291">
        <f>HYPERLINK("https://klasma.github.io/Logging_1765/kartor/A 12949-2023 karta.png", "A 12949-2023")</f>
        <v/>
      </c>
      <c r="V291">
        <f>HYPERLINK("https://klasma.github.io/Logging_1765/klagomål/A 12949-2023 FSC-klagomål.docx", "A 12949-2023")</f>
        <v/>
      </c>
      <c r="W291">
        <f>HYPERLINK("https://klasma.github.io/Logging_1765/klagomålsmail/A 12949-2023 FSC-klagomål mail.docx", "A 12949-2023")</f>
        <v/>
      </c>
      <c r="X291">
        <f>HYPERLINK("https://klasma.github.io/Logging_1765/tillsyn/A 12949-2023 tillsynsbegäran.docx", "A 12949-2023")</f>
        <v/>
      </c>
      <c r="Y291">
        <f>HYPERLINK("https://klasma.github.io/Logging_1765/tillsynsmail/A 12949-2023 tillsynsbegäran mail.docx", "A 12949-2023")</f>
        <v/>
      </c>
    </row>
    <row r="292" ht="15" customHeight="1">
      <c r="A292" t="inlineStr">
        <is>
          <t>A 13364-2023</t>
        </is>
      </c>
      <c r="B292" s="1" t="n">
        <v>45005</v>
      </c>
      <c r="C292" s="1" t="n">
        <v>45736</v>
      </c>
      <c r="D292" t="inlineStr">
        <is>
          <t>VÄRMLANDS LÄN</t>
        </is>
      </c>
      <c r="E292" t="inlineStr">
        <is>
          <t>TORSBY</t>
        </is>
      </c>
      <c r="G292" t="n">
        <v>16.3</v>
      </c>
      <c r="H292" t="n">
        <v>0</v>
      </c>
      <c r="I292" t="n">
        <v>1</v>
      </c>
      <c r="J292" t="n">
        <v>1</v>
      </c>
      <c r="K292" t="n">
        <v>0</v>
      </c>
      <c r="L292" t="n">
        <v>0</v>
      </c>
      <c r="M292" t="n">
        <v>0</v>
      </c>
      <c r="N292" t="n">
        <v>0</v>
      </c>
      <c r="O292" t="n">
        <v>1</v>
      </c>
      <c r="P292" t="n">
        <v>0</v>
      </c>
      <c r="Q292" t="n">
        <v>2</v>
      </c>
      <c r="R292" s="2" t="inlineStr">
        <is>
          <t>Mörk kolflarnlav
Dropptaggsvamp</t>
        </is>
      </c>
      <c r="S292">
        <f>HYPERLINK("https://klasma.github.io/Logging_1737/artfynd/A 13364-2023 artfynd.xlsx", "A 13364-2023")</f>
        <v/>
      </c>
      <c r="T292">
        <f>HYPERLINK("https://klasma.github.io/Logging_1737/kartor/A 13364-2023 karta.png", "A 13364-2023")</f>
        <v/>
      </c>
      <c r="V292">
        <f>HYPERLINK("https://klasma.github.io/Logging_1737/klagomål/A 13364-2023 FSC-klagomål.docx", "A 13364-2023")</f>
        <v/>
      </c>
      <c r="W292">
        <f>HYPERLINK("https://klasma.github.io/Logging_1737/klagomålsmail/A 13364-2023 FSC-klagomål mail.docx", "A 13364-2023")</f>
        <v/>
      </c>
      <c r="X292">
        <f>HYPERLINK("https://klasma.github.io/Logging_1737/tillsyn/A 13364-2023 tillsynsbegäran.docx", "A 13364-2023")</f>
        <v/>
      </c>
      <c r="Y292">
        <f>HYPERLINK("https://klasma.github.io/Logging_1737/tillsynsmail/A 13364-2023 tillsynsbegäran mail.docx", "A 13364-2023")</f>
        <v/>
      </c>
    </row>
    <row r="293" ht="15" customHeight="1">
      <c r="A293" t="inlineStr">
        <is>
          <t>A 13630-2023</t>
        </is>
      </c>
      <c r="B293" s="1" t="n">
        <v>45006</v>
      </c>
      <c r="C293" s="1" t="n">
        <v>45736</v>
      </c>
      <c r="D293" t="inlineStr">
        <is>
          <t>VÄRMLANDS LÄN</t>
        </is>
      </c>
      <c r="E293" t="inlineStr">
        <is>
          <t>ARVIKA</t>
        </is>
      </c>
      <c r="G293" t="n">
        <v>11.2</v>
      </c>
      <c r="H293" t="n">
        <v>0</v>
      </c>
      <c r="I293" t="n">
        <v>1</v>
      </c>
      <c r="J293" t="n">
        <v>0</v>
      </c>
      <c r="K293" t="n">
        <v>0</v>
      </c>
      <c r="L293" t="n">
        <v>0</v>
      </c>
      <c r="M293" t="n">
        <v>1</v>
      </c>
      <c r="N293" t="n">
        <v>0</v>
      </c>
      <c r="O293" t="n">
        <v>1</v>
      </c>
      <c r="P293" t="n">
        <v>1</v>
      </c>
      <c r="Q293" t="n">
        <v>2</v>
      </c>
      <c r="R293" s="2" t="inlineStr">
        <is>
          <t>Skogsalm
Tibast</t>
        </is>
      </c>
      <c r="S293">
        <f>HYPERLINK("https://klasma.github.io/Logging_1784/artfynd/A 13630-2023 artfynd.xlsx", "A 13630-2023")</f>
        <v/>
      </c>
      <c r="T293">
        <f>HYPERLINK("https://klasma.github.io/Logging_1784/kartor/A 13630-2023 karta.png", "A 13630-2023")</f>
        <v/>
      </c>
      <c r="V293">
        <f>HYPERLINK("https://klasma.github.io/Logging_1784/klagomål/A 13630-2023 FSC-klagomål.docx", "A 13630-2023")</f>
        <v/>
      </c>
      <c r="W293">
        <f>HYPERLINK("https://klasma.github.io/Logging_1784/klagomålsmail/A 13630-2023 FSC-klagomål mail.docx", "A 13630-2023")</f>
        <v/>
      </c>
      <c r="X293">
        <f>HYPERLINK("https://klasma.github.io/Logging_1784/tillsyn/A 13630-2023 tillsynsbegäran.docx", "A 13630-2023")</f>
        <v/>
      </c>
      <c r="Y293">
        <f>HYPERLINK("https://klasma.github.io/Logging_1784/tillsynsmail/A 13630-2023 tillsynsbegäran mail.docx", "A 13630-2023")</f>
        <v/>
      </c>
    </row>
    <row r="294" ht="15" customHeight="1">
      <c r="A294" t="inlineStr">
        <is>
          <t>A 16414-2023</t>
        </is>
      </c>
      <c r="B294" s="1" t="n">
        <v>45022</v>
      </c>
      <c r="C294" s="1" t="n">
        <v>45736</v>
      </c>
      <c r="D294" t="inlineStr">
        <is>
          <t>VÄRMLANDS LÄN</t>
        </is>
      </c>
      <c r="E294" t="inlineStr">
        <is>
          <t>TORSBY</t>
        </is>
      </c>
      <c r="G294" t="n">
        <v>8.800000000000001</v>
      </c>
      <c r="H294" t="n">
        <v>2</v>
      </c>
      <c r="I294" t="n">
        <v>0</v>
      </c>
      <c r="J294" t="n">
        <v>2</v>
      </c>
      <c r="K294" t="n">
        <v>0</v>
      </c>
      <c r="L294" t="n">
        <v>0</v>
      </c>
      <c r="M294" t="n">
        <v>0</v>
      </c>
      <c r="N294" t="n">
        <v>0</v>
      </c>
      <c r="O294" t="n">
        <v>2</v>
      </c>
      <c r="P294" t="n">
        <v>0</v>
      </c>
      <c r="Q294" t="n">
        <v>2</v>
      </c>
      <c r="R294" s="2" t="inlineStr">
        <is>
          <t>Spillkråka
Talltita</t>
        </is>
      </c>
      <c r="S294">
        <f>HYPERLINK("https://klasma.github.io/Logging_1737/artfynd/A 16414-2023 artfynd.xlsx", "A 16414-2023")</f>
        <v/>
      </c>
      <c r="T294">
        <f>HYPERLINK("https://klasma.github.io/Logging_1737/kartor/A 16414-2023 karta.png", "A 16414-2023")</f>
        <v/>
      </c>
      <c r="V294">
        <f>HYPERLINK("https://klasma.github.io/Logging_1737/klagomål/A 16414-2023 FSC-klagomål.docx", "A 16414-2023")</f>
        <v/>
      </c>
      <c r="W294">
        <f>HYPERLINK("https://klasma.github.io/Logging_1737/klagomålsmail/A 16414-2023 FSC-klagomål mail.docx", "A 16414-2023")</f>
        <v/>
      </c>
      <c r="X294">
        <f>HYPERLINK("https://klasma.github.io/Logging_1737/tillsyn/A 16414-2023 tillsynsbegäran.docx", "A 16414-2023")</f>
        <v/>
      </c>
      <c r="Y294">
        <f>HYPERLINK("https://klasma.github.io/Logging_1737/tillsynsmail/A 16414-2023 tillsynsbegäran mail.docx", "A 16414-2023")</f>
        <v/>
      </c>
      <c r="Z294">
        <f>HYPERLINK("https://klasma.github.io/Logging_1737/fåglar/A 16414-2023 prioriterade fågelarter.docx", "A 16414-2023")</f>
        <v/>
      </c>
    </row>
    <row r="295" ht="15" customHeight="1">
      <c r="A295" t="inlineStr">
        <is>
          <t>A 16442-2023</t>
        </is>
      </c>
      <c r="B295" s="1" t="n">
        <v>45026</v>
      </c>
      <c r="C295" s="1" t="n">
        <v>45736</v>
      </c>
      <c r="D295" t="inlineStr">
        <is>
          <t>VÄRMLANDS LÄN</t>
        </is>
      </c>
      <c r="E295" t="inlineStr">
        <is>
          <t>TORSBY</t>
        </is>
      </c>
      <c r="G295" t="n">
        <v>2.1</v>
      </c>
      <c r="H295" t="n">
        <v>0</v>
      </c>
      <c r="I295" t="n">
        <v>0</v>
      </c>
      <c r="J295" t="n">
        <v>2</v>
      </c>
      <c r="K295" t="n">
        <v>0</v>
      </c>
      <c r="L295" t="n">
        <v>0</v>
      </c>
      <c r="M295" t="n">
        <v>0</v>
      </c>
      <c r="N295" t="n">
        <v>0</v>
      </c>
      <c r="O295" t="n">
        <v>2</v>
      </c>
      <c r="P295" t="n">
        <v>0</v>
      </c>
      <c r="Q295" t="n">
        <v>2</v>
      </c>
      <c r="R295" s="2" t="inlineStr">
        <is>
          <t>Garnlav
Vedskivlav</t>
        </is>
      </c>
      <c r="S295">
        <f>HYPERLINK("https://klasma.github.io/Logging_1737/artfynd/A 16442-2023 artfynd.xlsx", "A 16442-2023")</f>
        <v/>
      </c>
      <c r="T295">
        <f>HYPERLINK("https://klasma.github.io/Logging_1737/kartor/A 16442-2023 karta.png", "A 16442-2023")</f>
        <v/>
      </c>
      <c r="V295">
        <f>HYPERLINK("https://klasma.github.io/Logging_1737/klagomål/A 16442-2023 FSC-klagomål.docx", "A 16442-2023")</f>
        <v/>
      </c>
      <c r="W295">
        <f>HYPERLINK("https://klasma.github.io/Logging_1737/klagomålsmail/A 16442-2023 FSC-klagomål mail.docx", "A 16442-2023")</f>
        <v/>
      </c>
      <c r="X295">
        <f>HYPERLINK("https://klasma.github.io/Logging_1737/tillsyn/A 16442-2023 tillsynsbegäran.docx", "A 16442-2023")</f>
        <v/>
      </c>
      <c r="Y295">
        <f>HYPERLINK("https://klasma.github.io/Logging_1737/tillsynsmail/A 16442-2023 tillsynsbegäran mail.docx", "A 16442-2023")</f>
        <v/>
      </c>
    </row>
    <row r="296" ht="15" customHeight="1">
      <c r="A296" t="inlineStr">
        <is>
          <t>A 19945-2023</t>
        </is>
      </c>
      <c r="B296" s="1" t="n">
        <v>45054</v>
      </c>
      <c r="C296" s="1" t="n">
        <v>45736</v>
      </c>
      <c r="D296" t="inlineStr">
        <is>
          <t>VÄRMLANDS LÄN</t>
        </is>
      </c>
      <c r="E296" t="inlineStr">
        <is>
          <t>FILIPSTAD</t>
        </is>
      </c>
      <c r="G296" t="n">
        <v>3.3</v>
      </c>
      <c r="H296" t="n">
        <v>1</v>
      </c>
      <c r="I296" t="n">
        <v>2</v>
      </c>
      <c r="J296" t="n">
        <v>0</v>
      </c>
      <c r="K296" t="n">
        <v>0</v>
      </c>
      <c r="L296" t="n">
        <v>0</v>
      </c>
      <c r="M296" t="n">
        <v>0</v>
      </c>
      <c r="N296" t="n">
        <v>0</v>
      </c>
      <c r="O296" t="n">
        <v>0</v>
      </c>
      <c r="P296" t="n">
        <v>0</v>
      </c>
      <c r="Q296" t="n">
        <v>2</v>
      </c>
      <c r="R296" s="2" t="inlineStr">
        <is>
          <t>Guckusko
Kransrams</t>
        </is>
      </c>
      <c r="S296">
        <f>HYPERLINK("https://klasma.github.io/Logging_1782/artfynd/A 19945-2023 artfynd.xlsx", "A 19945-2023")</f>
        <v/>
      </c>
      <c r="T296">
        <f>HYPERLINK("https://klasma.github.io/Logging_1782/kartor/A 19945-2023 karta.png", "A 19945-2023")</f>
        <v/>
      </c>
      <c r="V296">
        <f>HYPERLINK("https://klasma.github.io/Logging_1782/klagomål/A 19945-2023 FSC-klagomål.docx", "A 19945-2023")</f>
        <v/>
      </c>
      <c r="W296">
        <f>HYPERLINK("https://klasma.github.io/Logging_1782/klagomålsmail/A 19945-2023 FSC-klagomål mail.docx", "A 19945-2023")</f>
        <v/>
      </c>
      <c r="X296">
        <f>HYPERLINK("https://klasma.github.io/Logging_1782/tillsyn/A 19945-2023 tillsynsbegäran.docx", "A 19945-2023")</f>
        <v/>
      </c>
      <c r="Y296">
        <f>HYPERLINK("https://klasma.github.io/Logging_1782/tillsynsmail/A 19945-2023 tillsynsbegäran mail.docx", "A 19945-2023")</f>
        <v/>
      </c>
    </row>
    <row r="297" ht="15" customHeight="1">
      <c r="A297" t="inlineStr">
        <is>
          <t>A 26039-2023</t>
        </is>
      </c>
      <c r="B297" s="1" t="n">
        <v>45091</v>
      </c>
      <c r="C297" s="1" t="n">
        <v>45736</v>
      </c>
      <c r="D297" t="inlineStr">
        <is>
          <t>VÄRMLANDS LÄN</t>
        </is>
      </c>
      <c r="E297" t="inlineStr">
        <is>
          <t>EDA</t>
        </is>
      </c>
      <c r="G297" t="n">
        <v>1.6</v>
      </c>
      <c r="H297" t="n">
        <v>2</v>
      </c>
      <c r="I297" t="n">
        <v>0</v>
      </c>
      <c r="J297" t="n">
        <v>2</v>
      </c>
      <c r="K297" t="n">
        <v>0</v>
      </c>
      <c r="L297" t="n">
        <v>0</v>
      </c>
      <c r="M297" t="n">
        <v>0</v>
      </c>
      <c r="N297" t="n">
        <v>0</v>
      </c>
      <c r="O297" t="n">
        <v>2</v>
      </c>
      <c r="P297" t="n">
        <v>0</v>
      </c>
      <c r="Q297" t="n">
        <v>2</v>
      </c>
      <c r="R297" s="2" t="inlineStr">
        <is>
          <t>Buskskvätta
Gulsparv</t>
        </is>
      </c>
      <c r="S297">
        <f>HYPERLINK("https://klasma.github.io/Logging_1730/artfynd/A 26039-2023 artfynd.xlsx", "A 26039-2023")</f>
        <v/>
      </c>
      <c r="T297">
        <f>HYPERLINK("https://klasma.github.io/Logging_1730/kartor/A 26039-2023 karta.png", "A 26039-2023")</f>
        <v/>
      </c>
      <c r="V297">
        <f>HYPERLINK("https://klasma.github.io/Logging_1730/klagomål/A 26039-2023 FSC-klagomål.docx", "A 26039-2023")</f>
        <v/>
      </c>
      <c r="W297">
        <f>HYPERLINK("https://klasma.github.io/Logging_1730/klagomålsmail/A 26039-2023 FSC-klagomål mail.docx", "A 26039-2023")</f>
        <v/>
      </c>
      <c r="X297">
        <f>HYPERLINK("https://klasma.github.io/Logging_1730/tillsyn/A 26039-2023 tillsynsbegäran.docx", "A 26039-2023")</f>
        <v/>
      </c>
      <c r="Y297">
        <f>HYPERLINK("https://klasma.github.io/Logging_1730/tillsynsmail/A 26039-2023 tillsynsbegäran mail.docx", "A 26039-2023")</f>
        <v/>
      </c>
      <c r="Z297">
        <f>HYPERLINK("https://klasma.github.io/Logging_1730/fåglar/A 26039-2023 prioriterade fågelarter.docx", "A 26039-2023")</f>
        <v/>
      </c>
    </row>
    <row r="298" ht="15" customHeight="1">
      <c r="A298" t="inlineStr">
        <is>
          <t>A 39251-2023</t>
        </is>
      </c>
      <c r="B298" s="1" t="n">
        <v>45166</v>
      </c>
      <c r="C298" s="1" t="n">
        <v>45736</v>
      </c>
      <c r="D298" t="inlineStr">
        <is>
          <t>VÄRMLANDS LÄN</t>
        </is>
      </c>
      <c r="E298" t="inlineStr">
        <is>
          <t>ÅRJÄNG</t>
        </is>
      </c>
      <c r="F298" t="inlineStr">
        <is>
          <t>Kyrkan</t>
        </is>
      </c>
      <c r="G298" t="n">
        <v>5.1</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HYPERLINK("https://klasma.github.io/Logging_1765/artfynd/A 39251-2023 artfynd.xlsx", "A 39251-2023")</f>
        <v/>
      </c>
      <c r="T298">
        <f>HYPERLINK("https://klasma.github.io/Logging_1765/kartor/A 39251-2023 karta.png", "A 39251-2023")</f>
        <v/>
      </c>
      <c r="V298">
        <f>HYPERLINK("https://klasma.github.io/Logging_1765/klagomål/A 39251-2023 FSC-klagomål.docx", "A 39251-2023")</f>
        <v/>
      </c>
      <c r="W298">
        <f>HYPERLINK("https://klasma.github.io/Logging_1765/klagomålsmail/A 39251-2023 FSC-klagomål mail.docx", "A 39251-2023")</f>
        <v/>
      </c>
      <c r="X298">
        <f>HYPERLINK("https://klasma.github.io/Logging_1765/tillsyn/A 39251-2023 tillsynsbegäran.docx", "A 39251-2023")</f>
        <v/>
      </c>
      <c r="Y298">
        <f>HYPERLINK("https://klasma.github.io/Logging_1765/tillsynsmail/A 39251-2023 tillsynsbegäran mail.docx", "A 39251-2023")</f>
        <v/>
      </c>
    </row>
    <row r="299" ht="15" customHeight="1">
      <c r="A299" t="inlineStr">
        <is>
          <t>A 41507-2023</t>
        </is>
      </c>
      <c r="B299" s="1" t="n">
        <v>45175</v>
      </c>
      <c r="C299" s="1" t="n">
        <v>45736</v>
      </c>
      <c r="D299" t="inlineStr">
        <is>
          <t>VÄRMLANDS LÄN</t>
        </is>
      </c>
      <c r="E299" t="inlineStr">
        <is>
          <t>KARLSTAD</t>
        </is>
      </c>
      <c r="G299" t="n">
        <v>11.4</v>
      </c>
      <c r="H299" t="n">
        <v>0</v>
      </c>
      <c r="I299" t="n">
        <v>2</v>
      </c>
      <c r="J299" t="n">
        <v>0</v>
      </c>
      <c r="K299" t="n">
        <v>0</v>
      </c>
      <c r="L299" t="n">
        <v>0</v>
      </c>
      <c r="M299" t="n">
        <v>0</v>
      </c>
      <c r="N299" t="n">
        <v>0</v>
      </c>
      <c r="O299" t="n">
        <v>0</v>
      </c>
      <c r="P299" t="n">
        <v>0</v>
      </c>
      <c r="Q299" t="n">
        <v>2</v>
      </c>
      <c r="R299" s="2" t="inlineStr">
        <is>
          <t>Blåmossa
Thomsons trägnagare</t>
        </is>
      </c>
      <c r="S299">
        <f>HYPERLINK("https://klasma.github.io/Logging_1780/artfynd/A 41507-2023 artfynd.xlsx", "A 41507-2023")</f>
        <v/>
      </c>
      <c r="T299">
        <f>HYPERLINK("https://klasma.github.io/Logging_1780/kartor/A 41507-2023 karta.png", "A 41507-2023")</f>
        <v/>
      </c>
      <c r="V299">
        <f>HYPERLINK("https://klasma.github.io/Logging_1780/klagomål/A 41507-2023 FSC-klagomål.docx", "A 41507-2023")</f>
        <v/>
      </c>
      <c r="W299">
        <f>HYPERLINK("https://klasma.github.io/Logging_1780/klagomålsmail/A 41507-2023 FSC-klagomål mail.docx", "A 41507-2023")</f>
        <v/>
      </c>
      <c r="X299">
        <f>HYPERLINK("https://klasma.github.io/Logging_1780/tillsyn/A 41507-2023 tillsynsbegäran.docx", "A 41507-2023")</f>
        <v/>
      </c>
      <c r="Y299">
        <f>HYPERLINK("https://klasma.github.io/Logging_1780/tillsynsmail/A 41507-2023 tillsynsbegäran mail.docx", "A 41507-2023")</f>
        <v/>
      </c>
    </row>
    <row r="300" ht="15" customHeight="1">
      <c r="A300" t="inlineStr">
        <is>
          <t>A 42610-2023</t>
        </is>
      </c>
      <c r="B300" s="1" t="n">
        <v>45181</v>
      </c>
      <c r="C300" s="1" t="n">
        <v>45736</v>
      </c>
      <c r="D300" t="inlineStr">
        <is>
          <t>VÄRMLANDS LÄN</t>
        </is>
      </c>
      <c r="E300" t="inlineStr">
        <is>
          <t>TORSBY</t>
        </is>
      </c>
      <c r="G300" t="n">
        <v>16.9</v>
      </c>
      <c r="H300" t="n">
        <v>1</v>
      </c>
      <c r="I300" t="n">
        <v>0</v>
      </c>
      <c r="J300" t="n">
        <v>1</v>
      </c>
      <c r="K300" t="n">
        <v>0</v>
      </c>
      <c r="L300" t="n">
        <v>0</v>
      </c>
      <c r="M300" t="n">
        <v>0</v>
      </c>
      <c r="N300" t="n">
        <v>0</v>
      </c>
      <c r="O300" t="n">
        <v>1</v>
      </c>
      <c r="P300" t="n">
        <v>0</v>
      </c>
      <c r="Q300" t="n">
        <v>2</v>
      </c>
      <c r="R300" s="2" t="inlineStr">
        <is>
          <t>Garnlav
Tjäder</t>
        </is>
      </c>
      <c r="S300">
        <f>HYPERLINK("https://klasma.github.io/Logging_1737/artfynd/A 42610-2023 artfynd.xlsx", "A 42610-2023")</f>
        <v/>
      </c>
      <c r="T300">
        <f>HYPERLINK("https://klasma.github.io/Logging_1737/kartor/A 42610-2023 karta.png", "A 42610-2023")</f>
        <v/>
      </c>
      <c r="V300">
        <f>HYPERLINK("https://klasma.github.io/Logging_1737/klagomål/A 42610-2023 FSC-klagomål.docx", "A 42610-2023")</f>
        <v/>
      </c>
      <c r="W300">
        <f>HYPERLINK("https://klasma.github.io/Logging_1737/klagomålsmail/A 42610-2023 FSC-klagomål mail.docx", "A 42610-2023")</f>
        <v/>
      </c>
      <c r="X300">
        <f>HYPERLINK("https://klasma.github.io/Logging_1737/tillsyn/A 42610-2023 tillsynsbegäran.docx", "A 42610-2023")</f>
        <v/>
      </c>
      <c r="Y300">
        <f>HYPERLINK("https://klasma.github.io/Logging_1737/tillsynsmail/A 42610-2023 tillsynsbegäran mail.docx", "A 42610-2023")</f>
        <v/>
      </c>
      <c r="Z300">
        <f>HYPERLINK("https://klasma.github.io/Logging_1737/fåglar/A 42610-2023 prioriterade fågelarter.docx", "A 42610-2023")</f>
        <v/>
      </c>
    </row>
    <row r="301" ht="15" customHeight="1">
      <c r="A301" t="inlineStr">
        <is>
          <t>A 43389-2023</t>
        </is>
      </c>
      <c r="B301" s="1" t="n">
        <v>45183</v>
      </c>
      <c r="C301" s="1" t="n">
        <v>45736</v>
      </c>
      <c r="D301" t="inlineStr">
        <is>
          <t>VÄRMLANDS LÄN</t>
        </is>
      </c>
      <c r="E301" t="inlineStr">
        <is>
          <t>ARVIKA</t>
        </is>
      </c>
      <c r="G301" t="n">
        <v>0.9</v>
      </c>
      <c r="H301" t="n">
        <v>1</v>
      </c>
      <c r="I301" t="n">
        <v>0</v>
      </c>
      <c r="J301" t="n">
        <v>0</v>
      </c>
      <c r="K301" t="n">
        <v>1</v>
      </c>
      <c r="L301" t="n">
        <v>1</v>
      </c>
      <c r="M301" t="n">
        <v>0</v>
      </c>
      <c r="N301" t="n">
        <v>0</v>
      </c>
      <c r="O301" t="n">
        <v>2</v>
      </c>
      <c r="P301" t="n">
        <v>2</v>
      </c>
      <c r="Q301" t="n">
        <v>2</v>
      </c>
      <c r="R301" s="2" t="inlineStr">
        <is>
          <t>Raggtaggsvamp
Knärot</t>
        </is>
      </c>
      <c r="S301">
        <f>HYPERLINK("https://klasma.github.io/Logging_1784/artfynd/A 43389-2023 artfynd.xlsx", "A 43389-2023")</f>
        <v/>
      </c>
      <c r="T301">
        <f>HYPERLINK("https://klasma.github.io/Logging_1784/kartor/A 43389-2023 karta.png", "A 43389-2023")</f>
        <v/>
      </c>
      <c r="U301">
        <f>HYPERLINK("https://klasma.github.io/Logging_1784/knärot/A 43389-2023 karta knärot.png", "A 43389-2023")</f>
        <v/>
      </c>
      <c r="V301">
        <f>HYPERLINK("https://klasma.github.io/Logging_1784/klagomål/A 43389-2023 FSC-klagomål.docx", "A 43389-2023")</f>
        <v/>
      </c>
      <c r="W301">
        <f>HYPERLINK("https://klasma.github.io/Logging_1784/klagomålsmail/A 43389-2023 FSC-klagomål mail.docx", "A 43389-2023")</f>
        <v/>
      </c>
      <c r="X301">
        <f>HYPERLINK("https://klasma.github.io/Logging_1784/tillsyn/A 43389-2023 tillsynsbegäran.docx", "A 43389-2023")</f>
        <v/>
      </c>
      <c r="Y301">
        <f>HYPERLINK("https://klasma.github.io/Logging_1784/tillsynsmail/A 43389-2023 tillsynsbegäran mail.docx", "A 43389-2023")</f>
        <v/>
      </c>
    </row>
    <row r="302" ht="15" customHeight="1">
      <c r="A302" t="inlineStr">
        <is>
          <t>A 45401-2023</t>
        </is>
      </c>
      <c r="B302" s="1" t="n">
        <v>45194</v>
      </c>
      <c r="C302" s="1" t="n">
        <v>45736</v>
      </c>
      <c r="D302" t="inlineStr">
        <is>
          <t>VÄRMLANDS LÄN</t>
        </is>
      </c>
      <c r="E302" t="inlineStr">
        <is>
          <t>ARVIKA</t>
        </is>
      </c>
      <c r="G302" t="n">
        <v>2.4</v>
      </c>
      <c r="H302" t="n">
        <v>1</v>
      </c>
      <c r="I302" t="n">
        <v>0</v>
      </c>
      <c r="J302" t="n">
        <v>1</v>
      </c>
      <c r="K302" t="n">
        <v>1</v>
      </c>
      <c r="L302" t="n">
        <v>0</v>
      </c>
      <c r="M302" t="n">
        <v>0</v>
      </c>
      <c r="N302" t="n">
        <v>0</v>
      </c>
      <c r="O302" t="n">
        <v>2</v>
      </c>
      <c r="P302" t="n">
        <v>1</v>
      </c>
      <c r="Q302" t="n">
        <v>2</v>
      </c>
      <c r="R302" s="2" t="inlineStr">
        <is>
          <t>Knärot
Skogsklocka</t>
        </is>
      </c>
      <c r="S302">
        <f>HYPERLINK("https://klasma.github.io/Logging_1784/artfynd/A 45401-2023 artfynd.xlsx", "A 45401-2023")</f>
        <v/>
      </c>
      <c r="T302">
        <f>HYPERLINK("https://klasma.github.io/Logging_1784/kartor/A 45401-2023 karta.png", "A 45401-2023")</f>
        <v/>
      </c>
      <c r="U302">
        <f>HYPERLINK("https://klasma.github.io/Logging_1784/knärot/A 45401-2023 karta knärot.png", "A 45401-2023")</f>
        <v/>
      </c>
      <c r="V302">
        <f>HYPERLINK("https://klasma.github.io/Logging_1784/klagomål/A 45401-2023 FSC-klagomål.docx", "A 45401-2023")</f>
        <v/>
      </c>
      <c r="W302">
        <f>HYPERLINK("https://klasma.github.io/Logging_1784/klagomålsmail/A 45401-2023 FSC-klagomål mail.docx", "A 45401-2023")</f>
        <v/>
      </c>
      <c r="X302">
        <f>HYPERLINK("https://klasma.github.io/Logging_1784/tillsyn/A 45401-2023 tillsynsbegäran.docx", "A 45401-2023")</f>
        <v/>
      </c>
      <c r="Y302">
        <f>HYPERLINK("https://klasma.github.io/Logging_1784/tillsynsmail/A 45401-2023 tillsynsbegäran mail.docx", "A 45401-2023")</f>
        <v/>
      </c>
    </row>
    <row r="303" ht="15" customHeight="1">
      <c r="A303" t="inlineStr">
        <is>
          <t>A 46008-2023</t>
        </is>
      </c>
      <c r="B303" s="1" t="n">
        <v>45196</v>
      </c>
      <c r="C303" s="1" t="n">
        <v>45736</v>
      </c>
      <c r="D303" t="inlineStr">
        <is>
          <t>VÄRMLANDS LÄN</t>
        </is>
      </c>
      <c r="E303" t="inlineStr">
        <is>
          <t>TORSBY</t>
        </is>
      </c>
      <c r="G303" t="n">
        <v>15.4</v>
      </c>
      <c r="H303" t="n">
        <v>0</v>
      </c>
      <c r="I303" t="n">
        <v>0</v>
      </c>
      <c r="J303" t="n">
        <v>2</v>
      </c>
      <c r="K303" t="n">
        <v>0</v>
      </c>
      <c r="L303" t="n">
        <v>0</v>
      </c>
      <c r="M303" t="n">
        <v>0</v>
      </c>
      <c r="N303" t="n">
        <v>0</v>
      </c>
      <c r="O303" t="n">
        <v>2</v>
      </c>
      <c r="P303" t="n">
        <v>0</v>
      </c>
      <c r="Q303" t="n">
        <v>2</v>
      </c>
      <c r="R303" s="2" t="inlineStr">
        <is>
          <t>Dvärgbägarlav
Garnlav</t>
        </is>
      </c>
      <c r="S303">
        <f>HYPERLINK("https://klasma.github.io/Logging_1737/artfynd/A 46008-2023 artfynd.xlsx", "A 46008-2023")</f>
        <v/>
      </c>
      <c r="T303">
        <f>HYPERLINK("https://klasma.github.io/Logging_1737/kartor/A 46008-2023 karta.png", "A 46008-2023")</f>
        <v/>
      </c>
      <c r="V303">
        <f>HYPERLINK("https://klasma.github.io/Logging_1737/klagomål/A 46008-2023 FSC-klagomål.docx", "A 46008-2023")</f>
        <v/>
      </c>
      <c r="W303">
        <f>HYPERLINK("https://klasma.github.io/Logging_1737/klagomålsmail/A 46008-2023 FSC-klagomål mail.docx", "A 46008-2023")</f>
        <v/>
      </c>
      <c r="X303">
        <f>HYPERLINK("https://klasma.github.io/Logging_1737/tillsyn/A 46008-2023 tillsynsbegäran.docx", "A 46008-2023")</f>
        <v/>
      </c>
      <c r="Y303">
        <f>HYPERLINK("https://klasma.github.io/Logging_1737/tillsynsmail/A 46008-2023 tillsynsbegäran mail.docx", "A 46008-2023")</f>
        <v/>
      </c>
    </row>
    <row r="304" ht="15" customHeight="1">
      <c r="A304" t="inlineStr">
        <is>
          <t>A 47551-2023</t>
        </is>
      </c>
      <c r="B304" s="1" t="n">
        <v>45203</v>
      </c>
      <c r="C304" s="1" t="n">
        <v>45736</v>
      </c>
      <c r="D304" t="inlineStr">
        <is>
          <t>VÄRMLANDS LÄN</t>
        </is>
      </c>
      <c r="E304" t="inlineStr">
        <is>
          <t>SÄFFLE</t>
        </is>
      </c>
      <c r="G304" t="n">
        <v>1.4</v>
      </c>
      <c r="H304" t="n">
        <v>2</v>
      </c>
      <c r="I304" t="n">
        <v>0</v>
      </c>
      <c r="J304" t="n">
        <v>0</v>
      </c>
      <c r="K304" t="n">
        <v>0</v>
      </c>
      <c r="L304" t="n">
        <v>0</v>
      </c>
      <c r="M304" t="n">
        <v>0</v>
      </c>
      <c r="N304" t="n">
        <v>0</v>
      </c>
      <c r="O304" t="n">
        <v>0</v>
      </c>
      <c r="P304" t="n">
        <v>0</v>
      </c>
      <c r="Q304" t="n">
        <v>2</v>
      </c>
      <c r="R304" s="2" t="inlineStr">
        <is>
          <t>Större vattensalamander
Vanlig snok</t>
        </is>
      </c>
      <c r="S304">
        <f>HYPERLINK("https://klasma.github.io/Logging_1785/artfynd/A 47551-2023 artfynd.xlsx", "A 47551-2023")</f>
        <v/>
      </c>
      <c r="T304">
        <f>HYPERLINK("https://klasma.github.io/Logging_1785/kartor/A 47551-2023 karta.png", "A 47551-2023")</f>
        <v/>
      </c>
      <c r="V304">
        <f>HYPERLINK("https://klasma.github.io/Logging_1785/klagomål/A 47551-2023 FSC-klagomål.docx", "A 47551-2023")</f>
        <v/>
      </c>
      <c r="W304">
        <f>HYPERLINK("https://klasma.github.io/Logging_1785/klagomålsmail/A 47551-2023 FSC-klagomål mail.docx", "A 47551-2023")</f>
        <v/>
      </c>
      <c r="X304">
        <f>HYPERLINK("https://klasma.github.io/Logging_1785/tillsyn/A 47551-2023 tillsynsbegäran.docx", "A 47551-2023")</f>
        <v/>
      </c>
      <c r="Y304">
        <f>HYPERLINK("https://klasma.github.io/Logging_1785/tillsynsmail/A 47551-2023 tillsynsbegäran mail.docx", "A 47551-2023")</f>
        <v/>
      </c>
    </row>
    <row r="305" ht="15" customHeight="1">
      <c r="A305" t="inlineStr">
        <is>
          <t>A 48292-2023</t>
        </is>
      </c>
      <c r="B305" s="1" t="n">
        <v>45205</v>
      </c>
      <c r="C305" s="1" t="n">
        <v>45736</v>
      </c>
      <c r="D305" t="inlineStr">
        <is>
          <t>VÄRMLANDS LÄN</t>
        </is>
      </c>
      <c r="E305" t="inlineStr">
        <is>
          <t>TORSBY</t>
        </is>
      </c>
      <c r="G305" t="n">
        <v>2.3</v>
      </c>
      <c r="H305" t="n">
        <v>0</v>
      </c>
      <c r="I305" t="n">
        <v>1</v>
      </c>
      <c r="J305" t="n">
        <v>1</v>
      </c>
      <c r="K305" t="n">
        <v>0</v>
      </c>
      <c r="L305" t="n">
        <v>0</v>
      </c>
      <c r="M305" t="n">
        <v>0</v>
      </c>
      <c r="N305" t="n">
        <v>0</v>
      </c>
      <c r="O305" t="n">
        <v>1</v>
      </c>
      <c r="P305" t="n">
        <v>0</v>
      </c>
      <c r="Q305" t="n">
        <v>2</v>
      </c>
      <c r="R305" s="2" t="inlineStr">
        <is>
          <t>Vedtrappmossa
Vedticka</t>
        </is>
      </c>
      <c r="S305">
        <f>HYPERLINK("https://klasma.github.io/Logging_1737/artfynd/A 48292-2023 artfynd.xlsx", "A 48292-2023")</f>
        <v/>
      </c>
      <c r="T305">
        <f>HYPERLINK("https://klasma.github.io/Logging_1737/kartor/A 48292-2023 karta.png", "A 48292-2023")</f>
        <v/>
      </c>
      <c r="V305">
        <f>HYPERLINK("https://klasma.github.io/Logging_1737/klagomål/A 48292-2023 FSC-klagomål.docx", "A 48292-2023")</f>
        <v/>
      </c>
      <c r="W305">
        <f>HYPERLINK("https://klasma.github.io/Logging_1737/klagomålsmail/A 48292-2023 FSC-klagomål mail.docx", "A 48292-2023")</f>
        <v/>
      </c>
      <c r="X305">
        <f>HYPERLINK("https://klasma.github.io/Logging_1737/tillsyn/A 48292-2023 tillsynsbegäran.docx", "A 48292-2023")</f>
        <v/>
      </c>
      <c r="Y305">
        <f>HYPERLINK("https://klasma.github.io/Logging_1737/tillsynsmail/A 48292-2023 tillsynsbegäran mail.docx", "A 48292-2023")</f>
        <v/>
      </c>
    </row>
    <row r="306" ht="15" customHeight="1">
      <c r="A306" t="inlineStr">
        <is>
          <t>A 48678-2023</t>
        </is>
      </c>
      <c r="B306" s="1" t="n">
        <v>45208</v>
      </c>
      <c r="C306" s="1" t="n">
        <v>45736</v>
      </c>
      <c r="D306" t="inlineStr">
        <is>
          <t>VÄRMLANDS LÄN</t>
        </is>
      </c>
      <c r="E306" t="inlineStr">
        <is>
          <t>ÅRJÄNG</t>
        </is>
      </c>
      <c r="G306" t="n">
        <v>7.5</v>
      </c>
      <c r="H306" t="n">
        <v>1</v>
      </c>
      <c r="I306" t="n">
        <v>1</v>
      </c>
      <c r="J306" t="n">
        <v>0</v>
      </c>
      <c r="K306" t="n">
        <v>0</v>
      </c>
      <c r="L306" t="n">
        <v>0</v>
      </c>
      <c r="M306" t="n">
        <v>0</v>
      </c>
      <c r="N306" t="n">
        <v>0</v>
      </c>
      <c r="O306" t="n">
        <v>0</v>
      </c>
      <c r="P306" t="n">
        <v>0</v>
      </c>
      <c r="Q306" t="n">
        <v>2</v>
      </c>
      <c r="R306" s="2" t="inlineStr">
        <is>
          <t>Dropptaggsvamp
Tjäder</t>
        </is>
      </c>
      <c r="S306">
        <f>HYPERLINK("https://klasma.github.io/Logging_1765/artfynd/A 48678-2023 artfynd.xlsx", "A 48678-2023")</f>
        <v/>
      </c>
      <c r="T306">
        <f>HYPERLINK("https://klasma.github.io/Logging_1765/kartor/A 48678-2023 karta.png", "A 48678-2023")</f>
        <v/>
      </c>
      <c r="V306">
        <f>HYPERLINK("https://klasma.github.io/Logging_1765/klagomål/A 48678-2023 FSC-klagomål.docx", "A 48678-2023")</f>
        <v/>
      </c>
      <c r="W306">
        <f>HYPERLINK("https://klasma.github.io/Logging_1765/klagomålsmail/A 48678-2023 FSC-klagomål mail.docx", "A 48678-2023")</f>
        <v/>
      </c>
      <c r="X306">
        <f>HYPERLINK("https://klasma.github.io/Logging_1765/tillsyn/A 48678-2023 tillsynsbegäran.docx", "A 48678-2023")</f>
        <v/>
      </c>
      <c r="Y306">
        <f>HYPERLINK("https://klasma.github.io/Logging_1765/tillsynsmail/A 48678-2023 tillsynsbegäran mail.docx", "A 48678-2023")</f>
        <v/>
      </c>
      <c r="Z306">
        <f>HYPERLINK("https://klasma.github.io/Logging_1765/fåglar/A 48678-2023 prioriterade fågelarter.docx", "A 48678-2023")</f>
        <v/>
      </c>
    </row>
    <row r="307" ht="15" customHeight="1">
      <c r="A307" t="inlineStr">
        <is>
          <t>A 53000-2023</t>
        </is>
      </c>
      <c r="B307" s="1" t="n">
        <v>45226</v>
      </c>
      <c r="C307" s="1" t="n">
        <v>45736</v>
      </c>
      <c r="D307" t="inlineStr">
        <is>
          <t>VÄRMLANDS LÄN</t>
        </is>
      </c>
      <c r="E307" t="inlineStr">
        <is>
          <t>FORSHAGA</t>
        </is>
      </c>
      <c r="F307" t="inlineStr">
        <is>
          <t>Bergvik skog väst AB</t>
        </is>
      </c>
      <c r="G307" t="n">
        <v>13.2</v>
      </c>
      <c r="H307" t="n">
        <v>1</v>
      </c>
      <c r="I307" t="n">
        <v>1</v>
      </c>
      <c r="J307" t="n">
        <v>0</v>
      </c>
      <c r="K307" t="n">
        <v>0</v>
      </c>
      <c r="L307" t="n">
        <v>0</v>
      </c>
      <c r="M307" t="n">
        <v>0</v>
      </c>
      <c r="N307" t="n">
        <v>0</v>
      </c>
      <c r="O307" t="n">
        <v>0</v>
      </c>
      <c r="P307" t="n">
        <v>0</v>
      </c>
      <c r="Q307" t="n">
        <v>2</v>
      </c>
      <c r="R307" s="2" t="inlineStr">
        <is>
          <t>Svart trolldruva
Blåsippa</t>
        </is>
      </c>
      <c r="S307">
        <f>HYPERLINK("https://klasma.github.io/Logging_1763/artfynd/A 53000-2023 artfynd.xlsx", "A 53000-2023")</f>
        <v/>
      </c>
      <c r="T307">
        <f>HYPERLINK("https://klasma.github.io/Logging_1763/kartor/A 53000-2023 karta.png", "A 53000-2023")</f>
        <v/>
      </c>
      <c r="V307">
        <f>HYPERLINK("https://klasma.github.io/Logging_1763/klagomål/A 53000-2023 FSC-klagomål.docx", "A 53000-2023")</f>
        <v/>
      </c>
      <c r="W307">
        <f>HYPERLINK("https://klasma.github.io/Logging_1763/klagomålsmail/A 53000-2023 FSC-klagomål mail.docx", "A 53000-2023")</f>
        <v/>
      </c>
      <c r="X307">
        <f>HYPERLINK("https://klasma.github.io/Logging_1763/tillsyn/A 53000-2023 tillsynsbegäran.docx", "A 53000-2023")</f>
        <v/>
      </c>
      <c r="Y307">
        <f>HYPERLINK("https://klasma.github.io/Logging_1763/tillsynsmail/A 53000-2023 tillsynsbegäran mail.docx", "A 53000-2023")</f>
        <v/>
      </c>
    </row>
    <row r="308" ht="15" customHeight="1">
      <c r="A308" t="inlineStr">
        <is>
          <t>A 60741-2023</t>
        </is>
      </c>
      <c r="B308" s="1" t="n">
        <v>45260</v>
      </c>
      <c r="C308" s="1" t="n">
        <v>45736</v>
      </c>
      <c r="D308" t="inlineStr">
        <is>
          <t>VÄRMLANDS LÄN</t>
        </is>
      </c>
      <c r="E308" t="inlineStr">
        <is>
          <t>ÅRJÄNG</t>
        </is>
      </c>
      <c r="G308" t="n">
        <v>2.7</v>
      </c>
      <c r="H308" t="n">
        <v>0</v>
      </c>
      <c r="I308" t="n">
        <v>0</v>
      </c>
      <c r="J308" t="n">
        <v>2</v>
      </c>
      <c r="K308" t="n">
        <v>0</v>
      </c>
      <c r="L308" t="n">
        <v>0</v>
      </c>
      <c r="M308" t="n">
        <v>0</v>
      </c>
      <c r="N308" t="n">
        <v>0</v>
      </c>
      <c r="O308" t="n">
        <v>2</v>
      </c>
      <c r="P308" t="n">
        <v>0</v>
      </c>
      <c r="Q308" t="n">
        <v>2</v>
      </c>
      <c r="R308" s="2" t="inlineStr">
        <is>
          <t>Garnlav
Vedskivlav</t>
        </is>
      </c>
      <c r="S308">
        <f>HYPERLINK("https://klasma.github.io/Logging_1765/artfynd/A 60741-2023 artfynd.xlsx", "A 60741-2023")</f>
        <v/>
      </c>
      <c r="T308">
        <f>HYPERLINK("https://klasma.github.io/Logging_1765/kartor/A 60741-2023 karta.png", "A 60741-2023")</f>
        <v/>
      </c>
      <c r="V308">
        <f>HYPERLINK("https://klasma.github.io/Logging_1765/klagomål/A 60741-2023 FSC-klagomål.docx", "A 60741-2023")</f>
        <v/>
      </c>
      <c r="W308">
        <f>HYPERLINK("https://klasma.github.io/Logging_1765/klagomålsmail/A 60741-2023 FSC-klagomål mail.docx", "A 60741-2023")</f>
        <v/>
      </c>
      <c r="X308">
        <f>HYPERLINK("https://klasma.github.io/Logging_1765/tillsyn/A 60741-2023 tillsynsbegäran.docx", "A 60741-2023")</f>
        <v/>
      </c>
      <c r="Y308">
        <f>HYPERLINK("https://klasma.github.io/Logging_1765/tillsynsmail/A 60741-2023 tillsynsbegäran mail.docx", "A 60741-2023")</f>
        <v/>
      </c>
    </row>
    <row r="309" ht="15" customHeight="1">
      <c r="A309" t="inlineStr">
        <is>
          <t>A 60688-2023</t>
        </is>
      </c>
      <c r="B309" s="1" t="n">
        <v>45260</v>
      </c>
      <c r="C309" s="1" t="n">
        <v>45736</v>
      </c>
      <c r="D309" t="inlineStr">
        <is>
          <t>VÄRMLANDS LÄN</t>
        </is>
      </c>
      <c r="E309" t="inlineStr">
        <is>
          <t>ÅRJÄNG</t>
        </is>
      </c>
      <c r="G309" t="n">
        <v>4.2</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60688-2023 artfynd.xlsx", "A 60688-2023")</f>
        <v/>
      </c>
      <c r="T309">
        <f>HYPERLINK("https://klasma.github.io/Logging_1765/kartor/A 60688-2023 karta.png", "A 60688-2023")</f>
        <v/>
      </c>
      <c r="V309">
        <f>HYPERLINK("https://klasma.github.io/Logging_1765/klagomål/A 60688-2023 FSC-klagomål.docx", "A 60688-2023")</f>
        <v/>
      </c>
      <c r="W309">
        <f>HYPERLINK("https://klasma.github.io/Logging_1765/klagomålsmail/A 60688-2023 FSC-klagomål mail.docx", "A 60688-2023")</f>
        <v/>
      </c>
      <c r="X309">
        <f>HYPERLINK("https://klasma.github.io/Logging_1765/tillsyn/A 60688-2023 tillsynsbegäran.docx", "A 60688-2023")</f>
        <v/>
      </c>
      <c r="Y309">
        <f>HYPERLINK("https://klasma.github.io/Logging_1765/tillsynsmail/A 60688-2023 tillsynsbegäran mail.docx", "A 60688-2023")</f>
        <v/>
      </c>
    </row>
    <row r="310" ht="15" customHeight="1">
      <c r="A310" t="inlineStr">
        <is>
          <t>A 61722-2023</t>
        </is>
      </c>
      <c r="B310" s="1" t="n">
        <v>45265</v>
      </c>
      <c r="C310" s="1" t="n">
        <v>45736</v>
      </c>
      <c r="D310" t="inlineStr">
        <is>
          <t>VÄRMLANDS LÄN</t>
        </is>
      </c>
      <c r="E310" t="inlineStr">
        <is>
          <t>FORSHAGA</t>
        </is>
      </c>
      <c r="G310" t="n">
        <v>1.7</v>
      </c>
      <c r="H310" t="n">
        <v>2</v>
      </c>
      <c r="I310" t="n">
        <v>0</v>
      </c>
      <c r="J310" t="n">
        <v>1</v>
      </c>
      <c r="K310" t="n">
        <v>0</v>
      </c>
      <c r="L310" t="n">
        <v>0</v>
      </c>
      <c r="M310" t="n">
        <v>0</v>
      </c>
      <c r="N310" t="n">
        <v>0</v>
      </c>
      <c r="O310" t="n">
        <v>1</v>
      </c>
      <c r="P310" t="n">
        <v>0</v>
      </c>
      <c r="Q310" t="n">
        <v>2</v>
      </c>
      <c r="R310" s="2" t="inlineStr">
        <is>
          <t>Spillkråka
Vanlig groda</t>
        </is>
      </c>
      <c r="S310">
        <f>HYPERLINK("https://klasma.github.io/Logging_1763/artfynd/A 61722-2023 artfynd.xlsx", "A 61722-2023")</f>
        <v/>
      </c>
      <c r="T310">
        <f>HYPERLINK("https://klasma.github.io/Logging_1763/kartor/A 61722-2023 karta.png", "A 61722-2023")</f>
        <v/>
      </c>
      <c r="V310">
        <f>HYPERLINK("https://klasma.github.io/Logging_1763/klagomål/A 61722-2023 FSC-klagomål.docx", "A 61722-2023")</f>
        <v/>
      </c>
      <c r="W310">
        <f>HYPERLINK("https://klasma.github.io/Logging_1763/klagomålsmail/A 61722-2023 FSC-klagomål mail.docx", "A 61722-2023")</f>
        <v/>
      </c>
      <c r="X310">
        <f>HYPERLINK("https://klasma.github.io/Logging_1763/tillsyn/A 61722-2023 tillsynsbegäran.docx", "A 61722-2023")</f>
        <v/>
      </c>
      <c r="Y310">
        <f>HYPERLINK("https://klasma.github.io/Logging_1763/tillsynsmail/A 61722-2023 tillsynsbegäran mail.docx", "A 61722-2023")</f>
        <v/>
      </c>
      <c r="Z310">
        <f>HYPERLINK("https://klasma.github.io/Logging_1763/fåglar/A 61722-2023 prioriterade fågelarter.docx", "A 61722-2023")</f>
        <v/>
      </c>
    </row>
    <row r="311" ht="15" customHeight="1">
      <c r="A311" t="inlineStr">
        <is>
          <t>A 62955-2023</t>
        </is>
      </c>
      <c r="B311" s="1" t="n">
        <v>45271</v>
      </c>
      <c r="C311" s="1" t="n">
        <v>45736</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63625-2023</t>
        </is>
      </c>
      <c r="B312" s="1" t="n">
        <v>45275</v>
      </c>
      <c r="C312" s="1" t="n">
        <v>45736</v>
      </c>
      <c r="D312" t="inlineStr">
        <is>
          <t>VÄRMLANDS LÄN</t>
        </is>
      </c>
      <c r="E312" t="inlineStr">
        <is>
          <t>FILIPSTAD</t>
        </is>
      </c>
      <c r="G312" t="n">
        <v>1.9</v>
      </c>
      <c r="H312" t="n">
        <v>0</v>
      </c>
      <c r="I312" t="n">
        <v>0</v>
      </c>
      <c r="J312" t="n">
        <v>1</v>
      </c>
      <c r="K312" t="n">
        <v>1</v>
      </c>
      <c r="L312" t="n">
        <v>0</v>
      </c>
      <c r="M312" t="n">
        <v>0</v>
      </c>
      <c r="N312" t="n">
        <v>0</v>
      </c>
      <c r="O312" t="n">
        <v>2</v>
      </c>
      <c r="P312" t="n">
        <v>1</v>
      </c>
      <c r="Q312" t="n">
        <v>2</v>
      </c>
      <c r="R312" s="2" t="inlineStr">
        <is>
          <t>Smalfotad taggsvamp
Vaddporing</t>
        </is>
      </c>
      <c r="S312">
        <f>HYPERLINK("https://klasma.github.io/Logging_1782/artfynd/A 63625-2023 artfynd.xlsx", "A 63625-2023")</f>
        <v/>
      </c>
      <c r="T312">
        <f>HYPERLINK("https://klasma.github.io/Logging_1782/kartor/A 63625-2023 karta.png", "A 63625-2023")</f>
        <v/>
      </c>
      <c r="V312">
        <f>HYPERLINK("https://klasma.github.io/Logging_1782/klagomål/A 63625-2023 FSC-klagomål.docx", "A 63625-2023")</f>
        <v/>
      </c>
      <c r="W312">
        <f>HYPERLINK("https://klasma.github.io/Logging_1782/klagomålsmail/A 63625-2023 FSC-klagomål mail.docx", "A 63625-2023")</f>
        <v/>
      </c>
      <c r="X312">
        <f>HYPERLINK("https://klasma.github.io/Logging_1782/tillsyn/A 63625-2023 tillsynsbegäran.docx", "A 63625-2023")</f>
        <v/>
      </c>
      <c r="Y312">
        <f>HYPERLINK("https://klasma.github.io/Logging_1782/tillsynsmail/A 63625-2023 tillsynsbegäran mail.docx", "A 63625-2023")</f>
        <v/>
      </c>
    </row>
    <row r="313" ht="15" customHeight="1">
      <c r="A313" t="inlineStr">
        <is>
          <t>A 65232-2023</t>
        </is>
      </c>
      <c r="B313" s="1" t="n">
        <v>45289</v>
      </c>
      <c r="C313" s="1" t="n">
        <v>45736</v>
      </c>
      <c r="D313" t="inlineStr">
        <is>
          <t>VÄRMLANDS LÄN</t>
        </is>
      </c>
      <c r="E313" t="inlineStr">
        <is>
          <t>FILIPSTAD</t>
        </is>
      </c>
      <c r="F313" t="inlineStr">
        <is>
          <t>Bergvik skog väst AB</t>
        </is>
      </c>
      <c r="G313" t="n">
        <v>26.4</v>
      </c>
      <c r="H313" t="n">
        <v>0</v>
      </c>
      <c r="I313" t="n">
        <v>2</v>
      </c>
      <c r="J313" t="n">
        <v>0</v>
      </c>
      <c r="K313" t="n">
        <v>0</v>
      </c>
      <c r="L313" t="n">
        <v>0</v>
      </c>
      <c r="M313" t="n">
        <v>0</v>
      </c>
      <c r="N313" t="n">
        <v>0</v>
      </c>
      <c r="O313" t="n">
        <v>0</v>
      </c>
      <c r="P313" t="n">
        <v>0</v>
      </c>
      <c r="Q313" t="n">
        <v>2</v>
      </c>
      <c r="R313" s="2" t="inlineStr">
        <is>
          <t>Spetsvaxskivling
Ögonpyrola</t>
        </is>
      </c>
      <c r="S313">
        <f>HYPERLINK("https://klasma.github.io/Logging_1782/artfynd/A 65232-2023 artfynd.xlsx", "A 65232-2023")</f>
        <v/>
      </c>
      <c r="T313">
        <f>HYPERLINK("https://klasma.github.io/Logging_1782/kartor/A 65232-2023 karta.png", "A 65232-2023")</f>
        <v/>
      </c>
      <c r="V313">
        <f>HYPERLINK("https://klasma.github.io/Logging_1782/klagomål/A 65232-2023 FSC-klagomål.docx", "A 65232-2023")</f>
        <v/>
      </c>
      <c r="W313">
        <f>HYPERLINK("https://klasma.github.io/Logging_1782/klagomålsmail/A 65232-2023 FSC-klagomål mail.docx", "A 65232-2023")</f>
        <v/>
      </c>
      <c r="X313">
        <f>HYPERLINK("https://klasma.github.io/Logging_1782/tillsyn/A 65232-2023 tillsynsbegäran.docx", "A 65232-2023")</f>
        <v/>
      </c>
      <c r="Y313">
        <f>HYPERLINK("https://klasma.github.io/Logging_1782/tillsynsmail/A 65232-2023 tillsynsbegäran mail.docx", "A 65232-2023")</f>
        <v/>
      </c>
    </row>
    <row r="314" ht="15" customHeight="1">
      <c r="A314" t="inlineStr">
        <is>
          <t>A 4068-2024</t>
        </is>
      </c>
      <c r="B314" s="1" t="n">
        <v>45323</v>
      </c>
      <c r="C314" s="1" t="n">
        <v>45736</v>
      </c>
      <c r="D314" t="inlineStr">
        <is>
          <t>VÄRMLANDS LÄN</t>
        </is>
      </c>
      <c r="E314" t="inlineStr">
        <is>
          <t>TORSBY</t>
        </is>
      </c>
      <c r="G314" t="n">
        <v>2.9</v>
      </c>
      <c r="H314" t="n">
        <v>1</v>
      </c>
      <c r="I314" t="n">
        <v>2</v>
      </c>
      <c r="J314" t="n">
        <v>0</v>
      </c>
      <c r="K314" t="n">
        <v>0</v>
      </c>
      <c r="L314" t="n">
        <v>0</v>
      </c>
      <c r="M314" t="n">
        <v>0</v>
      </c>
      <c r="N314" t="n">
        <v>0</v>
      </c>
      <c r="O314" t="n">
        <v>0</v>
      </c>
      <c r="P314" t="n">
        <v>0</v>
      </c>
      <c r="Q314" t="n">
        <v>2</v>
      </c>
      <c r="R314" s="2" t="inlineStr">
        <is>
          <t>Korallrot
Springkorn</t>
        </is>
      </c>
      <c r="S314">
        <f>HYPERLINK("https://klasma.github.io/Logging_1737/artfynd/A 4068-2024 artfynd.xlsx", "A 4068-2024")</f>
        <v/>
      </c>
      <c r="T314">
        <f>HYPERLINK("https://klasma.github.io/Logging_1737/kartor/A 4068-2024 karta.png", "A 4068-2024")</f>
        <v/>
      </c>
      <c r="V314">
        <f>HYPERLINK("https://klasma.github.io/Logging_1737/klagomål/A 4068-2024 FSC-klagomål.docx", "A 4068-2024")</f>
        <v/>
      </c>
      <c r="W314">
        <f>HYPERLINK("https://klasma.github.io/Logging_1737/klagomålsmail/A 4068-2024 FSC-klagomål mail.docx", "A 4068-2024")</f>
        <v/>
      </c>
      <c r="X314">
        <f>HYPERLINK("https://klasma.github.io/Logging_1737/tillsyn/A 4068-2024 tillsynsbegäran.docx", "A 4068-2024")</f>
        <v/>
      </c>
      <c r="Y314">
        <f>HYPERLINK("https://klasma.github.io/Logging_1737/tillsynsmail/A 4068-2024 tillsynsbegäran mail.docx", "A 4068-2024")</f>
        <v/>
      </c>
    </row>
    <row r="315" ht="15" customHeight="1">
      <c r="A315" t="inlineStr">
        <is>
          <t>A 4296-2024</t>
        </is>
      </c>
      <c r="B315" s="1" t="n">
        <v>45324</v>
      </c>
      <c r="C315" s="1" t="n">
        <v>45736</v>
      </c>
      <c r="D315" t="inlineStr">
        <is>
          <t>VÄRMLANDS LÄN</t>
        </is>
      </c>
      <c r="E315" t="inlineStr">
        <is>
          <t>KARLSTAD</t>
        </is>
      </c>
      <c r="G315" t="n">
        <v>7.1</v>
      </c>
      <c r="H315" t="n">
        <v>2</v>
      </c>
      <c r="I315" t="n">
        <v>0</v>
      </c>
      <c r="J315" t="n">
        <v>2</v>
      </c>
      <c r="K315" t="n">
        <v>0</v>
      </c>
      <c r="L315" t="n">
        <v>0</v>
      </c>
      <c r="M315" t="n">
        <v>0</v>
      </c>
      <c r="N315" t="n">
        <v>0</v>
      </c>
      <c r="O315" t="n">
        <v>2</v>
      </c>
      <c r="P315" t="n">
        <v>0</v>
      </c>
      <c r="Q315" t="n">
        <v>2</v>
      </c>
      <c r="R315" s="2" t="inlineStr">
        <is>
          <t>Duvhök
Spillkråka</t>
        </is>
      </c>
      <c r="S315">
        <f>HYPERLINK("https://klasma.github.io/Logging_1780/artfynd/A 4296-2024 artfynd.xlsx", "A 4296-2024")</f>
        <v/>
      </c>
      <c r="T315">
        <f>HYPERLINK("https://klasma.github.io/Logging_1780/kartor/A 4296-2024 karta.png", "A 4296-2024")</f>
        <v/>
      </c>
      <c r="V315">
        <f>HYPERLINK("https://klasma.github.io/Logging_1780/klagomål/A 4296-2024 FSC-klagomål.docx", "A 4296-2024")</f>
        <v/>
      </c>
      <c r="W315">
        <f>HYPERLINK("https://klasma.github.io/Logging_1780/klagomålsmail/A 4296-2024 FSC-klagomål mail.docx", "A 4296-2024")</f>
        <v/>
      </c>
      <c r="X315">
        <f>HYPERLINK("https://klasma.github.io/Logging_1780/tillsyn/A 4296-2024 tillsynsbegäran.docx", "A 4296-2024")</f>
        <v/>
      </c>
      <c r="Y315">
        <f>HYPERLINK("https://klasma.github.io/Logging_1780/tillsynsmail/A 4296-2024 tillsynsbegäran mail.docx", "A 4296-2024")</f>
        <v/>
      </c>
      <c r="Z315">
        <f>HYPERLINK("https://klasma.github.io/Logging_1780/fåglar/A 4296-2024 prioriterade fågelarter.docx", "A 4296-2024")</f>
        <v/>
      </c>
    </row>
    <row r="316" ht="15" customHeight="1">
      <c r="A316" t="inlineStr">
        <is>
          <t>A 5978-2024</t>
        </is>
      </c>
      <c r="B316" s="1" t="n">
        <v>45336</v>
      </c>
      <c r="C316" s="1" t="n">
        <v>45736</v>
      </c>
      <c r="D316" t="inlineStr">
        <is>
          <t>VÄRMLANDS LÄN</t>
        </is>
      </c>
      <c r="E316" t="inlineStr">
        <is>
          <t>SUNNE</t>
        </is>
      </c>
      <c r="G316" t="n">
        <v>1.2</v>
      </c>
      <c r="H316" t="n">
        <v>0</v>
      </c>
      <c r="I316" t="n">
        <v>1</v>
      </c>
      <c r="J316" t="n">
        <v>1</v>
      </c>
      <c r="K316" t="n">
        <v>0</v>
      </c>
      <c r="L316" t="n">
        <v>0</v>
      </c>
      <c r="M316" t="n">
        <v>0</v>
      </c>
      <c r="N316" t="n">
        <v>0</v>
      </c>
      <c r="O316" t="n">
        <v>1</v>
      </c>
      <c r="P316" t="n">
        <v>0</v>
      </c>
      <c r="Q316" t="n">
        <v>2</v>
      </c>
      <c r="R316" s="2" t="inlineStr">
        <is>
          <t>Violettgrå tagellav
Skuggblåslav</t>
        </is>
      </c>
      <c r="S316">
        <f>HYPERLINK("https://klasma.github.io/Logging_1766/artfynd/A 5978-2024 artfynd.xlsx", "A 5978-2024")</f>
        <v/>
      </c>
      <c r="T316">
        <f>HYPERLINK("https://klasma.github.io/Logging_1766/kartor/A 5978-2024 karta.png", "A 5978-2024")</f>
        <v/>
      </c>
      <c r="V316">
        <f>HYPERLINK("https://klasma.github.io/Logging_1766/klagomål/A 5978-2024 FSC-klagomål.docx", "A 5978-2024")</f>
        <v/>
      </c>
      <c r="W316">
        <f>HYPERLINK("https://klasma.github.io/Logging_1766/klagomålsmail/A 5978-2024 FSC-klagomål mail.docx", "A 5978-2024")</f>
        <v/>
      </c>
      <c r="X316">
        <f>HYPERLINK("https://klasma.github.io/Logging_1766/tillsyn/A 5978-2024 tillsynsbegäran.docx", "A 5978-2024")</f>
        <v/>
      </c>
      <c r="Y316">
        <f>HYPERLINK("https://klasma.github.io/Logging_1766/tillsynsmail/A 5978-2024 tillsynsbegäran mail.docx", "A 5978-2024")</f>
        <v/>
      </c>
    </row>
    <row r="317" ht="15" customHeight="1">
      <c r="A317" t="inlineStr">
        <is>
          <t>A 7438-2024</t>
        </is>
      </c>
      <c r="B317" s="1" t="n">
        <v>45345</v>
      </c>
      <c r="C317" s="1" t="n">
        <v>45736</v>
      </c>
      <c r="D317" t="inlineStr">
        <is>
          <t>VÄRMLANDS LÄN</t>
        </is>
      </c>
      <c r="E317" t="inlineStr">
        <is>
          <t>ÅRJÄNG</t>
        </is>
      </c>
      <c r="G317" t="n">
        <v>12.3</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7438-2024 artfynd.xlsx", "A 7438-2024")</f>
        <v/>
      </c>
      <c r="T317">
        <f>HYPERLINK("https://klasma.github.io/Logging_1765/kartor/A 7438-2024 karta.png", "A 7438-2024")</f>
        <v/>
      </c>
      <c r="V317">
        <f>HYPERLINK("https://klasma.github.io/Logging_1765/klagomål/A 7438-2024 FSC-klagomål.docx", "A 7438-2024")</f>
        <v/>
      </c>
      <c r="W317">
        <f>HYPERLINK("https://klasma.github.io/Logging_1765/klagomålsmail/A 7438-2024 FSC-klagomål mail.docx", "A 7438-2024")</f>
        <v/>
      </c>
      <c r="X317">
        <f>HYPERLINK("https://klasma.github.io/Logging_1765/tillsyn/A 7438-2024 tillsynsbegäran.docx", "A 7438-2024")</f>
        <v/>
      </c>
      <c r="Y317">
        <f>HYPERLINK("https://klasma.github.io/Logging_1765/tillsynsmail/A 7438-2024 tillsynsbegäran mail.docx", "A 7438-2024")</f>
        <v/>
      </c>
      <c r="Z317">
        <f>HYPERLINK("https://klasma.github.io/Logging_1765/fåglar/A 7438-2024 prioriterade fågelarter.docx", "A 7438-2024")</f>
        <v/>
      </c>
    </row>
    <row r="318" ht="15" customHeight="1">
      <c r="A318" t="inlineStr">
        <is>
          <t>A 9157-2024</t>
        </is>
      </c>
      <c r="B318" s="1" t="n">
        <v>45358</v>
      </c>
      <c r="C318" s="1" t="n">
        <v>45736</v>
      </c>
      <c r="D318" t="inlineStr">
        <is>
          <t>VÄRMLANDS LÄN</t>
        </is>
      </c>
      <c r="E318" t="inlineStr">
        <is>
          <t>EDA</t>
        </is>
      </c>
      <c r="G318" t="n">
        <v>1.3</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9157-2024 artfynd.xlsx", "A 9157-2024")</f>
        <v/>
      </c>
      <c r="T318">
        <f>HYPERLINK("https://klasma.github.io/Logging_1730/kartor/A 9157-2024 karta.png", "A 9157-2024")</f>
        <v/>
      </c>
      <c r="V318">
        <f>HYPERLINK("https://klasma.github.io/Logging_1730/klagomål/A 9157-2024 FSC-klagomål.docx", "A 9157-2024")</f>
        <v/>
      </c>
      <c r="W318">
        <f>HYPERLINK("https://klasma.github.io/Logging_1730/klagomålsmail/A 9157-2024 FSC-klagomål mail.docx", "A 9157-2024")</f>
        <v/>
      </c>
      <c r="X318">
        <f>HYPERLINK("https://klasma.github.io/Logging_1730/tillsyn/A 9157-2024 tillsynsbegäran.docx", "A 9157-2024")</f>
        <v/>
      </c>
      <c r="Y318">
        <f>HYPERLINK("https://klasma.github.io/Logging_1730/tillsynsmail/A 9157-2024 tillsynsbegäran mail.docx", "A 9157-2024")</f>
        <v/>
      </c>
    </row>
    <row r="319" ht="15" customHeight="1">
      <c r="A319" t="inlineStr">
        <is>
          <t>A 14025-2024</t>
        </is>
      </c>
      <c r="B319" s="1" t="n">
        <v>45392</v>
      </c>
      <c r="C319" s="1" t="n">
        <v>45736</v>
      </c>
      <c r="D319" t="inlineStr">
        <is>
          <t>VÄRMLANDS LÄN</t>
        </is>
      </c>
      <c r="E319" t="inlineStr">
        <is>
          <t>ARVIKA</t>
        </is>
      </c>
      <c r="G319" t="n">
        <v>6</v>
      </c>
      <c r="H319" t="n">
        <v>1</v>
      </c>
      <c r="I319" t="n">
        <v>1</v>
      </c>
      <c r="J319" t="n">
        <v>0</v>
      </c>
      <c r="K319" t="n">
        <v>1</v>
      </c>
      <c r="L319" t="n">
        <v>0</v>
      </c>
      <c r="M319" t="n">
        <v>0</v>
      </c>
      <c r="N319" t="n">
        <v>0</v>
      </c>
      <c r="O319" t="n">
        <v>1</v>
      </c>
      <c r="P319" t="n">
        <v>1</v>
      </c>
      <c r="Q319" t="n">
        <v>2</v>
      </c>
      <c r="R319" s="2" t="inlineStr">
        <is>
          <t>Knärot
Fjällig taggsvamp s.str.</t>
        </is>
      </c>
      <c r="S319">
        <f>HYPERLINK("https://klasma.github.io/Logging_1784/artfynd/A 14025-2024 artfynd.xlsx", "A 14025-2024")</f>
        <v/>
      </c>
      <c r="T319">
        <f>HYPERLINK("https://klasma.github.io/Logging_1784/kartor/A 14025-2024 karta.png", "A 14025-2024")</f>
        <v/>
      </c>
      <c r="U319">
        <f>HYPERLINK("https://klasma.github.io/Logging_1784/knärot/A 14025-2024 karta knärot.png", "A 14025-2024")</f>
        <v/>
      </c>
      <c r="V319">
        <f>HYPERLINK("https://klasma.github.io/Logging_1784/klagomål/A 14025-2024 FSC-klagomål.docx", "A 14025-2024")</f>
        <v/>
      </c>
      <c r="W319">
        <f>HYPERLINK("https://klasma.github.io/Logging_1784/klagomålsmail/A 14025-2024 FSC-klagomål mail.docx", "A 14025-2024")</f>
        <v/>
      </c>
      <c r="X319">
        <f>HYPERLINK("https://klasma.github.io/Logging_1784/tillsyn/A 14025-2024 tillsynsbegäran.docx", "A 14025-2024")</f>
        <v/>
      </c>
      <c r="Y319">
        <f>HYPERLINK("https://klasma.github.io/Logging_1784/tillsynsmail/A 14025-2024 tillsynsbegäran mail.docx", "A 14025-2024")</f>
        <v/>
      </c>
    </row>
    <row r="320" ht="15" customHeight="1">
      <c r="A320" t="inlineStr">
        <is>
          <t>A 17288-2024</t>
        </is>
      </c>
      <c r="B320" s="1" t="n">
        <v>45414</v>
      </c>
      <c r="C320" s="1" t="n">
        <v>45736</v>
      </c>
      <c r="D320" t="inlineStr">
        <is>
          <t>VÄRMLANDS LÄN</t>
        </is>
      </c>
      <c r="E320" t="inlineStr">
        <is>
          <t>FORSHAGA</t>
        </is>
      </c>
      <c r="F320" t="inlineStr">
        <is>
          <t>Bergvik skog väst AB</t>
        </is>
      </c>
      <c r="G320" t="n">
        <v>20.8</v>
      </c>
      <c r="H320" t="n">
        <v>2</v>
      </c>
      <c r="I320" t="n">
        <v>1</v>
      </c>
      <c r="J320" t="n">
        <v>0</v>
      </c>
      <c r="K320" t="n">
        <v>0</v>
      </c>
      <c r="L320" t="n">
        <v>0</v>
      </c>
      <c r="M320" t="n">
        <v>0</v>
      </c>
      <c r="N320" t="n">
        <v>0</v>
      </c>
      <c r="O320" t="n">
        <v>0</v>
      </c>
      <c r="P320" t="n">
        <v>0</v>
      </c>
      <c r="Q320" t="n">
        <v>2</v>
      </c>
      <c r="R320" s="2" t="inlineStr">
        <is>
          <t>Skogsknipprot
Blåsippa</t>
        </is>
      </c>
      <c r="S320">
        <f>HYPERLINK("https://klasma.github.io/Logging_1763/artfynd/A 17288-2024 artfynd.xlsx", "A 17288-2024")</f>
        <v/>
      </c>
      <c r="T320">
        <f>HYPERLINK("https://klasma.github.io/Logging_1763/kartor/A 17288-2024 karta.png", "A 17288-2024")</f>
        <v/>
      </c>
      <c r="V320">
        <f>HYPERLINK("https://klasma.github.io/Logging_1763/klagomål/A 17288-2024 FSC-klagomål.docx", "A 17288-2024")</f>
        <v/>
      </c>
      <c r="W320">
        <f>HYPERLINK("https://klasma.github.io/Logging_1763/klagomålsmail/A 17288-2024 FSC-klagomål mail.docx", "A 17288-2024")</f>
        <v/>
      </c>
      <c r="X320">
        <f>HYPERLINK("https://klasma.github.io/Logging_1763/tillsyn/A 17288-2024 tillsynsbegäran.docx", "A 17288-2024")</f>
        <v/>
      </c>
      <c r="Y320">
        <f>HYPERLINK("https://klasma.github.io/Logging_1763/tillsynsmail/A 17288-2024 tillsynsbegäran mail.docx", "A 17288-2024")</f>
        <v/>
      </c>
    </row>
    <row r="321" ht="15" customHeight="1">
      <c r="A321" t="inlineStr">
        <is>
          <t>A 17274-2024</t>
        </is>
      </c>
      <c r="B321" s="1" t="n">
        <v>45414</v>
      </c>
      <c r="C321" s="1" t="n">
        <v>45736</v>
      </c>
      <c r="D321" t="inlineStr">
        <is>
          <t>VÄRMLANDS LÄN</t>
        </is>
      </c>
      <c r="E321" t="inlineStr">
        <is>
          <t>FILIPSTAD</t>
        </is>
      </c>
      <c r="F321" t="inlineStr">
        <is>
          <t>Kommuner</t>
        </is>
      </c>
      <c r="G321" t="n">
        <v>5.8</v>
      </c>
      <c r="H321" t="n">
        <v>1</v>
      </c>
      <c r="I321" t="n">
        <v>1</v>
      </c>
      <c r="J321" t="n">
        <v>1</v>
      </c>
      <c r="K321" t="n">
        <v>0</v>
      </c>
      <c r="L321" t="n">
        <v>0</v>
      </c>
      <c r="M321" t="n">
        <v>0</v>
      </c>
      <c r="N321" t="n">
        <v>0</v>
      </c>
      <c r="O321" t="n">
        <v>1</v>
      </c>
      <c r="P321" t="n">
        <v>0</v>
      </c>
      <c r="Q321" t="n">
        <v>2</v>
      </c>
      <c r="R321" s="2" t="inlineStr">
        <is>
          <t>Talltita
Dropptaggsvamp</t>
        </is>
      </c>
      <c r="S321">
        <f>HYPERLINK("https://klasma.github.io/Logging_1782/artfynd/A 17274-2024 artfynd.xlsx", "A 17274-2024")</f>
        <v/>
      </c>
      <c r="T321">
        <f>HYPERLINK("https://klasma.github.io/Logging_1782/kartor/A 17274-2024 karta.png", "A 17274-2024")</f>
        <v/>
      </c>
      <c r="V321">
        <f>HYPERLINK("https://klasma.github.io/Logging_1782/klagomål/A 17274-2024 FSC-klagomål.docx", "A 17274-2024")</f>
        <v/>
      </c>
      <c r="W321">
        <f>HYPERLINK("https://klasma.github.io/Logging_1782/klagomålsmail/A 17274-2024 FSC-klagomål mail.docx", "A 17274-2024")</f>
        <v/>
      </c>
      <c r="X321">
        <f>HYPERLINK("https://klasma.github.io/Logging_1782/tillsyn/A 17274-2024 tillsynsbegäran.docx", "A 17274-2024")</f>
        <v/>
      </c>
      <c r="Y321">
        <f>HYPERLINK("https://klasma.github.io/Logging_1782/tillsynsmail/A 17274-2024 tillsynsbegäran mail.docx", "A 17274-2024")</f>
        <v/>
      </c>
      <c r="Z321">
        <f>HYPERLINK("https://klasma.github.io/Logging_1782/fåglar/A 17274-2024 prioriterade fågelarter.docx", "A 17274-2024")</f>
        <v/>
      </c>
    </row>
    <row r="322" ht="15" customHeight="1">
      <c r="A322" t="inlineStr">
        <is>
          <t>A 17953-2024</t>
        </is>
      </c>
      <c r="B322" s="1" t="n">
        <v>45419</v>
      </c>
      <c r="C322" s="1" t="n">
        <v>45736</v>
      </c>
      <c r="D322" t="inlineStr">
        <is>
          <t>VÄRMLANDS LÄN</t>
        </is>
      </c>
      <c r="E322" t="inlineStr">
        <is>
          <t>FORSHAGA</t>
        </is>
      </c>
      <c r="F322" t="inlineStr">
        <is>
          <t>Bergvik skog väst AB</t>
        </is>
      </c>
      <c r="G322" t="n">
        <v>3.2</v>
      </c>
      <c r="H322" t="n">
        <v>0</v>
      </c>
      <c r="I322" t="n">
        <v>2</v>
      </c>
      <c r="J322" t="n">
        <v>0</v>
      </c>
      <c r="K322" t="n">
        <v>0</v>
      </c>
      <c r="L322" t="n">
        <v>0</v>
      </c>
      <c r="M322" t="n">
        <v>0</v>
      </c>
      <c r="N322" t="n">
        <v>0</v>
      </c>
      <c r="O322" t="n">
        <v>0</v>
      </c>
      <c r="P322" t="n">
        <v>0</v>
      </c>
      <c r="Q322" t="n">
        <v>2</v>
      </c>
      <c r="R322" s="2" t="inlineStr">
        <is>
          <t>Svart trolldruva
Tibast</t>
        </is>
      </c>
      <c r="S322">
        <f>HYPERLINK("https://klasma.github.io/Logging_1763/artfynd/A 17953-2024 artfynd.xlsx", "A 17953-2024")</f>
        <v/>
      </c>
      <c r="T322">
        <f>HYPERLINK("https://klasma.github.io/Logging_1763/kartor/A 17953-2024 karta.png", "A 17953-2024")</f>
        <v/>
      </c>
      <c r="V322">
        <f>HYPERLINK("https://klasma.github.io/Logging_1763/klagomål/A 17953-2024 FSC-klagomål.docx", "A 17953-2024")</f>
        <v/>
      </c>
      <c r="W322">
        <f>HYPERLINK("https://klasma.github.io/Logging_1763/klagomålsmail/A 17953-2024 FSC-klagomål mail.docx", "A 17953-2024")</f>
        <v/>
      </c>
      <c r="X322">
        <f>HYPERLINK("https://klasma.github.io/Logging_1763/tillsyn/A 17953-2024 tillsynsbegäran.docx", "A 17953-2024")</f>
        <v/>
      </c>
      <c r="Y322">
        <f>HYPERLINK("https://klasma.github.io/Logging_1763/tillsynsmail/A 17953-2024 tillsynsbegäran mail.docx", "A 17953-2024")</f>
        <v/>
      </c>
    </row>
    <row r="323" ht="15" customHeight="1">
      <c r="A323" t="inlineStr">
        <is>
          <t>A 18748-2024</t>
        </is>
      </c>
      <c r="B323" s="1" t="n">
        <v>45426</v>
      </c>
      <c r="C323" s="1" t="n">
        <v>45736</v>
      </c>
      <c r="D323" t="inlineStr">
        <is>
          <t>VÄRMLANDS LÄN</t>
        </is>
      </c>
      <c r="E323" t="inlineStr">
        <is>
          <t>EDA</t>
        </is>
      </c>
      <c r="G323" t="n">
        <v>16.7</v>
      </c>
      <c r="H323" t="n">
        <v>2</v>
      </c>
      <c r="I323" t="n">
        <v>0</v>
      </c>
      <c r="J323" t="n">
        <v>1</v>
      </c>
      <c r="K323" t="n">
        <v>0</v>
      </c>
      <c r="L323" t="n">
        <v>0</v>
      </c>
      <c r="M323" t="n">
        <v>0</v>
      </c>
      <c r="N323" t="n">
        <v>0</v>
      </c>
      <c r="O323" t="n">
        <v>1</v>
      </c>
      <c r="P323" t="n">
        <v>0</v>
      </c>
      <c r="Q323" t="n">
        <v>2</v>
      </c>
      <c r="R323" s="2" t="inlineStr">
        <is>
          <t>Spillkråka
Tjäder</t>
        </is>
      </c>
      <c r="S323">
        <f>HYPERLINK("https://klasma.github.io/Logging_1730/artfynd/A 18748-2024 artfynd.xlsx", "A 18748-2024")</f>
        <v/>
      </c>
      <c r="T323">
        <f>HYPERLINK("https://klasma.github.io/Logging_1730/kartor/A 18748-2024 karta.png", "A 18748-2024")</f>
        <v/>
      </c>
      <c r="V323">
        <f>HYPERLINK("https://klasma.github.io/Logging_1730/klagomål/A 18748-2024 FSC-klagomål.docx", "A 18748-2024")</f>
        <v/>
      </c>
      <c r="W323">
        <f>HYPERLINK("https://klasma.github.io/Logging_1730/klagomålsmail/A 18748-2024 FSC-klagomål mail.docx", "A 18748-2024")</f>
        <v/>
      </c>
      <c r="X323">
        <f>HYPERLINK("https://klasma.github.io/Logging_1730/tillsyn/A 18748-2024 tillsynsbegäran.docx", "A 18748-2024")</f>
        <v/>
      </c>
      <c r="Y323">
        <f>HYPERLINK("https://klasma.github.io/Logging_1730/tillsynsmail/A 18748-2024 tillsynsbegäran mail.docx", "A 18748-2024")</f>
        <v/>
      </c>
      <c r="Z323">
        <f>HYPERLINK("https://klasma.github.io/Logging_1730/fåglar/A 18748-2024 prioriterade fågelarter.docx", "A 18748-2024")</f>
        <v/>
      </c>
    </row>
    <row r="324" ht="15" customHeight="1">
      <c r="A324" t="inlineStr">
        <is>
          <t>A 18763-2024</t>
        </is>
      </c>
      <c r="B324" s="1" t="n">
        <v>45426</v>
      </c>
      <c r="C324" s="1" t="n">
        <v>45736</v>
      </c>
      <c r="D324" t="inlineStr">
        <is>
          <t>VÄRMLANDS LÄN</t>
        </is>
      </c>
      <c r="E324" t="inlineStr">
        <is>
          <t>EDA</t>
        </is>
      </c>
      <c r="G324" t="n">
        <v>2.4</v>
      </c>
      <c r="H324" t="n">
        <v>0</v>
      </c>
      <c r="I324" t="n">
        <v>1</v>
      </c>
      <c r="J324" t="n">
        <v>1</v>
      </c>
      <c r="K324" t="n">
        <v>0</v>
      </c>
      <c r="L324" t="n">
        <v>0</v>
      </c>
      <c r="M324" t="n">
        <v>0</v>
      </c>
      <c r="N324" t="n">
        <v>0</v>
      </c>
      <c r="O324" t="n">
        <v>1</v>
      </c>
      <c r="P324" t="n">
        <v>0</v>
      </c>
      <c r="Q324" t="n">
        <v>2</v>
      </c>
      <c r="R324" s="2" t="inlineStr">
        <is>
          <t>Ullticka
Bronshjon</t>
        </is>
      </c>
      <c r="S324">
        <f>HYPERLINK("https://klasma.github.io/Logging_1730/artfynd/A 18763-2024 artfynd.xlsx", "A 18763-2024")</f>
        <v/>
      </c>
      <c r="T324">
        <f>HYPERLINK("https://klasma.github.io/Logging_1730/kartor/A 18763-2024 karta.png", "A 18763-2024")</f>
        <v/>
      </c>
      <c r="V324">
        <f>HYPERLINK("https://klasma.github.io/Logging_1730/klagomål/A 18763-2024 FSC-klagomål.docx", "A 18763-2024")</f>
        <v/>
      </c>
      <c r="W324">
        <f>HYPERLINK("https://klasma.github.io/Logging_1730/klagomålsmail/A 18763-2024 FSC-klagomål mail.docx", "A 18763-2024")</f>
        <v/>
      </c>
      <c r="X324">
        <f>HYPERLINK("https://klasma.github.io/Logging_1730/tillsyn/A 18763-2024 tillsynsbegäran.docx", "A 18763-2024")</f>
        <v/>
      </c>
      <c r="Y324">
        <f>HYPERLINK("https://klasma.github.io/Logging_1730/tillsynsmail/A 18763-2024 tillsynsbegäran mail.docx", "A 18763-2024")</f>
        <v/>
      </c>
    </row>
    <row r="325" ht="15" customHeight="1">
      <c r="A325" t="inlineStr">
        <is>
          <t>A 19133-2024</t>
        </is>
      </c>
      <c r="B325" s="1" t="n">
        <v>45428</v>
      </c>
      <c r="C325" s="1" t="n">
        <v>45736</v>
      </c>
      <c r="D325" t="inlineStr">
        <is>
          <t>VÄRMLANDS LÄN</t>
        </is>
      </c>
      <c r="E325" t="inlineStr">
        <is>
          <t>KARLSTAD</t>
        </is>
      </c>
      <c r="F325" t="inlineStr">
        <is>
          <t>Kommuner</t>
        </is>
      </c>
      <c r="G325" t="n">
        <v>2.8</v>
      </c>
      <c r="H325" t="n">
        <v>1</v>
      </c>
      <c r="I325" t="n">
        <v>1</v>
      </c>
      <c r="J325" t="n">
        <v>0</v>
      </c>
      <c r="K325" t="n">
        <v>1</v>
      </c>
      <c r="L325" t="n">
        <v>0</v>
      </c>
      <c r="M325" t="n">
        <v>0</v>
      </c>
      <c r="N325" t="n">
        <v>0</v>
      </c>
      <c r="O325" t="n">
        <v>1</v>
      </c>
      <c r="P325" t="n">
        <v>1</v>
      </c>
      <c r="Q325" t="n">
        <v>2</v>
      </c>
      <c r="R325" s="2" t="inlineStr">
        <is>
          <t>Knärot
Blåmossa</t>
        </is>
      </c>
      <c r="S325">
        <f>HYPERLINK("https://klasma.github.io/Logging_1780/artfynd/A 19133-2024 artfynd.xlsx", "A 19133-2024")</f>
        <v/>
      </c>
      <c r="T325">
        <f>HYPERLINK("https://klasma.github.io/Logging_1780/kartor/A 19133-2024 karta.png", "A 19133-2024")</f>
        <v/>
      </c>
      <c r="U325">
        <f>HYPERLINK("https://klasma.github.io/Logging_1780/knärot/A 19133-2024 karta knärot.png", "A 19133-2024")</f>
        <v/>
      </c>
      <c r="V325">
        <f>HYPERLINK("https://klasma.github.io/Logging_1780/klagomål/A 19133-2024 FSC-klagomål.docx", "A 19133-2024")</f>
        <v/>
      </c>
      <c r="W325">
        <f>HYPERLINK("https://klasma.github.io/Logging_1780/klagomålsmail/A 19133-2024 FSC-klagomål mail.docx", "A 19133-2024")</f>
        <v/>
      </c>
      <c r="X325">
        <f>HYPERLINK("https://klasma.github.io/Logging_1780/tillsyn/A 19133-2024 tillsynsbegäran.docx", "A 19133-2024")</f>
        <v/>
      </c>
      <c r="Y325">
        <f>HYPERLINK("https://klasma.github.io/Logging_1780/tillsynsmail/A 19133-2024 tillsynsbegäran mail.docx", "A 19133-2024")</f>
        <v/>
      </c>
    </row>
    <row r="326" ht="15" customHeight="1">
      <c r="A326" t="inlineStr">
        <is>
          <t>A 23091-2024</t>
        </is>
      </c>
      <c r="B326" s="1" t="n">
        <v>45450</v>
      </c>
      <c r="C326" s="1" t="n">
        <v>45736</v>
      </c>
      <c r="D326" t="inlineStr">
        <is>
          <t>VÄRMLANDS LÄN</t>
        </is>
      </c>
      <c r="E326" t="inlineStr">
        <is>
          <t>TORSBY</t>
        </is>
      </c>
      <c r="F326" t="inlineStr">
        <is>
          <t>Bergvik skog väst AB</t>
        </is>
      </c>
      <c r="G326" t="n">
        <v>14.3</v>
      </c>
      <c r="H326" t="n">
        <v>0</v>
      </c>
      <c r="I326" t="n">
        <v>1</v>
      </c>
      <c r="J326" t="n">
        <v>1</v>
      </c>
      <c r="K326" t="n">
        <v>0</v>
      </c>
      <c r="L326" t="n">
        <v>0</v>
      </c>
      <c r="M326" t="n">
        <v>0</v>
      </c>
      <c r="N326" t="n">
        <v>0</v>
      </c>
      <c r="O326" t="n">
        <v>1</v>
      </c>
      <c r="P326" t="n">
        <v>0</v>
      </c>
      <c r="Q326" t="n">
        <v>2</v>
      </c>
      <c r="R326" s="2" t="inlineStr">
        <is>
          <t>Vedskivlav
Kambräken</t>
        </is>
      </c>
      <c r="S326">
        <f>HYPERLINK("https://klasma.github.io/Logging_1737/artfynd/A 23091-2024 artfynd.xlsx", "A 23091-2024")</f>
        <v/>
      </c>
      <c r="T326">
        <f>HYPERLINK("https://klasma.github.io/Logging_1737/kartor/A 23091-2024 karta.png", "A 23091-2024")</f>
        <v/>
      </c>
      <c r="V326">
        <f>HYPERLINK("https://klasma.github.io/Logging_1737/klagomål/A 23091-2024 FSC-klagomål.docx", "A 23091-2024")</f>
        <v/>
      </c>
      <c r="W326">
        <f>HYPERLINK("https://klasma.github.io/Logging_1737/klagomålsmail/A 23091-2024 FSC-klagomål mail.docx", "A 23091-2024")</f>
        <v/>
      </c>
      <c r="X326">
        <f>HYPERLINK("https://klasma.github.io/Logging_1737/tillsyn/A 23091-2024 tillsynsbegäran.docx", "A 23091-2024")</f>
        <v/>
      </c>
      <c r="Y326">
        <f>HYPERLINK("https://klasma.github.io/Logging_1737/tillsynsmail/A 23091-2024 tillsynsbegäran mail.docx", "A 23091-2024")</f>
        <v/>
      </c>
    </row>
    <row r="327" ht="15" customHeight="1">
      <c r="A327" t="inlineStr">
        <is>
          <t>A 24697-2024</t>
        </is>
      </c>
      <c r="B327" s="1" t="n">
        <v>45460</v>
      </c>
      <c r="C327" s="1" t="n">
        <v>45736</v>
      </c>
      <c r="D327" t="inlineStr">
        <is>
          <t>VÄRMLANDS LÄN</t>
        </is>
      </c>
      <c r="E327" t="inlineStr">
        <is>
          <t>SÄFFLE</t>
        </is>
      </c>
      <c r="G327" t="n">
        <v>16.9</v>
      </c>
      <c r="H327" t="n">
        <v>0</v>
      </c>
      <c r="I327" t="n">
        <v>2</v>
      </c>
      <c r="J327" t="n">
        <v>0</v>
      </c>
      <c r="K327" t="n">
        <v>0</v>
      </c>
      <c r="L327" t="n">
        <v>0</v>
      </c>
      <c r="M327" t="n">
        <v>0</v>
      </c>
      <c r="N327" t="n">
        <v>0</v>
      </c>
      <c r="O327" t="n">
        <v>0</v>
      </c>
      <c r="P327" t="n">
        <v>0</v>
      </c>
      <c r="Q327" t="n">
        <v>2</v>
      </c>
      <c r="R327" s="2" t="inlineStr">
        <is>
          <t>Blåmossa
Dropptaggsvamp</t>
        </is>
      </c>
      <c r="S327">
        <f>HYPERLINK("https://klasma.github.io/Logging_1785/artfynd/A 24697-2024 artfynd.xlsx", "A 24697-2024")</f>
        <v/>
      </c>
      <c r="T327">
        <f>HYPERLINK("https://klasma.github.io/Logging_1785/kartor/A 24697-2024 karta.png", "A 24697-2024")</f>
        <v/>
      </c>
      <c r="V327">
        <f>HYPERLINK("https://klasma.github.io/Logging_1785/klagomål/A 24697-2024 FSC-klagomål.docx", "A 24697-2024")</f>
        <v/>
      </c>
      <c r="W327">
        <f>HYPERLINK("https://klasma.github.io/Logging_1785/klagomålsmail/A 24697-2024 FSC-klagomål mail.docx", "A 24697-2024")</f>
        <v/>
      </c>
      <c r="X327">
        <f>HYPERLINK("https://klasma.github.io/Logging_1785/tillsyn/A 24697-2024 tillsynsbegäran.docx", "A 24697-2024")</f>
        <v/>
      </c>
      <c r="Y327">
        <f>HYPERLINK("https://klasma.github.io/Logging_1785/tillsynsmail/A 24697-2024 tillsynsbegäran mail.docx", "A 24697-2024")</f>
        <v/>
      </c>
    </row>
    <row r="328" ht="15" customHeight="1">
      <c r="A328" t="inlineStr">
        <is>
          <t>A 34491-2024</t>
        </is>
      </c>
      <c r="B328" s="1" t="n">
        <v>45525</v>
      </c>
      <c r="C328" s="1" t="n">
        <v>45736</v>
      </c>
      <c r="D328" t="inlineStr">
        <is>
          <t>VÄRMLANDS LÄN</t>
        </is>
      </c>
      <c r="E328" t="inlineStr">
        <is>
          <t>TORSBY</t>
        </is>
      </c>
      <c r="G328" t="n">
        <v>3.1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34491-2024 artfynd.xlsx", "A 34491-2024")</f>
        <v/>
      </c>
      <c r="T328">
        <f>HYPERLINK("https://klasma.github.io/Logging_1737/kartor/A 34491-2024 karta.png", "A 34491-2024")</f>
        <v/>
      </c>
      <c r="V328">
        <f>HYPERLINK("https://klasma.github.io/Logging_1737/klagomål/A 34491-2024 FSC-klagomål.docx", "A 34491-2024")</f>
        <v/>
      </c>
      <c r="W328">
        <f>HYPERLINK("https://klasma.github.io/Logging_1737/klagomålsmail/A 34491-2024 FSC-klagomål mail.docx", "A 34491-2024")</f>
        <v/>
      </c>
      <c r="X328">
        <f>HYPERLINK("https://klasma.github.io/Logging_1737/tillsyn/A 34491-2024 tillsynsbegäran.docx", "A 34491-2024")</f>
        <v/>
      </c>
      <c r="Y328">
        <f>HYPERLINK("https://klasma.github.io/Logging_1737/tillsynsmail/A 34491-2024 tillsynsbegäran mail.docx", "A 34491-2024")</f>
        <v/>
      </c>
    </row>
    <row r="329" ht="15" customHeight="1">
      <c r="A329" t="inlineStr">
        <is>
          <t>A 37351-2024</t>
        </is>
      </c>
      <c r="B329" s="1" t="n">
        <v>45540</v>
      </c>
      <c r="C329" s="1" t="n">
        <v>45736</v>
      </c>
      <c r="D329" t="inlineStr">
        <is>
          <t>VÄRMLANDS LÄN</t>
        </is>
      </c>
      <c r="E329" t="inlineStr">
        <is>
          <t>TORSBY</t>
        </is>
      </c>
      <c r="F329" t="inlineStr">
        <is>
          <t>Bergvik skog väst AB</t>
        </is>
      </c>
      <c r="G329" t="n">
        <v>22.7</v>
      </c>
      <c r="H329" t="n">
        <v>1</v>
      </c>
      <c r="I329" t="n">
        <v>0</v>
      </c>
      <c r="J329" t="n">
        <v>2</v>
      </c>
      <c r="K329" t="n">
        <v>0</v>
      </c>
      <c r="L329" t="n">
        <v>0</v>
      </c>
      <c r="M329" t="n">
        <v>0</v>
      </c>
      <c r="N329" t="n">
        <v>0</v>
      </c>
      <c r="O329" t="n">
        <v>2</v>
      </c>
      <c r="P329" t="n">
        <v>0</v>
      </c>
      <c r="Q329" t="n">
        <v>2</v>
      </c>
      <c r="R329" s="2" t="inlineStr">
        <is>
          <t>Motaggsvamp
Talltita</t>
        </is>
      </c>
      <c r="S329">
        <f>HYPERLINK("https://klasma.github.io/Logging_1737/artfynd/A 37351-2024 artfynd.xlsx", "A 37351-2024")</f>
        <v/>
      </c>
      <c r="T329">
        <f>HYPERLINK("https://klasma.github.io/Logging_1737/kartor/A 37351-2024 karta.png", "A 37351-2024")</f>
        <v/>
      </c>
      <c r="V329">
        <f>HYPERLINK("https://klasma.github.io/Logging_1737/klagomål/A 37351-2024 FSC-klagomål.docx", "A 37351-2024")</f>
        <v/>
      </c>
      <c r="W329">
        <f>HYPERLINK("https://klasma.github.io/Logging_1737/klagomålsmail/A 37351-2024 FSC-klagomål mail.docx", "A 37351-2024")</f>
        <v/>
      </c>
      <c r="X329">
        <f>HYPERLINK("https://klasma.github.io/Logging_1737/tillsyn/A 37351-2024 tillsynsbegäran.docx", "A 37351-2024")</f>
        <v/>
      </c>
      <c r="Y329">
        <f>HYPERLINK("https://klasma.github.io/Logging_1737/tillsynsmail/A 37351-2024 tillsynsbegäran mail.docx", "A 37351-2024")</f>
        <v/>
      </c>
      <c r="Z329">
        <f>HYPERLINK("https://klasma.github.io/Logging_1737/fåglar/A 37351-2024 prioriterade fågelarter.docx", "A 37351-2024")</f>
        <v/>
      </c>
    </row>
    <row r="330" ht="15" customHeight="1">
      <c r="A330" t="inlineStr">
        <is>
          <t>A 37936-2024</t>
        </is>
      </c>
      <c r="B330" s="1" t="n">
        <v>45544</v>
      </c>
      <c r="C330" s="1" t="n">
        <v>45736</v>
      </c>
      <c r="D330" t="inlineStr">
        <is>
          <t>VÄRMLANDS LÄN</t>
        </is>
      </c>
      <c r="E330" t="inlineStr">
        <is>
          <t>TORSBY</t>
        </is>
      </c>
      <c r="G330" t="n">
        <v>5.4</v>
      </c>
      <c r="H330" t="n">
        <v>0</v>
      </c>
      <c r="I330" t="n">
        <v>0</v>
      </c>
      <c r="J330" t="n">
        <v>2</v>
      </c>
      <c r="K330" t="n">
        <v>0</v>
      </c>
      <c r="L330" t="n">
        <v>0</v>
      </c>
      <c r="M330" t="n">
        <v>0</v>
      </c>
      <c r="N330" t="n">
        <v>0</v>
      </c>
      <c r="O330" t="n">
        <v>2</v>
      </c>
      <c r="P330" t="n">
        <v>0</v>
      </c>
      <c r="Q330" t="n">
        <v>2</v>
      </c>
      <c r="R330" s="2" t="inlineStr">
        <is>
          <t>Dvärgbägarlav
Vedflamlav</t>
        </is>
      </c>
      <c r="S330">
        <f>HYPERLINK("https://klasma.github.io/Logging_1737/artfynd/A 37936-2024 artfynd.xlsx", "A 37936-2024")</f>
        <v/>
      </c>
      <c r="T330">
        <f>HYPERLINK("https://klasma.github.io/Logging_1737/kartor/A 37936-2024 karta.png", "A 37936-2024")</f>
        <v/>
      </c>
      <c r="V330">
        <f>HYPERLINK("https://klasma.github.io/Logging_1737/klagomål/A 37936-2024 FSC-klagomål.docx", "A 37936-2024")</f>
        <v/>
      </c>
      <c r="W330">
        <f>HYPERLINK("https://klasma.github.io/Logging_1737/klagomålsmail/A 37936-2024 FSC-klagomål mail.docx", "A 37936-2024")</f>
        <v/>
      </c>
      <c r="X330">
        <f>HYPERLINK("https://klasma.github.io/Logging_1737/tillsyn/A 37936-2024 tillsynsbegäran.docx", "A 37936-2024")</f>
        <v/>
      </c>
      <c r="Y330">
        <f>HYPERLINK("https://klasma.github.io/Logging_1737/tillsynsmail/A 37936-2024 tillsynsbegäran mail.docx", "A 37936-2024")</f>
        <v/>
      </c>
    </row>
    <row r="331" ht="15" customHeight="1">
      <c r="A331" t="inlineStr">
        <is>
          <t>A 38138-2024</t>
        </is>
      </c>
      <c r="B331" s="1" t="n">
        <v>45545</v>
      </c>
      <c r="C331" s="1" t="n">
        <v>45736</v>
      </c>
      <c r="D331" t="inlineStr">
        <is>
          <t>VÄRMLANDS LÄN</t>
        </is>
      </c>
      <c r="E331" t="inlineStr">
        <is>
          <t>FILIPSTAD</t>
        </is>
      </c>
      <c r="F331" t="inlineStr">
        <is>
          <t>Bergvik skog väst AB</t>
        </is>
      </c>
      <c r="G331" t="n">
        <v>1.6</v>
      </c>
      <c r="H331" t="n">
        <v>1</v>
      </c>
      <c r="I331" t="n">
        <v>0</v>
      </c>
      <c r="J331" t="n">
        <v>1</v>
      </c>
      <c r="K331" t="n">
        <v>0</v>
      </c>
      <c r="L331" t="n">
        <v>0</v>
      </c>
      <c r="M331" t="n">
        <v>0</v>
      </c>
      <c r="N331" t="n">
        <v>0</v>
      </c>
      <c r="O331" t="n">
        <v>1</v>
      </c>
      <c r="P331" t="n">
        <v>0</v>
      </c>
      <c r="Q331" t="n">
        <v>2</v>
      </c>
      <c r="R331" s="2" t="inlineStr">
        <is>
          <t>Garnlav
Fläcknycklar</t>
        </is>
      </c>
      <c r="S331">
        <f>HYPERLINK("https://klasma.github.io/Logging_1782/artfynd/A 38138-2024 artfynd.xlsx", "A 38138-2024")</f>
        <v/>
      </c>
      <c r="T331">
        <f>HYPERLINK("https://klasma.github.io/Logging_1782/kartor/A 38138-2024 karta.png", "A 38138-2024")</f>
        <v/>
      </c>
      <c r="V331">
        <f>HYPERLINK("https://klasma.github.io/Logging_1782/klagomål/A 38138-2024 FSC-klagomål.docx", "A 38138-2024")</f>
        <v/>
      </c>
      <c r="W331">
        <f>HYPERLINK("https://klasma.github.io/Logging_1782/klagomålsmail/A 38138-2024 FSC-klagomål mail.docx", "A 38138-2024")</f>
        <v/>
      </c>
      <c r="X331">
        <f>HYPERLINK("https://klasma.github.io/Logging_1782/tillsyn/A 38138-2024 tillsynsbegäran.docx", "A 38138-2024")</f>
        <v/>
      </c>
      <c r="Y331">
        <f>HYPERLINK("https://klasma.github.io/Logging_1782/tillsynsmail/A 38138-2024 tillsynsbegäran mail.docx", "A 38138-2024")</f>
        <v/>
      </c>
    </row>
    <row r="332" ht="15" customHeight="1">
      <c r="A332" t="inlineStr">
        <is>
          <t>A 38132-2024</t>
        </is>
      </c>
      <c r="B332" s="1" t="n">
        <v>45545</v>
      </c>
      <c r="C332" s="1" t="n">
        <v>45736</v>
      </c>
      <c r="D332" t="inlineStr">
        <is>
          <t>VÄRMLANDS LÄN</t>
        </is>
      </c>
      <c r="E332" t="inlineStr">
        <is>
          <t>FILIPSTAD</t>
        </is>
      </c>
      <c r="F332" t="inlineStr">
        <is>
          <t>Bergvik skog väst AB</t>
        </is>
      </c>
      <c r="G332" t="n">
        <v>2</v>
      </c>
      <c r="H332" t="n">
        <v>1</v>
      </c>
      <c r="I332" t="n">
        <v>1</v>
      </c>
      <c r="J332" t="n">
        <v>0</v>
      </c>
      <c r="K332" t="n">
        <v>0</v>
      </c>
      <c r="L332" t="n">
        <v>0</v>
      </c>
      <c r="M332" t="n">
        <v>0</v>
      </c>
      <c r="N332" t="n">
        <v>0</v>
      </c>
      <c r="O332" t="n">
        <v>0</v>
      </c>
      <c r="P332" t="n">
        <v>0</v>
      </c>
      <c r="Q332" t="n">
        <v>2</v>
      </c>
      <c r="R332" s="2" t="inlineStr">
        <is>
          <t>Bronshjon
Fläcknycklar</t>
        </is>
      </c>
      <c r="S332">
        <f>HYPERLINK("https://klasma.github.io/Logging_1782/artfynd/A 38132-2024 artfynd.xlsx", "A 38132-2024")</f>
        <v/>
      </c>
      <c r="T332">
        <f>HYPERLINK("https://klasma.github.io/Logging_1782/kartor/A 38132-2024 karta.png", "A 38132-2024")</f>
        <v/>
      </c>
      <c r="V332">
        <f>HYPERLINK("https://klasma.github.io/Logging_1782/klagomål/A 38132-2024 FSC-klagomål.docx", "A 38132-2024")</f>
        <v/>
      </c>
      <c r="W332">
        <f>HYPERLINK("https://klasma.github.io/Logging_1782/klagomålsmail/A 38132-2024 FSC-klagomål mail.docx", "A 38132-2024")</f>
        <v/>
      </c>
      <c r="X332">
        <f>HYPERLINK("https://klasma.github.io/Logging_1782/tillsyn/A 38132-2024 tillsynsbegäran.docx", "A 38132-2024")</f>
        <v/>
      </c>
      <c r="Y332">
        <f>HYPERLINK("https://klasma.github.io/Logging_1782/tillsynsmail/A 38132-2024 tillsynsbegäran mail.docx", "A 38132-2024")</f>
        <v/>
      </c>
    </row>
    <row r="333" ht="15" customHeight="1">
      <c r="A333" t="inlineStr">
        <is>
          <t>A 42446-2024</t>
        </is>
      </c>
      <c r="B333" s="1" t="n">
        <v>45565</v>
      </c>
      <c r="C333" s="1" t="n">
        <v>45736</v>
      </c>
      <c r="D333" t="inlineStr">
        <is>
          <t>VÄRMLANDS LÄN</t>
        </is>
      </c>
      <c r="E333" t="inlineStr">
        <is>
          <t>HAGFORS</t>
        </is>
      </c>
      <c r="G333" t="n">
        <v>2.4</v>
      </c>
      <c r="H333" t="n">
        <v>0</v>
      </c>
      <c r="I333" t="n">
        <v>2</v>
      </c>
      <c r="J333" t="n">
        <v>0</v>
      </c>
      <c r="K333" t="n">
        <v>0</v>
      </c>
      <c r="L333" t="n">
        <v>0</v>
      </c>
      <c r="M333" t="n">
        <v>0</v>
      </c>
      <c r="N333" t="n">
        <v>0</v>
      </c>
      <c r="O333" t="n">
        <v>0</v>
      </c>
      <c r="P333" t="n">
        <v>0</v>
      </c>
      <c r="Q333" t="n">
        <v>2</v>
      </c>
      <c r="R333" s="2" t="inlineStr">
        <is>
          <t>Dvärghäxört
Strutbräken</t>
        </is>
      </c>
      <c r="S333">
        <f>HYPERLINK("https://klasma.github.io/Logging_1783/artfynd/A 42446-2024 artfynd.xlsx", "A 42446-2024")</f>
        <v/>
      </c>
      <c r="T333">
        <f>HYPERLINK("https://klasma.github.io/Logging_1783/kartor/A 42446-2024 karta.png", "A 42446-2024")</f>
        <v/>
      </c>
      <c r="V333">
        <f>HYPERLINK("https://klasma.github.io/Logging_1783/klagomål/A 42446-2024 FSC-klagomål.docx", "A 42446-2024")</f>
        <v/>
      </c>
      <c r="W333">
        <f>HYPERLINK("https://klasma.github.io/Logging_1783/klagomålsmail/A 42446-2024 FSC-klagomål mail.docx", "A 42446-2024")</f>
        <v/>
      </c>
      <c r="X333">
        <f>HYPERLINK("https://klasma.github.io/Logging_1783/tillsyn/A 42446-2024 tillsynsbegäran.docx", "A 42446-2024")</f>
        <v/>
      </c>
      <c r="Y333">
        <f>HYPERLINK("https://klasma.github.io/Logging_1783/tillsynsmail/A 42446-2024 tillsynsbegäran mail.docx", "A 42446-2024")</f>
        <v/>
      </c>
    </row>
    <row r="334" ht="15" customHeight="1">
      <c r="A334" t="inlineStr">
        <is>
          <t>A 45093-2024</t>
        </is>
      </c>
      <c r="B334" s="1" t="n">
        <v>45575</v>
      </c>
      <c r="C334" s="1" t="n">
        <v>45736</v>
      </c>
      <c r="D334" t="inlineStr">
        <is>
          <t>VÄRMLANDS LÄN</t>
        </is>
      </c>
      <c r="E334" t="inlineStr">
        <is>
          <t>EDA</t>
        </is>
      </c>
      <c r="G334" t="n">
        <v>3.6</v>
      </c>
      <c r="H334" t="n">
        <v>1</v>
      </c>
      <c r="I334" t="n">
        <v>0</v>
      </c>
      <c r="J334" t="n">
        <v>2</v>
      </c>
      <c r="K334" t="n">
        <v>0</v>
      </c>
      <c r="L334" t="n">
        <v>0</v>
      </c>
      <c r="M334" t="n">
        <v>0</v>
      </c>
      <c r="N334" t="n">
        <v>0</v>
      </c>
      <c r="O334" t="n">
        <v>2</v>
      </c>
      <c r="P334" t="n">
        <v>0</v>
      </c>
      <c r="Q334" t="n">
        <v>2</v>
      </c>
      <c r="R334" s="2" t="inlineStr">
        <is>
          <t>Garnlav
Svartvit flugsnappare</t>
        </is>
      </c>
      <c r="S334">
        <f>HYPERLINK("https://klasma.github.io/Logging_1730/artfynd/A 45093-2024 artfynd.xlsx", "A 45093-2024")</f>
        <v/>
      </c>
      <c r="T334">
        <f>HYPERLINK("https://klasma.github.io/Logging_1730/kartor/A 45093-2024 karta.png", "A 45093-2024")</f>
        <v/>
      </c>
      <c r="V334">
        <f>HYPERLINK("https://klasma.github.io/Logging_1730/klagomål/A 45093-2024 FSC-klagomål.docx", "A 45093-2024")</f>
        <v/>
      </c>
      <c r="W334">
        <f>HYPERLINK("https://klasma.github.io/Logging_1730/klagomålsmail/A 45093-2024 FSC-klagomål mail.docx", "A 45093-2024")</f>
        <v/>
      </c>
      <c r="X334">
        <f>HYPERLINK("https://klasma.github.io/Logging_1730/tillsyn/A 45093-2024 tillsynsbegäran.docx", "A 45093-2024")</f>
        <v/>
      </c>
      <c r="Y334">
        <f>HYPERLINK("https://klasma.github.io/Logging_1730/tillsynsmail/A 45093-2024 tillsynsbegäran mail.docx", "A 45093-2024")</f>
        <v/>
      </c>
      <c r="Z334">
        <f>HYPERLINK("https://klasma.github.io/Logging_1730/fåglar/A 45093-2024 prioriterade fågelarter.docx", "A 45093-2024")</f>
        <v/>
      </c>
    </row>
    <row r="335" ht="15" customHeight="1">
      <c r="A335" t="inlineStr">
        <is>
          <t>A 45094-2024</t>
        </is>
      </c>
      <c r="B335" s="1" t="n">
        <v>45575</v>
      </c>
      <c r="C335" s="1" t="n">
        <v>45736</v>
      </c>
      <c r="D335" t="inlineStr">
        <is>
          <t>VÄRMLANDS LÄN</t>
        </is>
      </c>
      <c r="E335" t="inlineStr">
        <is>
          <t>ÅRJÄNG</t>
        </is>
      </c>
      <c r="F335" t="inlineStr">
        <is>
          <t>Bergvik skog väst AB</t>
        </is>
      </c>
      <c r="G335" t="n">
        <v>1.5</v>
      </c>
      <c r="H335" t="n">
        <v>1</v>
      </c>
      <c r="I335" t="n">
        <v>0</v>
      </c>
      <c r="J335" t="n">
        <v>0</v>
      </c>
      <c r="K335" t="n">
        <v>1</v>
      </c>
      <c r="L335" t="n">
        <v>0</v>
      </c>
      <c r="M335" t="n">
        <v>0</v>
      </c>
      <c r="N335" t="n">
        <v>0</v>
      </c>
      <c r="O335" t="n">
        <v>1</v>
      </c>
      <c r="P335" t="n">
        <v>1</v>
      </c>
      <c r="Q335" t="n">
        <v>2</v>
      </c>
      <c r="R335" s="2" t="inlineStr">
        <is>
          <t>Slåttergubbe
Fläcknycklar</t>
        </is>
      </c>
      <c r="S335">
        <f>HYPERLINK("https://klasma.github.io/Logging_1765/artfynd/A 45094-2024 artfynd.xlsx", "A 45094-2024")</f>
        <v/>
      </c>
      <c r="T335">
        <f>HYPERLINK("https://klasma.github.io/Logging_1765/kartor/A 45094-2024 karta.png", "A 45094-2024")</f>
        <v/>
      </c>
      <c r="V335">
        <f>HYPERLINK("https://klasma.github.io/Logging_1765/klagomål/A 45094-2024 FSC-klagomål.docx", "A 45094-2024")</f>
        <v/>
      </c>
      <c r="W335">
        <f>HYPERLINK("https://klasma.github.io/Logging_1765/klagomålsmail/A 45094-2024 FSC-klagomål mail.docx", "A 45094-2024")</f>
        <v/>
      </c>
      <c r="X335">
        <f>HYPERLINK("https://klasma.github.io/Logging_1765/tillsyn/A 45094-2024 tillsynsbegäran.docx", "A 45094-2024")</f>
        <v/>
      </c>
      <c r="Y335">
        <f>HYPERLINK("https://klasma.github.io/Logging_1765/tillsynsmail/A 45094-2024 tillsynsbegäran mail.docx", "A 45094-2024")</f>
        <v/>
      </c>
    </row>
    <row r="336" ht="15" customHeight="1">
      <c r="A336" t="inlineStr">
        <is>
          <t>A 48495-2024</t>
        </is>
      </c>
      <c r="B336" s="1" t="n">
        <v>45592</v>
      </c>
      <c r="C336" s="1" t="n">
        <v>45736</v>
      </c>
      <c r="D336" t="inlineStr">
        <is>
          <t>VÄRMLANDS LÄN</t>
        </is>
      </c>
      <c r="E336" t="inlineStr">
        <is>
          <t>KRISTINEHAMN</t>
        </is>
      </c>
      <c r="G336" t="n">
        <v>4.1</v>
      </c>
      <c r="H336" t="n">
        <v>2</v>
      </c>
      <c r="I336" t="n">
        <v>0</v>
      </c>
      <c r="J336" t="n">
        <v>0</v>
      </c>
      <c r="K336" t="n">
        <v>0</v>
      </c>
      <c r="L336" t="n">
        <v>0</v>
      </c>
      <c r="M336" t="n">
        <v>0</v>
      </c>
      <c r="N336" t="n">
        <v>0</v>
      </c>
      <c r="O336" t="n">
        <v>0</v>
      </c>
      <c r="P336" t="n">
        <v>0</v>
      </c>
      <c r="Q336" t="n">
        <v>2</v>
      </c>
      <c r="R336" s="2" t="inlineStr">
        <is>
          <t>Tjäder
Vanlig groda</t>
        </is>
      </c>
      <c r="S336">
        <f>HYPERLINK("https://klasma.github.io/Logging_1781/artfynd/A 48495-2024 artfynd.xlsx", "A 48495-2024")</f>
        <v/>
      </c>
      <c r="T336">
        <f>HYPERLINK("https://klasma.github.io/Logging_1781/kartor/A 48495-2024 karta.png", "A 48495-2024")</f>
        <v/>
      </c>
      <c r="V336">
        <f>HYPERLINK("https://klasma.github.io/Logging_1781/klagomål/A 48495-2024 FSC-klagomål.docx", "A 48495-2024")</f>
        <v/>
      </c>
      <c r="W336">
        <f>HYPERLINK("https://klasma.github.io/Logging_1781/klagomålsmail/A 48495-2024 FSC-klagomål mail.docx", "A 48495-2024")</f>
        <v/>
      </c>
      <c r="X336">
        <f>HYPERLINK("https://klasma.github.io/Logging_1781/tillsyn/A 48495-2024 tillsynsbegäran.docx", "A 48495-2024")</f>
        <v/>
      </c>
      <c r="Y336">
        <f>HYPERLINK("https://klasma.github.io/Logging_1781/tillsynsmail/A 48495-2024 tillsynsbegäran mail.docx", "A 48495-2024")</f>
        <v/>
      </c>
      <c r="Z336">
        <f>HYPERLINK("https://klasma.github.io/Logging_1781/fåglar/A 48495-2024 prioriterade fågelarter.docx", "A 48495-2024")</f>
        <v/>
      </c>
    </row>
    <row r="337" ht="15" customHeight="1">
      <c r="A337" t="inlineStr">
        <is>
          <t>A 50800-2024</t>
        </is>
      </c>
      <c r="B337" s="1" t="n">
        <v>45602</v>
      </c>
      <c r="C337" s="1" t="n">
        <v>45736</v>
      </c>
      <c r="D337" t="inlineStr">
        <is>
          <t>VÄRMLANDS LÄN</t>
        </is>
      </c>
      <c r="E337" t="inlineStr">
        <is>
          <t>TORSBY</t>
        </is>
      </c>
      <c r="G337" t="n">
        <v>6.3</v>
      </c>
      <c r="H337" t="n">
        <v>0</v>
      </c>
      <c r="I337" t="n">
        <v>0</v>
      </c>
      <c r="J337" t="n">
        <v>2</v>
      </c>
      <c r="K337" t="n">
        <v>0</v>
      </c>
      <c r="L337" t="n">
        <v>0</v>
      </c>
      <c r="M337" t="n">
        <v>0</v>
      </c>
      <c r="N337" t="n">
        <v>0</v>
      </c>
      <c r="O337" t="n">
        <v>2</v>
      </c>
      <c r="P337" t="n">
        <v>0</v>
      </c>
      <c r="Q337" t="n">
        <v>2</v>
      </c>
      <c r="R337" s="2" t="inlineStr">
        <is>
          <t>Garnlav
Violettgrå tagellav</t>
        </is>
      </c>
      <c r="S337">
        <f>HYPERLINK("https://klasma.github.io/Logging_1737/artfynd/A 50800-2024 artfynd.xlsx", "A 50800-2024")</f>
        <v/>
      </c>
      <c r="T337">
        <f>HYPERLINK("https://klasma.github.io/Logging_1737/kartor/A 50800-2024 karta.png", "A 50800-2024")</f>
        <v/>
      </c>
      <c r="V337">
        <f>HYPERLINK("https://klasma.github.io/Logging_1737/klagomål/A 50800-2024 FSC-klagomål.docx", "A 50800-2024")</f>
        <v/>
      </c>
      <c r="W337">
        <f>HYPERLINK("https://klasma.github.io/Logging_1737/klagomålsmail/A 50800-2024 FSC-klagomål mail.docx", "A 50800-2024")</f>
        <v/>
      </c>
      <c r="X337">
        <f>HYPERLINK("https://klasma.github.io/Logging_1737/tillsyn/A 50800-2024 tillsynsbegäran.docx", "A 50800-2024")</f>
        <v/>
      </c>
      <c r="Y337">
        <f>HYPERLINK("https://klasma.github.io/Logging_1737/tillsynsmail/A 50800-2024 tillsynsbegäran mail.docx", "A 50800-2024")</f>
        <v/>
      </c>
    </row>
    <row r="338" ht="15" customHeight="1">
      <c r="A338" t="inlineStr">
        <is>
          <t>A 56878-2024</t>
        </is>
      </c>
      <c r="B338" s="1" t="n">
        <v>45628</v>
      </c>
      <c r="C338" s="1" t="n">
        <v>45736</v>
      </c>
      <c r="D338" t="inlineStr">
        <is>
          <t>VÄRMLANDS LÄN</t>
        </is>
      </c>
      <c r="E338" t="inlineStr">
        <is>
          <t>SÄFFLE</t>
        </is>
      </c>
      <c r="G338" t="n">
        <v>1.1</v>
      </c>
      <c r="H338" t="n">
        <v>0</v>
      </c>
      <c r="I338" t="n">
        <v>0</v>
      </c>
      <c r="J338" t="n">
        <v>2</v>
      </c>
      <c r="K338" t="n">
        <v>0</v>
      </c>
      <c r="L338" t="n">
        <v>0</v>
      </c>
      <c r="M338" t="n">
        <v>0</v>
      </c>
      <c r="N338" t="n">
        <v>0</v>
      </c>
      <c r="O338" t="n">
        <v>2</v>
      </c>
      <c r="P338" t="n">
        <v>0</v>
      </c>
      <c r="Q338" t="n">
        <v>2</v>
      </c>
      <c r="R338" s="2" t="inlineStr">
        <is>
          <t>Skogsklocka
Svinrot</t>
        </is>
      </c>
      <c r="S338">
        <f>HYPERLINK("https://klasma.github.io/Logging_1785/artfynd/A 56878-2024 artfynd.xlsx", "A 56878-2024")</f>
        <v/>
      </c>
      <c r="T338">
        <f>HYPERLINK("https://klasma.github.io/Logging_1785/kartor/A 56878-2024 karta.png", "A 56878-2024")</f>
        <v/>
      </c>
      <c r="V338">
        <f>HYPERLINK("https://klasma.github.io/Logging_1785/klagomål/A 56878-2024 FSC-klagomål.docx", "A 56878-2024")</f>
        <v/>
      </c>
      <c r="W338">
        <f>HYPERLINK("https://klasma.github.io/Logging_1785/klagomålsmail/A 56878-2024 FSC-klagomål mail.docx", "A 56878-2024")</f>
        <v/>
      </c>
      <c r="X338">
        <f>HYPERLINK("https://klasma.github.io/Logging_1785/tillsyn/A 56878-2024 tillsynsbegäran.docx", "A 56878-2024")</f>
        <v/>
      </c>
      <c r="Y338">
        <f>HYPERLINK("https://klasma.github.io/Logging_1785/tillsynsmail/A 56878-2024 tillsynsbegäran mail.docx", "A 56878-2024")</f>
        <v/>
      </c>
    </row>
    <row r="339" ht="15" customHeight="1">
      <c r="A339" t="inlineStr">
        <is>
          <t>A 57775-2024</t>
        </is>
      </c>
      <c r="B339" s="1" t="n">
        <v>45630</v>
      </c>
      <c r="C339" s="1" t="n">
        <v>45736</v>
      </c>
      <c r="D339" t="inlineStr">
        <is>
          <t>VÄRMLANDS LÄN</t>
        </is>
      </c>
      <c r="E339" t="inlineStr">
        <is>
          <t>TORSBY</t>
        </is>
      </c>
      <c r="G339" t="n">
        <v>7.1</v>
      </c>
      <c r="H339" t="n">
        <v>0</v>
      </c>
      <c r="I339" t="n">
        <v>0</v>
      </c>
      <c r="J339" t="n">
        <v>2</v>
      </c>
      <c r="K339" t="n">
        <v>0</v>
      </c>
      <c r="L339" t="n">
        <v>0</v>
      </c>
      <c r="M339" t="n">
        <v>0</v>
      </c>
      <c r="N339" t="n">
        <v>0</v>
      </c>
      <c r="O339" t="n">
        <v>2</v>
      </c>
      <c r="P339" t="n">
        <v>0</v>
      </c>
      <c r="Q339" t="n">
        <v>2</v>
      </c>
      <c r="R339" s="2" t="inlineStr">
        <is>
          <t>Garnlav
Vedskivlav</t>
        </is>
      </c>
      <c r="S339">
        <f>HYPERLINK("https://klasma.github.io/Logging_1737/artfynd/A 57775-2024 artfynd.xlsx", "A 57775-2024")</f>
        <v/>
      </c>
      <c r="T339">
        <f>HYPERLINK("https://klasma.github.io/Logging_1737/kartor/A 57775-2024 karta.png", "A 57775-2024")</f>
        <v/>
      </c>
      <c r="V339">
        <f>HYPERLINK("https://klasma.github.io/Logging_1737/klagomål/A 57775-2024 FSC-klagomål.docx", "A 57775-2024")</f>
        <v/>
      </c>
      <c r="W339">
        <f>HYPERLINK("https://klasma.github.io/Logging_1737/klagomålsmail/A 57775-2024 FSC-klagomål mail.docx", "A 57775-2024")</f>
        <v/>
      </c>
      <c r="X339">
        <f>HYPERLINK("https://klasma.github.io/Logging_1737/tillsyn/A 57775-2024 tillsynsbegäran.docx", "A 57775-2024")</f>
        <v/>
      </c>
      <c r="Y339">
        <f>HYPERLINK("https://klasma.github.io/Logging_1737/tillsynsmail/A 57775-2024 tillsynsbegäran mail.docx", "A 57775-2024")</f>
        <v/>
      </c>
    </row>
    <row r="340" ht="15" customHeight="1">
      <c r="A340" t="inlineStr">
        <is>
          <t>A 58238-2024</t>
        </is>
      </c>
      <c r="B340" s="1" t="n">
        <v>45632</v>
      </c>
      <c r="C340" s="1" t="n">
        <v>45736</v>
      </c>
      <c r="D340" t="inlineStr">
        <is>
          <t>VÄRMLANDS LÄN</t>
        </is>
      </c>
      <c r="E340" t="inlineStr">
        <is>
          <t>ÅRJÄNG</t>
        </is>
      </c>
      <c r="G340" t="n">
        <v>4.1</v>
      </c>
      <c r="H340" t="n">
        <v>2</v>
      </c>
      <c r="I340" t="n">
        <v>0</v>
      </c>
      <c r="J340" t="n">
        <v>0</v>
      </c>
      <c r="K340" t="n">
        <v>0</v>
      </c>
      <c r="L340" t="n">
        <v>0</v>
      </c>
      <c r="M340" t="n">
        <v>0</v>
      </c>
      <c r="N340" t="n">
        <v>0</v>
      </c>
      <c r="O340" t="n">
        <v>0</v>
      </c>
      <c r="P340" t="n">
        <v>0</v>
      </c>
      <c r="Q340" t="n">
        <v>2</v>
      </c>
      <c r="R340" s="2" t="inlineStr">
        <is>
          <t>Revlummer
Äkta lopplummer</t>
        </is>
      </c>
      <c r="S340">
        <f>HYPERLINK("https://klasma.github.io/Logging_1765/artfynd/A 58238-2024 artfynd.xlsx", "A 58238-2024")</f>
        <v/>
      </c>
      <c r="T340">
        <f>HYPERLINK("https://klasma.github.io/Logging_1765/kartor/A 58238-2024 karta.png", "A 58238-2024")</f>
        <v/>
      </c>
      <c r="V340">
        <f>HYPERLINK("https://klasma.github.io/Logging_1765/klagomål/A 58238-2024 FSC-klagomål.docx", "A 58238-2024")</f>
        <v/>
      </c>
      <c r="W340">
        <f>HYPERLINK("https://klasma.github.io/Logging_1765/klagomålsmail/A 58238-2024 FSC-klagomål mail.docx", "A 58238-2024")</f>
        <v/>
      </c>
      <c r="X340">
        <f>HYPERLINK("https://klasma.github.io/Logging_1765/tillsyn/A 58238-2024 tillsynsbegäran.docx", "A 58238-2024")</f>
        <v/>
      </c>
      <c r="Y340">
        <f>HYPERLINK("https://klasma.github.io/Logging_1765/tillsynsmail/A 58238-2024 tillsynsbegäran mail.docx", "A 58238-2024")</f>
        <v/>
      </c>
    </row>
    <row r="341" ht="15" customHeight="1">
      <c r="A341" t="inlineStr">
        <is>
          <t>A 59688-2024</t>
        </is>
      </c>
      <c r="B341" s="1" t="n">
        <v>45639</v>
      </c>
      <c r="C341" s="1" t="n">
        <v>45736</v>
      </c>
      <c r="D341" t="inlineStr">
        <is>
          <t>VÄRMLANDS LÄN</t>
        </is>
      </c>
      <c r="E341" t="inlineStr">
        <is>
          <t>ÅRJÄNG</t>
        </is>
      </c>
      <c r="G341" t="n">
        <v>2.6</v>
      </c>
      <c r="H341" t="n">
        <v>2</v>
      </c>
      <c r="I341" t="n">
        <v>0</v>
      </c>
      <c r="J341" t="n">
        <v>0</v>
      </c>
      <c r="K341" t="n">
        <v>1</v>
      </c>
      <c r="L341" t="n">
        <v>0</v>
      </c>
      <c r="M341" t="n">
        <v>0</v>
      </c>
      <c r="N341" t="n">
        <v>0</v>
      </c>
      <c r="O341" t="n">
        <v>1</v>
      </c>
      <c r="P341" t="n">
        <v>1</v>
      </c>
      <c r="Q341" t="n">
        <v>2</v>
      </c>
      <c r="R341" s="2" t="inlineStr">
        <is>
          <t>Knärot
Revlummer</t>
        </is>
      </c>
      <c r="S341">
        <f>HYPERLINK("https://klasma.github.io/Logging_1765/artfynd/A 59688-2024 artfynd.xlsx", "A 59688-2024")</f>
        <v/>
      </c>
      <c r="T341">
        <f>HYPERLINK("https://klasma.github.io/Logging_1765/kartor/A 59688-2024 karta.png", "A 59688-2024")</f>
        <v/>
      </c>
      <c r="U341">
        <f>HYPERLINK("https://klasma.github.io/Logging_1765/knärot/A 59688-2024 karta knärot.png", "A 59688-2024")</f>
        <v/>
      </c>
      <c r="V341">
        <f>HYPERLINK("https://klasma.github.io/Logging_1765/klagomål/A 59688-2024 FSC-klagomål.docx", "A 59688-2024")</f>
        <v/>
      </c>
      <c r="W341">
        <f>HYPERLINK("https://klasma.github.io/Logging_1765/klagomålsmail/A 59688-2024 FSC-klagomål mail.docx", "A 59688-2024")</f>
        <v/>
      </c>
      <c r="X341">
        <f>HYPERLINK("https://klasma.github.io/Logging_1765/tillsyn/A 59688-2024 tillsynsbegäran.docx", "A 59688-2024")</f>
        <v/>
      </c>
      <c r="Y341">
        <f>HYPERLINK("https://klasma.github.io/Logging_1765/tillsynsmail/A 59688-2024 tillsynsbegäran mail.docx", "A 59688-2024")</f>
        <v/>
      </c>
    </row>
    <row r="342" ht="15" customHeight="1">
      <c r="A342" t="inlineStr">
        <is>
          <t>A 61677-2024</t>
        </is>
      </c>
      <c r="B342" s="1" t="n">
        <v>45647</v>
      </c>
      <c r="C342" s="1" t="n">
        <v>45736</v>
      </c>
      <c r="D342" t="inlineStr">
        <is>
          <t>VÄRMLANDS LÄN</t>
        </is>
      </c>
      <c r="E342" t="inlineStr">
        <is>
          <t>KRISTINEHAMN</t>
        </is>
      </c>
      <c r="G342" t="n">
        <v>1.2</v>
      </c>
      <c r="H342" t="n">
        <v>2</v>
      </c>
      <c r="I342" t="n">
        <v>0</v>
      </c>
      <c r="J342" t="n">
        <v>1</v>
      </c>
      <c r="K342" t="n">
        <v>0</v>
      </c>
      <c r="L342" t="n">
        <v>0</v>
      </c>
      <c r="M342" t="n">
        <v>0</v>
      </c>
      <c r="N342" t="n">
        <v>0</v>
      </c>
      <c r="O342" t="n">
        <v>1</v>
      </c>
      <c r="P342" t="n">
        <v>0</v>
      </c>
      <c r="Q342" t="n">
        <v>2</v>
      </c>
      <c r="R342" s="2" t="inlineStr">
        <is>
          <t>Talltita
Vanlig groda</t>
        </is>
      </c>
      <c r="S342">
        <f>HYPERLINK("https://klasma.github.io/Logging_1781/artfynd/A 61677-2024 artfynd.xlsx", "A 61677-2024")</f>
        <v/>
      </c>
      <c r="T342">
        <f>HYPERLINK("https://klasma.github.io/Logging_1781/kartor/A 61677-2024 karta.png", "A 61677-2024")</f>
        <v/>
      </c>
      <c r="V342">
        <f>HYPERLINK("https://klasma.github.io/Logging_1781/klagomål/A 61677-2024 FSC-klagomål.docx", "A 61677-2024")</f>
        <v/>
      </c>
      <c r="W342">
        <f>HYPERLINK("https://klasma.github.io/Logging_1781/klagomålsmail/A 61677-2024 FSC-klagomål mail.docx", "A 61677-2024")</f>
        <v/>
      </c>
      <c r="X342">
        <f>HYPERLINK("https://klasma.github.io/Logging_1781/tillsyn/A 61677-2024 tillsynsbegäran.docx", "A 61677-2024")</f>
        <v/>
      </c>
      <c r="Y342">
        <f>HYPERLINK("https://klasma.github.io/Logging_1781/tillsynsmail/A 61677-2024 tillsynsbegäran mail.docx", "A 61677-2024")</f>
        <v/>
      </c>
      <c r="Z342">
        <f>HYPERLINK("https://klasma.github.io/Logging_1781/fåglar/A 61677-2024 prioriterade fågelarter.docx", "A 61677-2024")</f>
        <v/>
      </c>
    </row>
    <row r="343" ht="15" customHeight="1">
      <c r="A343" t="inlineStr">
        <is>
          <t>A 61950-2024</t>
        </is>
      </c>
      <c r="B343" s="1" t="n">
        <v>45653</v>
      </c>
      <c r="C343" s="1" t="n">
        <v>45736</v>
      </c>
      <c r="D343" t="inlineStr">
        <is>
          <t>VÄRMLANDS LÄN</t>
        </is>
      </c>
      <c r="E343" t="inlineStr">
        <is>
          <t>TORSBY</t>
        </is>
      </c>
      <c r="G343" t="n">
        <v>2.1</v>
      </c>
      <c r="H343" t="n">
        <v>2</v>
      </c>
      <c r="I343" t="n">
        <v>0</v>
      </c>
      <c r="J343" t="n">
        <v>2</v>
      </c>
      <c r="K343" t="n">
        <v>0</v>
      </c>
      <c r="L343" t="n">
        <v>0</v>
      </c>
      <c r="M343" t="n">
        <v>0</v>
      </c>
      <c r="N343" t="n">
        <v>0</v>
      </c>
      <c r="O343" t="n">
        <v>2</v>
      </c>
      <c r="P343" t="n">
        <v>0</v>
      </c>
      <c r="Q343" t="n">
        <v>2</v>
      </c>
      <c r="R343" s="2" t="inlineStr">
        <is>
          <t>Björktrast
Rödvingetrast</t>
        </is>
      </c>
      <c r="S343">
        <f>HYPERLINK("https://klasma.github.io/Logging_1737/artfynd/A 61950-2024 artfynd.xlsx", "A 61950-2024")</f>
        <v/>
      </c>
      <c r="T343">
        <f>HYPERLINK("https://klasma.github.io/Logging_1737/kartor/A 61950-2024 karta.png", "A 61950-2024")</f>
        <v/>
      </c>
      <c r="V343">
        <f>HYPERLINK("https://klasma.github.io/Logging_1737/klagomål/A 61950-2024 FSC-klagomål.docx", "A 61950-2024")</f>
        <v/>
      </c>
      <c r="W343">
        <f>HYPERLINK("https://klasma.github.io/Logging_1737/klagomålsmail/A 61950-2024 FSC-klagomål mail.docx", "A 61950-2024")</f>
        <v/>
      </c>
      <c r="X343">
        <f>HYPERLINK("https://klasma.github.io/Logging_1737/tillsyn/A 61950-2024 tillsynsbegäran.docx", "A 61950-2024")</f>
        <v/>
      </c>
      <c r="Y343">
        <f>HYPERLINK("https://klasma.github.io/Logging_1737/tillsynsmail/A 61950-2024 tillsynsbegäran mail.docx", "A 61950-2024")</f>
        <v/>
      </c>
      <c r="Z343">
        <f>HYPERLINK("https://klasma.github.io/Logging_1737/fåglar/A 61950-2024 prioriterade fågelarter.docx", "A 61950-2024")</f>
        <v/>
      </c>
    </row>
    <row r="344" ht="15" customHeight="1">
      <c r="A344" t="inlineStr">
        <is>
          <t>A 537-2025</t>
        </is>
      </c>
      <c r="B344" s="1" t="n">
        <v>45664</v>
      </c>
      <c r="C344" s="1" t="n">
        <v>45736</v>
      </c>
      <c r="D344" t="inlineStr">
        <is>
          <t>VÄRMLANDS LÄN</t>
        </is>
      </c>
      <c r="E344" t="inlineStr">
        <is>
          <t>TORSBY</t>
        </is>
      </c>
      <c r="G344" t="n">
        <v>10.6</v>
      </c>
      <c r="H344" t="n">
        <v>0</v>
      </c>
      <c r="I344" t="n">
        <v>0</v>
      </c>
      <c r="J344" t="n">
        <v>2</v>
      </c>
      <c r="K344" t="n">
        <v>0</v>
      </c>
      <c r="L344" t="n">
        <v>0</v>
      </c>
      <c r="M344" t="n">
        <v>0</v>
      </c>
      <c r="N344" t="n">
        <v>0</v>
      </c>
      <c r="O344" t="n">
        <v>2</v>
      </c>
      <c r="P344" t="n">
        <v>0</v>
      </c>
      <c r="Q344" t="n">
        <v>2</v>
      </c>
      <c r="R344" s="2" t="inlineStr">
        <is>
          <t>Gammelgransskål
Garnlav</t>
        </is>
      </c>
      <c r="S344">
        <f>HYPERLINK("https://klasma.github.io/Logging_1737/artfynd/A 537-2025 artfynd.xlsx", "A 537-2025")</f>
        <v/>
      </c>
      <c r="T344">
        <f>HYPERLINK("https://klasma.github.io/Logging_1737/kartor/A 537-2025 karta.png", "A 537-2025")</f>
        <v/>
      </c>
      <c r="V344">
        <f>HYPERLINK("https://klasma.github.io/Logging_1737/klagomål/A 537-2025 FSC-klagomål.docx", "A 537-2025")</f>
        <v/>
      </c>
      <c r="W344">
        <f>HYPERLINK("https://klasma.github.io/Logging_1737/klagomålsmail/A 537-2025 FSC-klagomål mail.docx", "A 537-2025")</f>
        <v/>
      </c>
      <c r="X344">
        <f>HYPERLINK("https://klasma.github.io/Logging_1737/tillsyn/A 537-2025 tillsynsbegäran.docx", "A 537-2025")</f>
        <v/>
      </c>
      <c r="Y344">
        <f>HYPERLINK("https://klasma.github.io/Logging_1737/tillsynsmail/A 537-2025 tillsynsbegäran mail.docx", "A 537-2025")</f>
        <v/>
      </c>
    </row>
    <row r="345" ht="15" customHeight="1">
      <c r="A345" t="inlineStr">
        <is>
          <t>A 1036-2025</t>
        </is>
      </c>
      <c r="B345" s="1" t="n">
        <v>45665</v>
      </c>
      <c r="C345" s="1" t="n">
        <v>45736</v>
      </c>
      <c r="D345" t="inlineStr">
        <is>
          <t>VÄRMLANDS LÄN</t>
        </is>
      </c>
      <c r="E345" t="inlineStr">
        <is>
          <t>SÄFFLE</t>
        </is>
      </c>
      <c r="G345" t="n">
        <v>10.4</v>
      </c>
      <c r="H345" t="n">
        <v>0</v>
      </c>
      <c r="I345" t="n">
        <v>1</v>
      </c>
      <c r="J345" t="n">
        <v>1</v>
      </c>
      <c r="K345" t="n">
        <v>0</v>
      </c>
      <c r="L345" t="n">
        <v>0</v>
      </c>
      <c r="M345" t="n">
        <v>0</v>
      </c>
      <c r="N345" t="n">
        <v>0</v>
      </c>
      <c r="O345" t="n">
        <v>1</v>
      </c>
      <c r="P345" t="n">
        <v>0</v>
      </c>
      <c r="Q345" t="n">
        <v>2</v>
      </c>
      <c r="R345" s="2" t="inlineStr">
        <is>
          <t>Vedskivlav
Vedticka</t>
        </is>
      </c>
      <c r="S345">
        <f>HYPERLINK("https://klasma.github.io/Logging_1785/artfynd/A 1036-2025 artfynd.xlsx", "A 1036-2025")</f>
        <v/>
      </c>
      <c r="T345">
        <f>HYPERLINK("https://klasma.github.io/Logging_1785/kartor/A 1036-2025 karta.png", "A 1036-2025")</f>
        <v/>
      </c>
      <c r="V345">
        <f>HYPERLINK("https://klasma.github.io/Logging_1785/klagomål/A 1036-2025 FSC-klagomål.docx", "A 1036-2025")</f>
        <v/>
      </c>
      <c r="W345">
        <f>HYPERLINK("https://klasma.github.io/Logging_1785/klagomålsmail/A 1036-2025 FSC-klagomål mail.docx", "A 1036-2025")</f>
        <v/>
      </c>
      <c r="X345">
        <f>HYPERLINK("https://klasma.github.io/Logging_1785/tillsyn/A 1036-2025 tillsynsbegäran.docx", "A 1036-2025")</f>
        <v/>
      </c>
      <c r="Y345">
        <f>HYPERLINK("https://klasma.github.io/Logging_1785/tillsynsmail/A 1036-2025 tillsynsbegäran mail.docx", "A 1036-2025")</f>
        <v/>
      </c>
    </row>
    <row r="346" ht="15" customHeight="1">
      <c r="A346" t="inlineStr">
        <is>
          <t>A 2938-2025</t>
        </is>
      </c>
      <c r="B346" s="1" t="n">
        <v>45678</v>
      </c>
      <c r="C346" s="1" t="n">
        <v>45736</v>
      </c>
      <c r="D346" t="inlineStr">
        <is>
          <t>VÄRMLANDS LÄN</t>
        </is>
      </c>
      <c r="E346" t="inlineStr">
        <is>
          <t>TORSBY</t>
        </is>
      </c>
      <c r="G346" t="n">
        <v>2</v>
      </c>
      <c r="H346" t="n">
        <v>1</v>
      </c>
      <c r="I346" t="n">
        <v>0</v>
      </c>
      <c r="J346" t="n">
        <v>2</v>
      </c>
      <c r="K346" t="n">
        <v>0</v>
      </c>
      <c r="L346" t="n">
        <v>0</v>
      </c>
      <c r="M346" t="n">
        <v>0</v>
      </c>
      <c r="N346" t="n">
        <v>0</v>
      </c>
      <c r="O346" t="n">
        <v>2</v>
      </c>
      <c r="P346" t="n">
        <v>0</v>
      </c>
      <c r="Q346" t="n">
        <v>2</v>
      </c>
      <c r="R346" s="2" t="inlineStr">
        <is>
          <t>Gammelgransskål
Tretåig hackspett</t>
        </is>
      </c>
      <c r="S346">
        <f>HYPERLINK("https://klasma.github.io/Logging_1737/artfynd/A 2938-2025 artfynd.xlsx", "A 2938-2025")</f>
        <v/>
      </c>
      <c r="T346">
        <f>HYPERLINK("https://klasma.github.io/Logging_1737/kartor/A 2938-2025 karta.png", "A 2938-2025")</f>
        <v/>
      </c>
      <c r="V346">
        <f>HYPERLINK("https://klasma.github.io/Logging_1737/klagomål/A 2938-2025 FSC-klagomål.docx", "A 2938-2025")</f>
        <v/>
      </c>
      <c r="W346">
        <f>HYPERLINK("https://klasma.github.io/Logging_1737/klagomålsmail/A 2938-2025 FSC-klagomål mail.docx", "A 2938-2025")</f>
        <v/>
      </c>
      <c r="X346">
        <f>HYPERLINK("https://klasma.github.io/Logging_1737/tillsyn/A 2938-2025 tillsynsbegäran.docx", "A 2938-2025")</f>
        <v/>
      </c>
      <c r="Y346">
        <f>HYPERLINK("https://klasma.github.io/Logging_1737/tillsynsmail/A 2938-2025 tillsynsbegäran mail.docx", "A 2938-2025")</f>
        <v/>
      </c>
      <c r="Z346">
        <f>HYPERLINK("https://klasma.github.io/Logging_1737/fåglar/A 2938-2025 prioriterade fågelarter.docx", "A 2938-2025")</f>
        <v/>
      </c>
    </row>
    <row r="347" ht="15" customHeight="1">
      <c r="A347" t="inlineStr">
        <is>
          <t>A 3410-2025</t>
        </is>
      </c>
      <c r="B347" s="1" t="n">
        <v>45679</v>
      </c>
      <c r="C347" s="1" t="n">
        <v>45736</v>
      </c>
      <c r="D347" t="inlineStr">
        <is>
          <t>VÄRMLANDS LÄN</t>
        </is>
      </c>
      <c r="E347" t="inlineStr">
        <is>
          <t>KARLSTAD</t>
        </is>
      </c>
      <c r="G347" t="n">
        <v>14</v>
      </c>
      <c r="H347" t="n">
        <v>0</v>
      </c>
      <c r="I347" t="n">
        <v>1</v>
      </c>
      <c r="J347" t="n">
        <v>1</v>
      </c>
      <c r="K347" t="n">
        <v>0</v>
      </c>
      <c r="L347" t="n">
        <v>0</v>
      </c>
      <c r="M347" t="n">
        <v>0</v>
      </c>
      <c r="N347" t="n">
        <v>0</v>
      </c>
      <c r="O347" t="n">
        <v>1</v>
      </c>
      <c r="P347" t="n">
        <v>0</v>
      </c>
      <c r="Q347" t="n">
        <v>2</v>
      </c>
      <c r="R347" s="2" t="inlineStr">
        <is>
          <t>Svartvit taggsvamp
Svart trolldruva</t>
        </is>
      </c>
      <c r="S347">
        <f>HYPERLINK("https://klasma.github.io/Logging_1780/artfynd/A 3410-2025 artfynd.xlsx", "A 3410-2025")</f>
        <v/>
      </c>
      <c r="T347">
        <f>HYPERLINK("https://klasma.github.io/Logging_1780/kartor/A 3410-2025 karta.png", "A 3410-2025")</f>
        <v/>
      </c>
      <c r="V347">
        <f>HYPERLINK("https://klasma.github.io/Logging_1780/klagomål/A 3410-2025 FSC-klagomål.docx", "A 3410-2025")</f>
        <v/>
      </c>
      <c r="W347">
        <f>HYPERLINK("https://klasma.github.io/Logging_1780/klagomålsmail/A 3410-2025 FSC-klagomål mail.docx", "A 3410-2025")</f>
        <v/>
      </c>
      <c r="X347">
        <f>HYPERLINK("https://klasma.github.io/Logging_1780/tillsyn/A 3410-2025 tillsynsbegäran.docx", "A 3410-2025")</f>
        <v/>
      </c>
      <c r="Y347">
        <f>HYPERLINK("https://klasma.github.io/Logging_1780/tillsynsmail/A 3410-2025 tillsynsbegäran mail.docx", "A 3410-2025")</f>
        <v/>
      </c>
    </row>
    <row r="348" ht="15" customHeight="1">
      <c r="A348" t="inlineStr">
        <is>
          <t>A 5936-2025</t>
        </is>
      </c>
      <c r="B348" s="1" t="n">
        <v>45695</v>
      </c>
      <c r="C348" s="1" t="n">
        <v>45736</v>
      </c>
      <c r="D348" t="inlineStr">
        <is>
          <t>VÄRMLANDS LÄN</t>
        </is>
      </c>
      <c r="E348" t="inlineStr">
        <is>
          <t>ARVIKA</t>
        </is>
      </c>
      <c r="G348" t="n">
        <v>8.300000000000001</v>
      </c>
      <c r="H348" t="n">
        <v>2</v>
      </c>
      <c r="I348" t="n">
        <v>0</v>
      </c>
      <c r="J348" t="n">
        <v>1</v>
      </c>
      <c r="K348" t="n">
        <v>1</v>
      </c>
      <c r="L348" t="n">
        <v>0</v>
      </c>
      <c r="M348" t="n">
        <v>0</v>
      </c>
      <c r="N348" t="n">
        <v>0</v>
      </c>
      <c r="O348" t="n">
        <v>2</v>
      </c>
      <c r="P348" t="n">
        <v>1</v>
      </c>
      <c r="Q348" t="n">
        <v>2</v>
      </c>
      <c r="R348" s="2" t="inlineStr">
        <is>
          <t>Knärot
Talltita</t>
        </is>
      </c>
      <c r="S348">
        <f>HYPERLINK("https://klasma.github.io/Logging_1784/artfynd/A 5936-2025 artfynd.xlsx", "A 5936-2025")</f>
        <v/>
      </c>
      <c r="T348">
        <f>HYPERLINK("https://klasma.github.io/Logging_1784/kartor/A 5936-2025 karta.png", "A 5936-2025")</f>
        <v/>
      </c>
      <c r="U348">
        <f>HYPERLINK("https://klasma.github.io/Logging_1784/knärot/A 5936-2025 karta knärot.png", "A 5936-2025")</f>
        <v/>
      </c>
      <c r="V348">
        <f>HYPERLINK("https://klasma.github.io/Logging_1784/klagomål/A 5936-2025 FSC-klagomål.docx", "A 5936-2025")</f>
        <v/>
      </c>
      <c r="W348">
        <f>HYPERLINK("https://klasma.github.io/Logging_1784/klagomålsmail/A 5936-2025 FSC-klagomål mail.docx", "A 5936-2025")</f>
        <v/>
      </c>
      <c r="X348">
        <f>HYPERLINK("https://klasma.github.io/Logging_1784/tillsyn/A 5936-2025 tillsynsbegäran.docx", "A 5936-2025")</f>
        <v/>
      </c>
      <c r="Y348">
        <f>HYPERLINK("https://klasma.github.io/Logging_1784/tillsynsmail/A 5936-2025 tillsynsbegäran mail.docx", "A 5936-2025")</f>
        <v/>
      </c>
      <c r="Z348">
        <f>HYPERLINK("https://klasma.github.io/Logging_1784/fåglar/A 5936-2025 prioriterade fågelarter.docx", "A 5936-2025")</f>
        <v/>
      </c>
    </row>
    <row r="349" ht="15" customHeight="1">
      <c r="A349" t="inlineStr">
        <is>
          <t>A 7097-2025</t>
        </is>
      </c>
      <c r="B349" s="1" t="n">
        <v>45701</v>
      </c>
      <c r="C349" s="1" t="n">
        <v>45736</v>
      </c>
      <c r="D349" t="inlineStr">
        <is>
          <t>VÄRMLANDS LÄN</t>
        </is>
      </c>
      <c r="E349" t="inlineStr">
        <is>
          <t>SUNNE</t>
        </is>
      </c>
      <c r="G349" t="n">
        <v>3.9</v>
      </c>
      <c r="H349" t="n">
        <v>1</v>
      </c>
      <c r="I349" t="n">
        <v>0</v>
      </c>
      <c r="J349" t="n">
        <v>1</v>
      </c>
      <c r="K349" t="n">
        <v>0</v>
      </c>
      <c r="L349" t="n">
        <v>0</v>
      </c>
      <c r="M349" t="n">
        <v>0</v>
      </c>
      <c r="N349" t="n">
        <v>0</v>
      </c>
      <c r="O349" t="n">
        <v>1</v>
      </c>
      <c r="P349" t="n">
        <v>0</v>
      </c>
      <c r="Q349" t="n">
        <v>2</v>
      </c>
      <c r="R349" s="2" t="inlineStr">
        <is>
          <t>Tallticka
Tjäder</t>
        </is>
      </c>
      <c r="S349">
        <f>HYPERLINK("https://klasma.github.io/Logging_1766/artfynd/A 7097-2025 artfynd.xlsx", "A 7097-2025")</f>
        <v/>
      </c>
      <c r="T349">
        <f>HYPERLINK("https://klasma.github.io/Logging_1766/kartor/A 7097-2025 karta.png", "A 7097-2025")</f>
        <v/>
      </c>
      <c r="V349">
        <f>HYPERLINK("https://klasma.github.io/Logging_1766/klagomål/A 7097-2025 FSC-klagomål.docx", "A 7097-2025")</f>
        <v/>
      </c>
      <c r="W349">
        <f>HYPERLINK("https://klasma.github.io/Logging_1766/klagomålsmail/A 7097-2025 FSC-klagomål mail.docx", "A 7097-2025")</f>
        <v/>
      </c>
      <c r="X349">
        <f>HYPERLINK("https://klasma.github.io/Logging_1766/tillsyn/A 7097-2025 tillsynsbegäran.docx", "A 7097-2025")</f>
        <v/>
      </c>
      <c r="Y349">
        <f>HYPERLINK("https://klasma.github.io/Logging_1766/tillsynsmail/A 7097-2025 tillsynsbegäran mail.docx", "A 7097-2025")</f>
        <v/>
      </c>
      <c r="Z349">
        <f>HYPERLINK("https://klasma.github.io/Logging_1766/fåglar/A 7097-2025 prioriterade fågelarter.docx", "A 7097-2025")</f>
        <v/>
      </c>
    </row>
    <row r="350" ht="15" customHeight="1">
      <c r="A350" t="inlineStr">
        <is>
          <t>A 8038-2025</t>
        </is>
      </c>
      <c r="B350" s="1" t="n">
        <v>45707</v>
      </c>
      <c r="C350" s="1" t="n">
        <v>45736</v>
      </c>
      <c r="D350" t="inlineStr">
        <is>
          <t>VÄRMLANDS LÄN</t>
        </is>
      </c>
      <c r="E350" t="inlineStr">
        <is>
          <t>ARVIKA</t>
        </is>
      </c>
      <c r="F350" t="inlineStr">
        <is>
          <t>Övriga Aktiebolag</t>
        </is>
      </c>
      <c r="G350" t="n">
        <v>12.9</v>
      </c>
      <c r="H350" t="n">
        <v>2</v>
      </c>
      <c r="I350" t="n">
        <v>0</v>
      </c>
      <c r="J350" t="n">
        <v>2</v>
      </c>
      <c r="K350" t="n">
        <v>0</v>
      </c>
      <c r="L350" t="n">
        <v>0</v>
      </c>
      <c r="M350" t="n">
        <v>0</v>
      </c>
      <c r="N350" t="n">
        <v>0</v>
      </c>
      <c r="O350" t="n">
        <v>2</v>
      </c>
      <c r="P350" t="n">
        <v>0</v>
      </c>
      <c r="Q350" t="n">
        <v>2</v>
      </c>
      <c r="R350" s="2" t="inlineStr">
        <is>
          <t>Spillkråka
Talltita</t>
        </is>
      </c>
      <c r="S350">
        <f>HYPERLINK("https://klasma.github.io/Logging_1784/artfynd/A 8038-2025 artfynd.xlsx", "A 8038-2025")</f>
        <v/>
      </c>
      <c r="T350">
        <f>HYPERLINK("https://klasma.github.io/Logging_1784/kartor/A 8038-2025 karta.png", "A 8038-2025")</f>
        <v/>
      </c>
      <c r="V350">
        <f>HYPERLINK("https://klasma.github.io/Logging_1784/klagomål/A 8038-2025 FSC-klagomål.docx", "A 8038-2025")</f>
        <v/>
      </c>
      <c r="W350">
        <f>HYPERLINK("https://klasma.github.io/Logging_1784/klagomålsmail/A 8038-2025 FSC-klagomål mail.docx", "A 8038-2025")</f>
        <v/>
      </c>
      <c r="X350">
        <f>HYPERLINK("https://klasma.github.io/Logging_1784/tillsyn/A 8038-2025 tillsynsbegäran.docx", "A 8038-2025")</f>
        <v/>
      </c>
      <c r="Y350">
        <f>HYPERLINK("https://klasma.github.io/Logging_1784/tillsynsmail/A 8038-2025 tillsynsbegäran mail.docx", "A 8038-2025")</f>
        <v/>
      </c>
      <c r="Z350">
        <f>HYPERLINK("https://klasma.github.io/Logging_1784/fåglar/A 8038-2025 prioriterade fågelarter.docx", "A 8038-2025")</f>
        <v/>
      </c>
    </row>
    <row r="351" ht="15" customHeight="1">
      <c r="A351" t="inlineStr">
        <is>
          <t>A 9032-2025</t>
        </is>
      </c>
      <c r="B351" s="1" t="n">
        <v>45713</v>
      </c>
      <c r="C351" s="1" t="n">
        <v>45736</v>
      </c>
      <c r="D351" t="inlineStr">
        <is>
          <t>VÄRMLANDS LÄN</t>
        </is>
      </c>
      <c r="E351" t="inlineStr">
        <is>
          <t>ARVIKA</t>
        </is>
      </c>
      <c r="G351" t="n">
        <v>3.2</v>
      </c>
      <c r="H351" t="n">
        <v>2</v>
      </c>
      <c r="I351" t="n">
        <v>0</v>
      </c>
      <c r="J351" t="n">
        <v>2</v>
      </c>
      <c r="K351" t="n">
        <v>0</v>
      </c>
      <c r="L351" t="n">
        <v>0</v>
      </c>
      <c r="M351" t="n">
        <v>0</v>
      </c>
      <c r="N351" t="n">
        <v>0</v>
      </c>
      <c r="O351" t="n">
        <v>2</v>
      </c>
      <c r="P351" t="n">
        <v>0</v>
      </c>
      <c r="Q351" t="n">
        <v>2</v>
      </c>
      <c r="R351" s="2" t="inlineStr">
        <is>
          <t>Spillkråka
Talltita</t>
        </is>
      </c>
      <c r="S351">
        <f>HYPERLINK("https://klasma.github.io/Logging_1784/artfynd/A 9032-2025 artfynd.xlsx", "A 9032-2025")</f>
        <v/>
      </c>
      <c r="T351">
        <f>HYPERLINK("https://klasma.github.io/Logging_1784/kartor/A 9032-2025 karta.png", "A 9032-2025")</f>
        <v/>
      </c>
      <c r="V351">
        <f>HYPERLINK("https://klasma.github.io/Logging_1784/klagomål/A 9032-2025 FSC-klagomål.docx", "A 9032-2025")</f>
        <v/>
      </c>
      <c r="W351">
        <f>HYPERLINK("https://klasma.github.io/Logging_1784/klagomålsmail/A 9032-2025 FSC-klagomål mail.docx", "A 9032-2025")</f>
        <v/>
      </c>
      <c r="X351">
        <f>HYPERLINK("https://klasma.github.io/Logging_1784/tillsyn/A 9032-2025 tillsynsbegäran.docx", "A 9032-2025")</f>
        <v/>
      </c>
      <c r="Y351">
        <f>HYPERLINK("https://klasma.github.io/Logging_1784/tillsynsmail/A 9032-2025 tillsynsbegäran mail.docx", "A 9032-2025")</f>
        <v/>
      </c>
      <c r="Z351">
        <f>HYPERLINK("https://klasma.github.io/Logging_1784/fåglar/A 9032-2025 prioriterade fågelarter.docx", "A 9032-2025")</f>
        <v/>
      </c>
    </row>
    <row r="352" ht="15" customHeight="1">
      <c r="A352" t="inlineStr">
        <is>
          <t>A 10795-2025</t>
        </is>
      </c>
      <c r="B352" s="1" t="n">
        <v>45722</v>
      </c>
      <c r="C352" s="1" t="n">
        <v>45736</v>
      </c>
      <c r="D352" t="inlineStr">
        <is>
          <t>VÄRMLANDS LÄN</t>
        </is>
      </c>
      <c r="E352" t="inlineStr">
        <is>
          <t>HAMMARÖ</t>
        </is>
      </c>
      <c r="G352" t="n">
        <v>0.7</v>
      </c>
      <c r="H352" t="n">
        <v>1</v>
      </c>
      <c r="I352" t="n">
        <v>1</v>
      </c>
      <c r="J352" t="n">
        <v>1</v>
      </c>
      <c r="K352" t="n">
        <v>0</v>
      </c>
      <c r="L352" t="n">
        <v>0</v>
      </c>
      <c r="M352" t="n">
        <v>0</v>
      </c>
      <c r="N352" t="n">
        <v>0</v>
      </c>
      <c r="O352" t="n">
        <v>1</v>
      </c>
      <c r="P352" t="n">
        <v>0</v>
      </c>
      <c r="Q352" t="n">
        <v>2</v>
      </c>
      <c r="R352" s="2" t="inlineStr">
        <is>
          <t>Nordfladdermus
Guldkremla</t>
        </is>
      </c>
      <c r="S352">
        <f>HYPERLINK("https://klasma.github.io/Logging_1761/artfynd/A 10795-2025 artfynd.xlsx", "A 10795-2025")</f>
        <v/>
      </c>
      <c r="T352">
        <f>HYPERLINK("https://klasma.github.io/Logging_1761/kartor/A 10795-2025 karta.png", "A 10795-2025")</f>
        <v/>
      </c>
      <c r="V352">
        <f>HYPERLINK("https://klasma.github.io/Logging_1761/klagomål/A 10795-2025 FSC-klagomål.docx", "A 10795-2025")</f>
        <v/>
      </c>
      <c r="W352">
        <f>HYPERLINK("https://klasma.github.io/Logging_1761/klagomålsmail/A 10795-2025 FSC-klagomål mail.docx", "A 10795-2025")</f>
        <v/>
      </c>
      <c r="X352">
        <f>HYPERLINK("https://klasma.github.io/Logging_1761/tillsyn/A 10795-2025 tillsynsbegäran.docx", "A 10795-2025")</f>
        <v/>
      </c>
      <c r="Y352">
        <f>HYPERLINK("https://klasma.github.io/Logging_1761/tillsynsmail/A 10795-2025 tillsynsbegäran mail.docx", "A 10795-2025")</f>
        <v/>
      </c>
    </row>
    <row r="353" ht="15" customHeight="1">
      <c r="A353" t="inlineStr">
        <is>
          <t>A 18499-2019</t>
        </is>
      </c>
      <c r="B353" s="1" t="n">
        <v>43559</v>
      </c>
      <c r="C353" s="1" t="n">
        <v>45736</v>
      </c>
      <c r="D353" t="inlineStr">
        <is>
          <t>VÄRMLANDS LÄN</t>
        </is>
      </c>
      <c r="E353" t="inlineStr">
        <is>
          <t>TORSBY</t>
        </is>
      </c>
      <c r="G353" t="n">
        <v>4.8</v>
      </c>
      <c r="H353" t="n">
        <v>0</v>
      </c>
      <c r="I353" t="n">
        <v>0</v>
      </c>
      <c r="J353" t="n">
        <v>0</v>
      </c>
      <c r="K353" t="n">
        <v>1</v>
      </c>
      <c r="L353" t="n">
        <v>0</v>
      </c>
      <c r="M353" t="n">
        <v>0</v>
      </c>
      <c r="N353" t="n">
        <v>0</v>
      </c>
      <c r="O353" t="n">
        <v>1</v>
      </c>
      <c r="P353" t="n">
        <v>1</v>
      </c>
      <c r="Q353" t="n">
        <v>1</v>
      </c>
      <c r="R353" s="2" t="inlineStr">
        <is>
          <t>Raggbock</t>
        </is>
      </c>
      <c r="S353">
        <f>HYPERLINK("https://klasma.github.io/Logging_1737/artfynd/A 18499-2019 artfynd.xlsx", "A 18499-2019")</f>
        <v/>
      </c>
      <c r="T353">
        <f>HYPERLINK("https://klasma.github.io/Logging_1737/kartor/A 18499-2019 karta.png", "A 18499-2019")</f>
        <v/>
      </c>
      <c r="V353">
        <f>HYPERLINK("https://klasma.github.io/Logging_1737/klagomål/A 18499-2019 FSC-klagomål.docx", "A 18499-2019")</f>
        <v/>
      </c>
      <c r="W353">
        <f>HYPERLINK("https://klasma.github.io/Logging_1737/klagomålsmail/A 18499-2019 FSC-klagomål mail.docx", "A 18499-2019")</f>
        <v/>
      </c>
      <c r="X353">
        <f>HYPERLINK("https://klasma.github.io/Logging_1737/tillsyn/A 18499-2019 tillsynsbegäran.docx", "A 18499-2019")</f>
        <v/>
      </c>
      <c r="Y353">
        <f>HYPERLINK("https://klasma.github.io/Logging_1737/tillsynsmail/A 18499-2019 tillsynsbegäran mail.docx", "A 18499-2019")</f>
        <v/>
      </c>
    </row>
    <row r="354" ht="15" customHeight="1">
      <c r="A354" t="inlineStr">
        <is>
          <t>A 18838-2019</t>
        </is>
      </c>
      <c r="B354" s="1" t="n">
        <v>43563</v>
      </c>
      <c r="C354" s="1" t="n">
        <v>45736</v>
      </c>
      <c r="D354" t="inlineStr">
        <is>
          <t>VÄRMLANDS LÄN</t>
        </is>
      </c>
      <c r="E354" t="inlineStr">
        <is>
          <t>KARLSTAD</t>
        </is>
      </c>
      <c r="G354" t="n">
        <v>7.7</v>
      </c>
      <c r="H354" t="n">
        <v>1</v>
      </c>
      <c r="I354" t="n">
        <v>0</v>
      </c>
      <c r="J354" t="n">
        <v>0</v>
      </c>
      <c r="K354" t="n">
        <v>0</v>
      </c>
      <c r="L354" t="n">
        <v>0</v>
      </c>
      <c r="M354" t="n">
        <v>0</v>
      </c>
      <c r="N354" t="n">
        <v>0</v>
      </c>
      <c r="O354" t="n">
        <v>0</v>
      </c>
      <c r="P354" t="n">
        <v>0</v>
      </c>
      <c r="Q354" t="n">
        <v>1</v>
      </c>
      <c r="R354" s="2" t="inlineStr">
        <is>
          <t>Fläcknycklar</t>
        </is>
      </c>
      <c r="S354">
        <f>HYPERLINK("https://klasma.github.io/Logging_1780/artfynd/A 18838-2019 artfynd.xlsx", "A 18838-2019")</f>
        <v/>
      </c>
      <c r="T354">
        <f>HYPERLINK("https://klasma.github.io/Logging_1780/kartor/A 18838-2019 karta.png", "A 18838-2019")</f>
        <v/>
      </c>
      <c r="V354">
        <f>HYPERLINK("https://klasma.github.io/Logging_1780/klagomål/A 18838-2019 FSC-klagomål.docx", "A 18838-2019")</f>
        <v/>
      </c>
      <c r="W354">
        <f>HYPERLINK("https://klasma.github.io/Logging_1780/klagomålsmail/A 18838-2019 FSC-klagomål mail.docx", "A 18838-2019")</f>
        <v/>
      </c>
      <c r="X354">
        <f>HYPERLINK("https://klasma.github.io/Logging_1780/tillsyn/A 18838-2019 tillsynsbegäran.docx", "A 18838-2019")</f>
        <v/>
      </c>
      <c r="Y354">
        <f>HYPERLINK("https://klasma.github.io/Logging_1780/tillsynsmail/A 18838-2019 tillsynsbegäran mail.docx", "A 18838-2019")</f>
        <v/>
      </c>
    </row>
    <row r="355" ht="15" customHeight="1">
      <c r="A355" t="inlineStr">
        <is>
          <t>A 19213-2019</t>
        </is>
      </c>
      <c r="B355" s="1" t="n">
        <v>43564</v>
      </c>
      <c r="C355" s="1" t="n">
        <v>45736</v>
      </c>
      <c r="D355" t="inlineStr">
        <is>
          <t>VÄRMLANDS LÄN</t>
        </is>
      </c>
      <c r="E355" t="inlineStr">
        <is>
          <t>ARVIKA</t>
        </is>
      </c>
      <c r="G355" t="n">
        <v>7.8</v>
      </c>
      <c r="H355" t="n">
        <v>0</v>
      </c>
      <c r="I355" t="n">
        <v>0</v>
      </c>
      <c r="J355" t="n">
        <v>1</v>
      </c>
      <c r="K355" t="n">
        <v>0</v>
      </c>
      <c r="L355" t="n">
        <v>0</v>
      </c>
      <c r="M355" t="n">
        <v>0</v>
      </c>
      <c r="N355" t="n">
        <v>0</v>
      </c>
      <c r="O355" t="n">
        <v>1</v>
      </c>
      <c r="P355" t="n">
        <v>0</v>
      </c>
      <c r="Q355" t="n">
        <v>1</v>
      </c>
      <c r="R355" s="2" t="inlineStr">
        <is>
          <t>Skogsklocka</t>
        </is>
      </c>
      <c r="S355">
        <f>HYPERLINK("https://klasma.github.io/Logging_1784/artfynd/A 19213-2019 artfynd.xlsx", "A 19213-2019")</f>
        <v/>
      </c>
      <c r="T355">
        <f>HYPERLINK("https://klasma.github.io/Logging_1784/kartor/A 19213-2019 karta.png", "A 19213-2019")</f>
        <v/>
      </c>
      <c r="V355">
        <f>HYPERLINK("https://klasma.github.io/Logging_1784/klagomål/A 19213-2019 FSC-klagomål.docx", "A 19213-2019")</f>
        <v/>
      </c>
      <c r="W355">
        <f>HYPERLINK("https://klasma.github.io/Logging_1784/klagomålsmail/A 19213-2019 FSC-klagomål mail.docx", "A 19213-2019")</f>
        <v/>
      </c>
      <c r="X355">
        <f>HYPERLINK("https://klasma.github.io/Logging_1784/tillsyn/A 19213-2019 tillsynsbegäran.docx", "A 19213-2019")</f>
        <v/>
      </c>
      <c r="Y355">
        <f>HYPERLINK("https://klasma.github.io/Logging_1784/tillsynsmail/A 19213-2019 tillsynsbegäran mail.docx", "A 19213-2019")</f>
        <v/>
      </c>
    </row>
    <row r="356" ht="15" customHeight="1">
      <c r="A356" t="inlineStr">
        <is>
          <t>A 20385-2019</t>
        </is>
      </c>
      <c r="B356" s="1" t="n">
        <v>43571</v>
      </c>
      <c r="C356" s="1" t="n">
        <v>45736</v>
      </c>
      <c r="D356" t="inlineStr">
        <is>
          <t>VÄRMLANDS LÄN</t>
        </is>
      </c>
      <c r="E356" t="inlineStr">
        <is>
          <t>KIL</t>
        </is>
      </c>
      <c r="G356" t="n">
        <v>1.6</v>
      </c>
      <c r="H356" t="n">
        <v>0</v>
      </c>
      <c r="I356" t="n">
        <v>0</v>
      </c>
      <c r="J356" t="n">
        <v>1</v>
      </c>
      <c r="K356" t="n">
        <v>0</v>
      </c>
      <c r="L356" t="n">
        <v>0</v>
      </c>
      <c r="M356" t="n">
        <v>0</v>
      </c>
      <c r="N356" t="n">
        <v>0</v>
      </c>
      <c r="O356" t="n">
        <v>1</v>
      </c>
      <c r="P356" t="n">
        <v>0</v>
      </c>
      <c r="Q356" t="n">
        <v>1</v>
      </c>
      <c r="R356" s="2" t="inlineStr">
        <is>
          <t>Violettkantad guldvinge</t>
        </is>
      </c>
      <c r="S356">
        <f>HYPERLINK("https://klasma.github.io/Logging_1715/artfynd/A 20385-2019 artfynd.xlsx", "A 20385-2019")</f>
        <v/>
      </c>
      <c r="T356">
        <f>HYPERLINK("https://klasma.github.io/Logging_1715/kartor/A 20385-2019 karta.png", "A 20385-2019")</f>
        <v/>
      </c>
      <c r="V356">
        <f>HYPERLINK("https://klasma.github.io/Logging_1715/klagomål/A 20385-2019 FSC-klagomål.docx", "A 20385-2019")</f>
        <v/>
      </c>
      <c r="W356">
        <f>HYPERLINK("https://klasma.github.io/Logging_1715/klagomålsmail/A 20385-2019 FSC-klagomål mail.docx", "A 20385-2019")</f>
        <v/>
      </c>
      <c r="X356">
        <f>HYPERLINK("https://klasma.github.io/Logging_1715/tillsyn/A 20385-2019 tillsynsbegäran.docx", "A 20385-2019")</f>
        <v/>
      </c>
      <c r="Y356">
        <f>HYPERLINK("https://klasma.github.io/Logging_1715/tillsynsmail/A 20385-2019 tillsynsbegäran mail.docx", "A 20385-2019")</f>
        <v/>
      </c>
    </row>
    <row r="357" ht="15" customHeight="1">
      <c r="A357" t="inlineStr">
        <is>
          <t>A 21072-2019</t>
        </is>
      </c>
      <c r="B357" s="1" t="n">
        <v>43578</v>
      </c>
      <c r="C357" s="1" t="n">
        <v>45736</v>
      </c>
      <c r="D357" t="inlineStr">
        <is>
          <t>VÄRMLANDS LÄN</t>
        </is>
      </c>
      <c r="E357" t="inlineStr">
        <is>
          <t>SÄFFLE</t>
        </is>
      </c>
      <c r="G357" t="n">
        <v>3.4</v>
      </c>
      <c r="H357" t="n">
        <v>1</v>
      </c>
      <c r="I357" t="n">
        <v>0</v>
      </c>
      <c r="J357" t="n">
        <v>1</v>
      </c>
      <c r="K357" t="n">
        <v>0</v>
      </c>
      <c r="L357" t="n">
        <v>0</v>
      </c>
      <c r="M357" t="n">
        <v>0</v>
      </c>
      <c r="N357" t="n">
        <v>0</v>
      </c>
      <c r="O357" t="n">
        <v>1</v>
      </c>
      <c r="P357" t="n">
        <v>0</v>
      </c>
      <c r="Q357" t="n">
        <v>1</v>
      </c>
      <c r="R357" s="2" t="inlineStr">
        <is>
          <t>Kungsörn</t>
        </is>
      </c>
      <c r="S357">
        <f>HYPERLINK("https://klasma.github.io/Logging_1785/artfynd/A 21072-2019 artfynd.xlsx", "A 21072-2019")</f>
        <v/>
      </c>
      <c r="T357">
        <f>HYPERLINK("https://klasma.github.io/Logging_1785/kartor/A 21072-2019 karta.png", "A 21072-2019")</f>
        <v/>
      </c>
      <c r="V357">
        <f>HYPERLINK("https://klasma.github.io/Logging_1785/klagomål/A 21072-2019 FSC-klagomål.docx", "A 21072-2019")</f>
        <v/>
      </c>
      <c r="W357">
        <f>HYPERLINK("https://klasma.github.io/Logging_1785/klagomålsmail/A 21072-2019 FSC-klagomål mail.docx", "A 21072-2019")</f>
        <v/>
      </c>
      <c r="X357">
        <f>HYPERLINK("https://klasma.github.io/Logging_1785/tillsyn/A 21072-2019 tillsynsbegäran.docx", "A 21072-2019")</f>
        <v/>
      </c>
      <c r="Y357">
        <f>HYPERLINK("https://klasma.github.io/Logging_1785/tillsynsmail/A 21072-2019 tillsynsbegäran mail.docx", "A 21072-2019")</f>
        <v/>
      </c>
      <c r="Z357">
        <f>HYPERLINK("https://klasma.github.io/Logging_1785/fåglar/A 21072-2019 prioriterade fågelarter.docx", "A 21072-2019")</f>
        <v/>
      </c>
    </row>
    <row r="358" ht="15" customHeight="1">
      <c r="A358" t="inlineStr">
        <is>
          <t>A 22869-2019</t>
        </is>
      </c>
      <c r="B358" s="1" t="n">
        <v>43591</v>
      </c>
      <c r="C358" s="1" t="n">
        <v>45736</v>
      </c>
      <c r="D358" t="inlineStr">
        <is>
          <t>VÄRMLANDS LÄN</t>
        </is>
      </c>
      <c r="E358" t="inlineStr">
        <is>
          <t>KARLSTAD</t>
        </is>
      </c>
      <c r="F358" t="inlineStr">
        <is>
          <t>Kommuner</t>
        </is>
      </c>
      <c r="G358" t="n">
        <v>13.1</v>
      </c>
      <c r="H358" t="n">
        <v>1</v>
      </c>
      <c r="I358" t="n">
        <v>0</v>
      </c>
      <c r="J358" t="n">
        <v>1</v>
      </c>
      <c r="K358" t="n">
        <v>0</v>
      </c>
      <c r="L358" t="n">
        <v>0</v>
      </c>
      <c r="M358" t="n">
        <v>0</v>
      </c>
      <c r="N358" t="n">
        <v>0</v>
      </c>
      <c r="O358" t="n">
        <v>1</v>
      </c>
      <c r="P358" t="n">
        <v>0</v>
      </c>
      <c r="Q358" t="n">
        <v>1</v>
      </c>
      <c r="R358" s="2" t="inlineStr">
        <is>
          <t>Talltita</t>
        </is>
      </c>
      <c r="S358">
        <f>HYPERLINK("https://klasma.github.io/Logging_1780/artfynd/A 22869-2019 artfynd.xlsx", "A 22869-2019")</f>
        <v/>
      </c>
      <c r="T358">
        <f>HYPERLINK("https://klasma.github.io/Logging_1780/kartor/A 22869-2019 karta.png", "A 22869-2019")</f>
        <v/>
      </c>
      <c r="U358">
        <f>HYPERLINK("https://klasma.github.io/Logging_1780/knärot/A 22869-2019 karta knärot.png", "A 22869-2019")</f>
        <v/>
      </c>
      <c r="V358">
        <f>HYPERLINK("https://klasma.github.io/Logging_1780/klagomål/A 22869-2019 FSC-klagomål.docx", "A 22869-2019")</f>
        <v/>
      </c>
      <c r="W358">
        <f>HYPERLINK("https://klasma.github.io/Logging_1780/klagomålsmail/A 22869-2019 FSC-klagomål mail.docx", "A 22869-2019")</f>
        <v/>
      </c>
      <c r="X358">
        <f>HYPERLINK("https://klasma.github.io/Logging_1780/tillsyn/A 22869-2019 tillsynsbegäran.docx", "A 22869-2019")</f>
        <v/>
      </c>
      <c r="Y358">
        <f>HYPERLINK("https://klasma.github.io/Logging_1780/tillsynsmail/A 22869-2019 tillsynsbegäran mail.docx", "A 22869-2019")</f>
        <v/>
      </c>
      <c r="Z358">
        <f>HYPERLINK("https://klasma.github.io/Logging_1780/fåglar/A 22869-2019 prioriterade fågelarter.docx", "A 22869-2019")</f>
        <v/>
      </c>
    </row>
    <row r="359" ht="15" customHeight="1">
      <c r="A359" t="inlineStr">
        <is>
          <t>A 22914-2019</t>
        </is>
      </c>
      <c r="B359" s="1" t="n">
        <v>43591</v>
      </c>
      <c r="C359" s="1" t="n">
        <v>45736</v>
      </c>
      <c r="D359" t="inlineStr">
        <is>
          <t>VÄRMLANDS LÄN</t>
        </is>
      </c>
      <c r="E359" t="inlineStr">
        <is>
          <t>KARLSTAD</t>
        </is>
      </c>
      <c r="F359" t="inlineStr">
        <is>
          <t>Bergvik skog väst AB</t>
        </is>
      </c>
      <c r="G359" t="n">
        <v>6.3</v>
      </c>
      <c r="H359" t="n">
        <v>1</v>
      </c>
      <c r="I359" t="n">
        <v>0</v>
      </c>
      <c r="J359" t="n">
        <v>0</v>
      </c>
      <c r="K359" t="n">
        <v>0</v>
      </c>
      <c r="L359" t="n">
        <v>0</v>
      </c>
      <c r="M359" t="n">
        <v>0</v>
      </c>
      <c r="N359" t="n">
        <v>0</v>
      </c>
      <c r="O359" t="n">
        <v>0</v>
      </c>
      <c r="P359" t="n">
        <v>0</v>
      </c>
      <c r="Q359" t="n">
        <v>1</v>
      </c>
      <c r="R359" s="2" t="inlineStr">
        <is>
          <t>Törnskata</t>
        </is>
      </c>
      <c r="S359">
        <f>HYPERLINK("https://klasma.github.io/Logging_1780/artfynd/A 22914-2019 artfynd.xlsx", "A 22914-2019")</f>
        <v/>
      </c>
      <c r="T359">
        <f>HYPERLINK("https://klasma.github.io/Logging_1780/kartor/A 22914-2019 karta.png", "A 22914-2019")</f>
        <v/>
      </c>
      <c r="V359">
        <f>HYPERLINK("https://klasma.github.io/Logging_1780/klagomål/A 22914-2019 FSC-klagomål.docx", "A 22914-2019")</f>
        <v/>
      </c>
      <c r="W359">
        <f>HYPERLINK("https://klasma.github.io/Logging_1780/klagomålsmail/A 22914-2019 FSC-klagomål mail.docx", "A 22914-2019")</f>
        <v/>
      </c>
      <c r="X359">
        <f>HYPERLINK("https://klasma.github.io/Logging_1780/tillsyn/A 22914-2019 tillsynsbegäran.docx", "A 22914-2019")</f>
        <v/>
      </c>
      <c r="Y359">
        <f>HYPERLINK("https://klasma.github.io/Logging_1780/tillsynsmail/A 22914-2019 tillsynsbegäran mail.docx", "A 22914-2019")</f>
        <v/>
      </c>
      <c r="Z359">
        <f>HYPERLINK("https://klasma.github.io/Logging_1780/fåglar/A 22914-2019 prioriterade fågelarter.docx", "A 22914-2019")</f>
        <v/>
      </c>
    </row>
    <row r="360" ht="15" customHeight="1">
      <c r="A360" t="inlineStr">
        <is>
          <t>A 23681-2019</t>
        </is>
      </c>
      <c r="B360" s="1" t="n">
        <v>43594</v>
      </c>
      <c r="C360" s="1" t="n">
        <v>45736</v>
      </c>
      <c r="D360" t="inlineStr">
        <is>
          <t>VÄRMLANDS LÄN</t>
        </is>
      </c>
      <c r="E360" t="inlineStr">
        <is>
          <t>SÄFFLE</t>
        </is>
      </c>
      <c r="G360" t="n">
        <v>1.1</v>
      </c>
      <c r="H360" t="n">
        <v>0</v>
      </c>
      <c r="I360" t="n">
        <v>0</v>
      </c>
      <c r="J360" t="n">
        <v>1</v>
      </c>
      <c r="K360" t="n">
        <v>0</v>
      </c>
      <c r="L360" t="n">
        <v>0</v>
      </c>
      <c r="M360" t="n">
        <v>0</v>
      </c>
      <c r="N360" t="n">
        <v>0</v>
      </c>
      <c r="O360" t="n">
        <v>1</v>
      </c>
      <c r="P360" t="n">
        <v>0</v>
      </c>
      <c r="Q360" t="n">
        <v>1</v>
      </c>
      <c r="R360" s="2" t="inlineStr">
        <is>
          <t>Svinrot</t>
        </is>
      </c>
      <c r="S360">
        <f>HYPERLINK("https://klasma.github.io/Logging_1785/artfynd/A 23681-2019 artfynd.xlsx", "A 23681-2019")</f>
        <v/>
      </c>
      <c r="T360">
        <f>HYPERLINK("https://klasma.github.io/Logging_1785/kartor/A 23681-2019 karta.png", "A 23681-2019")</f>
        <v/>
      </c>
      <c r="V360">
        <f>HYPERLINK("https://klasma.github.io/Logging_1785/klagomål/A 23681-2019 FSC-klagomål.docx", "A 23681-2019")</f>
        <v/>
      </c>
      <c r="W360">
        <f>HYPERLINK("https://klasma.github.io/Logging_1785/klagomålsmail/A 23681-2019 FSC-klagomål mail.docx", "A 23681-2019")</f>
        <v/>
      </c>
      <c r="X360">
        <f>HYPERLINK("https://klasma.github.io/Logging_1785/tillsyn/A 23681-2019 tillsynsbegäran.docx", "A 23681-2019")</f>
        <v/>
      </c>
      <c r="Y360">
        <f>HYPERLINK("https://klasma.github.io/Logging_1785/tillsynsmail/A 23681-2019 tillsynsbegäran mail.docx", "A 23681-2019")</f>
        <v/>
      </c>
    </row>
    <row r="361" ht="15" customHeight="1">
      <c r="A361" t="inlineStr">
        <is>
          <t>A 25652-2019</t>
        </is>
      </c>
      <c r="B361" s="1" t="n">
        <v>43607</v>
      </c>
      <c r="C361" s="1" t="n">
        <v>45736</v>
      </c>
      <c r="D361" t="inlineStr">
        <is>
          <t>VÄRMLANDS LÄN</t>
        </is>
      </c>
      <c r="E361" t="inlineStr">
        <is>
          <t>KARLSTAD</t>
        </is>
      </c>
      <c r="G361" t="n">
        <v>1.9</v>
      </c>
      <c r="H361" t="n">
        <v>0</v>
      </c>
      <c r="I361" t="n">
        <v>1</v>
      </c>
      <c r="J361" t="n">
        <v>0</v>
      </c>
      <c r="K361" t="n">
        <v>0</v>
      </c>
      <c r="L361" t="n">
        <v>0</v>
      </c>
      <c r="M361" t="n">
        <v>0</v>
      </c>
      <c r="N361" t="n">
        <v>0</v>
      </c>
      <c r="O361" t="n">
        <v>0</v>
      </c>
      <c r="P361" t="n">
        <v>0</v>
      </c>
      <c r="Q361" t="n">
        <v>1</v>
      </c>
      <c r="R361" s="2" t="inlineStr">
        <is>
          <t>Vedticka</t>
        </is>
      </c>
      <c r="S361">
        <f>HYPERLINK("https://klasma.github.io/Logging_1780/artfynd/A 25652-2019 artfynd.xlsx", "A 25652-2019")</f>
        <v/>
      </c>
      <c r="T361">
        <f>HYPERLINK("https://klasma.github.io/Logging_1780/kartor/A 25652-2019 karta.png", "A 25652-2019")</f>
        <v/>
      </c>
      <c r="V361">
        <f>HYPERLINK("https://klasma.github.io/Logging_1780/klagomål/A 25652-2019 FSC-klagomål.docx", "A 25652-2019")</f>
        <v/>
      </c>
      <c r="W361">
        <f>HYPERLINK("https://klasma.github.io/Logging_1780/klagomålsmail/A 25652-2019 FSC-klagomål mail.docx", "A 25652-2019")</f>
        <v/>
      </c>
      <c r="X361">
        <f>HYPERLINK("https://klasma.github.io/Logging_1780/tillsyn/A 25652-2019 tillsynsbegäran.docx", "A 25652-2019")</f>
        <v/>
      </c>
      <c r="Y361">
        <f>HYPERLINK("https://klasma.github.io/Logging_1780/tillsynsmail/A 25652-2019 tillsynsbegäran mail.docx", "A 25652-2019")</f>
        <v/>
      </c>
    </row>
    <row r="362" ht="15" customHeight="1">
      <c r="A362" t="inlineStr">
        <is>
          <t>A 27311-2019</t>
        </is>
      </c>
      <c r="B362" s="1" t="n">
        <v>43616</v>
      </c>
      <c r="C362" s="1" t="n">
        <v>45736</v>
      </c>
      <c r="D362" t="inlineStr">
        <is>
          <t>VÄRMLANDS LÄN</t>
        </is>
      </c>
      <c r="E362" t="inlineStr">
        <is>
          <t>KARLSTAD</t>
        </is>
      </c>
      <c r="F362" t="inlineStr">
        <is>
          <t>Kommuner</t>
        </is>
      </c>
      <c r="G362" t="n">
        <v>2</v>
      </c>
      <c r="H362" t="n">
        <v>0</v>
      </c>
      <c r="I362" t="n">
        <v>0</v>
      </c>
      <c r="J362" t="n">
        <v>1</v>
      </c>
      <c r="K362" t="n">
        <v>0</v>
      </c>
      <c r="L362" t="n">
        <v>0</v>
      </c>
      <c r="M362" t="n">
        <v>0</v>
      </c>
      <c r="N362" t="n">
        <v>0</v>
      </c>
      <c r="O362" t="n">
        <v>1</v>
      </c>
      <c r="P362" t="n">
        <v>0</v>
      </c>
      <c r="Q362" t="n">
        <v>1</v>
      </c>
      <c r="R362" s="2" t="inlineStr">
        <is>
          <t>Ängsmetallvinge</t>
        </is>
      </c>
      <c r="S362">
        <f>HYPERLINK("https://klasma.github.io/Logging_1780/artfynd/A 27311-2019 artfynd.xlsx", "A 27311-2019")</f>
        <v/>
      </c>
      <c r="T362">
        <f>HYPERLINK("https://klasma.github.io/Logging_1780/kartor/A 27311-2019 karta.png", "A 27311-2019")</f>
        <v/>
      </c>
      <c r="V362">
        <f>HYPERLINK("https://klasma.github.io/Logging_1780/klagomål/A 27311-2019 FSC-klagomål.docx", "A 27311-2019")</f>
        <v/>
      </c>
      <c r="W362">
        <f>HYPERLINK("https://klasma.github.io/Logging_1780/klagomålsmail/A 27311-2019 FSC-klagomål mail.docx", "A 27311-2019")</f>
        <v/>
      </c>
      <c r="X362">
        <f>HYPERLINK("https://klasma.github.io/Logging_1780/tillsyn/A 27311-2019 tillsynsbegäran.docx", "A 27311-2019")</f>
        <v/>
      </c>
      <c r="Y362">
        <f>HYPERLINK("https://klasma.github.io/Logging_1780/tillsynsmail/A 27311-2019 tillsynsbegäran mail.docx", "A 27311-2019")</f>
        <v/>
      </c>
    </row>
    <row r="363" ht="15" customHeight="1">
      <c r="A363" t="inlineStr">
        <is>
          <t>A 29032-2019</t>
        </is>
      </c>
      <c r="B363" s="1" t="n">
        <v>43621</v>
      </c>
      <c r="C363" s="1" t="n">
        <v>45736</v>
      </c>
      <c r="D363" t="inlineStr">
        <is>
          <t>VÄRMLANDS LÄN</t>
        </is>
      </c>
      <c r="E363" t="inlineStr">
        <is>
          <t>ÅRJÄNG</t>
        </is>
      </c>
      <c r="G363" t="n">
        <v>4.8</v>
      </c>
      <c r="H363" t="n">
        <v>0</v>
      </c>
      <c r="I363" t="n">
        <v>0</v>
      </c>
      <c r="J363" t="n">
        <v>1</v>
      </c>
      <c r="K363" t="n">
        <v>0</v>
      </c>
      <c r="L363" t="n">
        <v>0</v>
      </c>
      <c r="M363" t="n">
        <v>0</v>
      </c>
      <c r="N363" t="n">
        <v>0</v>
      </c>
      <c r="O363" t="n">
        <v>1</v>
      </c>
      <c r="P363" t="n">
        <v>0</v>
      </c>
      <c r="Q363" t="n">
        <v>1</v>
      </c>
      <c r="R363" s="2" t="inlineStr">
        <is>
          <t>Veckticka</t>
        </is>
      </c>
      <c r="S363">
        <f>HYPERLINK("https://klasma.github.io/Logging_1765/artfynd/A 29032-2019 artfynd.xlsx", "A 29032-2019")</f>
        <v/>
      </c>
      <c r="T363">
        <f>HYPERLINK("https://klasma.github.io/Logging_1765/kartor/A 29032-2019 karta.png", "A 29032-2019")</f>
        <v/>
      </c>
      <c r="U363">
        <f>HYPERLINK("https://klasma.github.io/Logging_1765/knärot/A 29032-2019 karta knärot.png", "A 29032-2019")</f>
        <v/>
      </c>
      <c r="V363">
        <f>HYPERLINK("https://klasma.github.io/Logging_1765/klagomål/A 29032-2019 FSC-klagomål.docx", "A 29032-2019")</f>
        <v/>
      </c>
      <c r="W363">
        <f>HYPERLINK("https://klasma.github.io/Logging_1765/klagomålsmail/A 29032-2019 FSC-klagomål mail.docx", "A 29032-2019")</f>
        <v/>
      </c>
      <c r="X363">
        <f>HYPERLINK("https://klasma.github.io/Logging_1765/tillsyn/A 29032-2019 tillsynsbegäran.docx", "A 29032-2019")</f>
        <v/>
      </c>
      <c r="Y363">
        <f>HYPERLINK("https://klasma.github.io/Logging_1765/tillsynsmail/A 29032-2019 tillsynsbegäran mail.docx", "A 29032-2019")</f>
        <v/>
      </c>
    </row>
    <row r="364" ht="15" customHeight="1">
      <c r="A364" t="inlineStr">
        <is>
          <t>A 30304-2019</t>
        </is>
      </c>
      <c r="B364" s="1" t="n">
        <v>43634</v>
      </c>
      <c r="C364" s="1" t="n">
        <v>45736</v>
      </c>
      <c r="D364" t="inlineStr">
        <is>
          <t>VÄRMLANDS LÄN</t>
        </is>
      </c>
      <c r="E364" t="inlineStr">
        <is>
          <t>ARVIKA</t>
        </is>
      </c>
      <c r="G364" t="n">
        <v>0.6</v>
      </c>
      <c r="H364" t="n">
        <v>1</v>
      </c>
      <c r="I364" t="n">
        <v>0</v>
      </c>
      <c r="J364" t="n">
        <v>0</v>
      </c>
      <c r="K364" t="n">
        <v>1</v>
      </c>
      <c r="L364" t="n">
        <v>0</v>
      </c>
      <c r="M364" t="n">
        <v>0</v>
      </c>
      <c r="N364" t="n">
        <v>0</v>
      </c>
      <c r="O364" t="n">
        <v>1</v>
      </c>
      <c r="P364" t="n">
        <v>1</v>
      </c>
      <c r="Q364" t="n">
        <v>1</v>
      </c>
      <c r="R364" s="2" t="inlineStr">
        <is>
          <t>Knärot</t>
        </is>
      </c>
      <c r="S364">
        <f>HYPERLINK("https://klasma.github.io/Logging_1784/artfynd/A 30304-2019 artfynd.xlsx", "A 30304-2019")</f>
        <v/>
      </c>
      <c r="T364">
        <f>HYPERLINK("https://klasma.github.io/Logging_1784/kartor/A 30304-2019 karta.png", "A 30304-2019")</f>
        <v/>
      </c>
      <c r="U364">
        <f>HYPERLINK("https://klasma.github.io/Logging_1784/knärot/A 30304-2019 karta knärot.png", "A 30304-2019")</f>
        <v/>
      </c>
      <c r="V364">
        <f>HYPERLINK("https://klasma.github.io/Logging_1784/klagomål/A 30304-2019 FSC-klagomål.docx", "A 30304-2019")</f>
        <v/>
      </c>
      <c r="W364">
        <f>HYPERLINK("https://klasma.github.io/Logging_1784/klagomålsmail/A 30304-2019 FSC-klagomål mail.docx", "A 30304-2019")</f>
        <v/>
      </c>
      <c r="X364">
        <f>HYPERLINK("https://klasma.github.io/Logging_1784/tillsyn/A 30304-2019 tillsynsbegäran.docx", "A 30304-2019")</f>
        <v/>
      </c>
      <c r="Y364">
        <f>HYPERLINK("https://klasma.github.io/Logging_1784/tillsynsmail/A 30304-2019 tillsynsbegäran mail.docx", "A 30304-2019")</f>
        <v/>
      </c>
    </row>
    <row r="365" ht="15" customHeight="1">
      <c r="A365" t="inlineStr">
        <is>
          <t>A 31191-2019</t>
        </is>
      </c>
      <c r="B365" s="1" t="n">
        <v>43640</v>
      </c>
      <c r="C365" s="1" t="n">
        <v>45736</v>
      </c>
      <c r="D365" t="inlineStr">
        <is>
          <t>VÄRMLANDS LÄN</t>
        </is>
      </c>
      <c r="E365" t="inlineStr">
        <is>
          <t>FILIPSTAD</t>
        </is>
      </c>
      <c r="G365" t="n">
        <v>5.9</v>
      </c>
      <c r="H365" t="n">
        <v>1</v>
      </c>
      <c r="I365" t="n">
        <v>0</v>
      </c>
      <c r="J365" t="n">
        <v>1</v>
      </c>
      <c r="K365" t="n">
        <v>0</v>
      </c>
      <c r="L365" t="n">
        <v>0</v>
      </c>
      <c r="M365" t="n">
        <v>0</v>
      </c>
      <c r="N365" t="n">
        <v>0</v>
      </c>
      <c r="O365" t="n">
        <v>1</v>
      </c>
      <c r="P365" t="n">
        <v>0</v>
      </c>
      <c r="Q365" t="n">
        <v>1</v>
      </c>
      <c r="R365" s="2" t="inlineStr">
        <is>
          <t>Smålom</t>
        </is>
      </c>
      <c r="S365">
        <f>HYPERLINK("https://klasma.github.io/Logging_1782/artfynd/A 31191-2019 artfynd.xlsx", "A 31191-2019")</f>
        <v/>
      </c>
      <c r="T365">
        <f>HYPERLINK("https://klasma.github.io/Logging_1782/kartor/A 31191-2019 karta.png", "A 31191-2019")</f>
        <v/>
      </c>
      <c r="V365">
        <f>HYPERLINK("https://klasma.github.io/Logging_1782/klagomål/A 31191-2019 FSC-klagomål.docx", "A 31191-2019")</f>
        <v/>
      </c>
      <c r="W365">
        <f>HYPERLINK("https://klasma.github.io/Logging_1782/klagomålsmail/A 31191-2019 FSC-klagomål mail.docx", "A 31191-2019")</f>
        <v/>
      </c>
      <c r="X365">
        <f>HYPERLINK("https://klasma.github.io/Logging_1782/tillsyn/A 31191-2019 tillsynsbegäran.docx", "A 31191-2019")</f>
        <v/>
      </c>
      <c r="Y365">
        <f>HYPERLINK("https://klasma.github.io/Logging_1782/tillsynsmail/A 31191-2019 tillsynsbegäran mail.docx", "A 31191-2019")</f>
        <v/>
      </c>
      <c r="Z365">
        <f>HYPERLINK("https://klasma.github.io/Logging_1782/fåglar/A 31191-2019 prioriterade fågelarter.docx", "A 31191-2019")</f>
        <v/>
      </c>
    </row>
    <row r="366" ht="15" customHeight="1">
      <c r="A366" t="inlineStr">
        <is>
          <t>A 31848-2019</t>
        </is>
      </c>
      <c r="B366" s="1" t="n">
        <v>43642</v>
      </c>
      <c r="C366" s="1" t="n">
        <v>45736</v>
      </c>
      <c r="D366" t="inlineStr">
        <is>
          <t>VÄRMLANDS LÄN</t>
        </is>
      </c>
      <c r="E366" t="inlineStr">
        <is>
          <t>TORSBY</t>
        </is>
      </c>
      <c r="G366" t="n">
        <v>6.1</v>
      </c>
      <c r="H366" t="n">
        <v>1</v>
      </c>
      <c r="I366" t="n">
        <v>0</v>
      </c>
      <c r="J366" t="n">
        <v>0</v>
      </c>
      <c r="K366" t="n">
        <v>1</v>
      </c>
      <c r="L366" t="n">
        <v>0</v>
      </c>
      <c r="M366" t="n">
        <v>0</v>
      </c>
      <c r="N366" t="n">
        <v>0</v>
      </c>
      <c r="O366" t="n">
        <v>1</v>
      </c>
      <c r="P366" t="n">
        <v>1</v>
      </c>
      <c r="Q366" t="n">
        <v>1</v>
      </c>
      <c r="R366" s="2" t="inlineStr">
        <is>
          <t>Knärot</t>
        </is>
      </c>
      <c r="S366">
        <f>HYPERLINK("https://klasma.github.io/Logging_1737/artfynd/A 31848-2019 artfynd.xlsx", "A 31848-2019")</f>
        <v/>
      </c>
      <c r="T366">
        <f>HYPERLINK("https://klasma.github.io/Logging_1737/kartor/A 31848-2019 karta.png", "A 31848-2019")</f>
        <v/>
      </c>
      <c r="U366">
        <f>HYPERLINK("https://klasma.github.io/Logging_1737/knärot/A 31848-2019 karta knärot.png", "A 31848-2019")</f>
        <v/>
      </c>
      <c r="V366">
        <f>HYPERLINK("https://klasma.github.io/Logging_1737/klagomål/A 31848-2019 FSC-klagomål.docx", "A 31848-2019")</f>
        <v/>
      </c>
      <c r="W366">
        <f>HYPERLINK("https://klasma.github.io/Logging_1737/klagomålsmail/A 31848-2019 FSC-klagomål mail.docx", "A 31848-2019")</f>
        <v/>
      </c>
      <c r="X366">
        <f>HYPERLINK("https://klasma.github.io/Logging_1737/tillsyn/A 31848-2019 tillsynsbegäran.docx", "A 31848-2019")</f>
        <v/>
      </c>
      <c r="Y366">
        <f>HYPERLINK("https://klasma.github.io/Logging_1737/tillsynsmail/A 31848-2019 tillsynsbegäran mail.docx", "A 31848-2019")</f>
        <v/>
      </c>
    </row>
    <row r="367" ht="15" customHeight="1">
      <c r="A367" t="inlineStr">
        <is>
          <t>A 37684-2019</t>
        </is>
      </c>
      <c r="B367" s="1" t="n">
        <v>43682</v>
      </c>
      <c r="C367" s="1" t="n">
        <v>45736</v>
      </c>
      <c r="D367" t="inlineStr">
        <is>
          <t>VÄRMLANDS LÄN</t>
        </is>
      </c>
      <c r="E367" t="inlineStr">
        <is>
          <t>KRISTINEHAMN</t>
        </is>
      </c>
      <c r="G367" t="n">
        <v>4.4</v>
      </c>
      <c r="H367" t="n">
        <v>0</v>
      </c>
      <c r="I367" t="n">
        <v>0</v>
      </c>
      <c r="J367" t="n">
        <v>1</v>
      </c>
      <c r="K367" t="n">
        <v>0</v>
      </c>
      <c r="L367" t="n">
        <v>0</v>
      </c>
      <c r="M367" t="n">
        <v>0</v>
      </c>
      <c r="N367" t="n">
        <v>0</v>
      </c>
      <c r="O367" t="n">
        <v>1</v>
      </c>
      <c r="P367" t="n">
        <v>0</v>
      </c>
      <c r="Q367" t="n">
        <v>1</v>
      </c>
      <c r="R367" s="2" t="inlineStr">
        <is>
          <t>Koralltaggsvamp</t>
        </is>
      </c>
      <c r="S367">
        <f>HYPERLINK("https://klasma.github.io/Logging_1781/artfynd/A 37684-2019 artfynd.xlsx", "A 37684-2019")</f>
        <v/>
      </c>
      <c r="T367">
        <f>HYPERLINK("https://klasma.github.io/Logging_1781/kartor/A 37684-2019 karta.png", "A 37684-2019")</f>
        <v/>
      </c>
      <c r="V367">
        <f>HYPERLINK("https://klasma.github.io/Logging_1781/klagomål/A 37684-2019 FSC-klagomål.docx", "A 37684-2019")</f>
        <v/>
      </c>
      <c r="W367">
        <f>HYPERLINK("https://klasma.github.io/Logging_1781/klagomålsmail/A 37684-2019 FSC-klagomål mail.docx", "A 37684-2019")</f>
        <v/>
      </c>
      <c r="X367">
        <f>HYPERLINK("https://klasma.github.io/Logging_1781/tillsyn/A 37684-2019 tillsynsbegäran.docx", "A 37684-2019")</f>
        <v/>
      </c>
      <c r="Y367">
        <f>HYPERLINK("https://klasma.github.io/Logging_1781/tillsynsmail/A 37684-2019 tillsynsbegäran mail.docx", "A 37684-2019")</f>
        <v/>
      </c>
    </row>
    <row r="368" ht="15" customHeight="1">
      <c r="A368" t="inlineStr">
        <is>
          <t>A 41355-2019</t>
        </is>
      </c>
      <c r="B368" s="1" t="n">
        <v>43696</v>
      </c>
      <c r="C368" s="1" t="n">
        <v>45736</v>
      </c>
      <c r="D368" t="inlineStr">
        <is>
          <t>VÄRMLANDS LÄN</t>
        </is>
      </c>
      <c r="E368" t="inlineStr">
        <is>
          <t>ÅRJÄNG</t>
        </is>
      </c>
      <c r="G368" t="n">
        <v>3.1</v>
      </c>
      <c r="H368" t="n">
        <v>0</v>
      </c>
      <c r="I368" t="n">
        <v>0</v>
      </c>
      <c r="J368" t="n">
        <v>1</v>
      </c>
      <c r="K368" t="n">
        <v>0</v>
      </c>
      <c r="L368" t="n">
        <v>0</v>
      </c>
      <c r="M368" t="n">
        <v>0</v>
      </c>
      <c r="N368" t="n">
        <v>0</v>
      </c>
      <c r="O368" t="n">
        <v>1</v>
      </c>
      <c r="P368" t="n">
        <v>0</v>
      </c>
      <c r="Q368" t="n">
        <v>1</v>
      </c>
      <c r="R368" s="2" t="inlineStr">
        <is>
          <t>Dofttaggsvamp</t>
        </is>
      </c>
      <c r="S368">
        <f>HYPERLINK("https://klasma.github.io/Logging_1765/artfynd/A 41355-2019 artfynd.xlsx", "A 41355-2019")</f>
        <v/>
      </c>
      <c r="T368">
        <f>HYPERLINK("https://klasma.github.io/Logging_1765/kartor/A 41355-2019 karta.png", "A 41355-2019")</f>
        <v/>
      </c>
      <c r="V368">
        <f>HYPERLINK("https://klasma.github.io/Logging_1765/klagomål/A 41355-2019 FSC-klagomål.docx", "A 41355-2019")</f>
        <v/>
      </c>
      <c r="W368">
        <f>HYPERLINK("https://klasma.github.io/Logging_1765/klagomålsmail/A 41355-2019 FSC-klagomål mail.docx", "A 41355-2019")</f>
        <v/>
      </c>
      <c r="X368">
        <f>HYPERLINK("https://klasma.github.io/Logging_1765/tillsyn/A 41355-2019 tillsynsbegäran.docx", "A 41355-2019")</f>
        <v/>
      </c>
      <c r="Y368">
        <f>HYPERLINK("https://klasma.github.io/Logging_1765/tillsynsmail/A 41355-2019 tillsynsbegäran mail.docx", "A 41355-2019")</f>
        <v/>
      </c>
    </row>
    <row r="369" ht="15" customHeight="1">
      <c r="A369" t="inlineStr">
        <is>
          <t>A 43500-2019</t>
        </is>
      </c>
      <c r="B369" s="1" t="n">
        <v>43706</v>
      </c>
      <c r="C369" s="1" t="n">
        <v>45736</v>
      </c>
      <c r="D369" t="inlineStr">
        <is>
          <t>VÄRMLANDS LÄN</t>
        </is>
      </c>
      <c r="E369" t="inlineStr">
        <is>
          <t>SUNNE</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HYPERLINK("https://klasma.github.io/Logging_1766/artfynd/A 43500-2019 artfynd.xlsx", "A 43500-2019")</f>
        <v/>
      </c>
      <c r="T369">
        <f>HYPERLINK("https://klasma.github.io/Logging_1766/kartor/A 43500-2019 karta.png", "A 43500-2019")</f>
        <v/>
      </c>
      <c r="V369">
        <f>HYPERLINK("https://klasma.github.io/Logging_1766/klagomål/A 43500-2019 FSC-klagomål.docx", "A 43500-2019")</f>
        <v/>
      </c>
      <c r="W369">
        <f>HYPERLINK("https://klasma.github.io/Logging_1766/klagomålsmail/A 43500-2019 FSC-klagomål mail.docx", "A 43500-2019")</f>
        <v/>
      </c>
      <c r="X369">
        <f>HYPERLINK("https://klasma.github.io/Logging_1766/tillsyn/A 43500-2019 tillsynsbegäran.docx", "A 43500-2019")</f>
        <v/>
      </c>
      <c r="Y369">
        <f>HYPERLINK("https://klasma.github.io/Logging_1766/tillsynsmail/A 43500-2019 tillsynsbegäran mail.docx", "A 43500-2019")</f>
        <v/>
      </c>
    </row>
    <row r="370" ht="15" customHeight="1">
      <c r="A370" t="inlineStr">
        <is>
          <t>A 43893-2019</t>
        </is>
      </c>
      <c r="B370" s="1" t="n">
        <v>43707</v>
      </c>
      <c r="C370" s="1" t="n">
        <v>45736</v>
      </c>
      <c r="D370" t="inlineStr">
        <is>
          <t>VÄRMLANDS LÄN</t>
        </is>
      </c>
      <c r="E370" t="inlineStr">
        <is>
          <t>GRUMS</t>
        </is>
      </c>
      <c r="G370" t="n">
        <v>7.3</v>
      </c>
      <c r="H370" t="n">
        <v>1</v>
      </c>
      <c r="I370" t="n">
        <v>0</v>
      </c>
      <c r="J370" t="n">
        <v>0</v>
      </c>
      <c r="K370" t="n">
        <v>0</v>
      </c>
      <c r="L370" t="n">
        <v>0</v>
      </c>
      <c r="M370" t="n">
        <v>0</v>
      </c>
      <c r="N370" t="n">
        <v>0</v>
      </c>
      <c r="O370" t="n">
        <v>0</v>
      </c>
      <c r="P370" t="n">
        <v>0</v>
      </c>
      <c r="Q370" t="n">
        <v>1</v>
      </c>
      <c r="R370" s="2" t="inlineStr">
        <is>
          <t>Orre</t>
        </is>
      </c>
      <c r="S370">
        <f>HYPERLINK("https://klasma.github.io/Logging_1764/artfynd/A 43893-2019 artfynd.xlsx", "A 43893-2019")</f>
        <v/>
      </c>
      <c r="T370">
        <f>HYPERLINK("https://klasma.github.io/Logging_1764/kartor/A 43893-2019 karta.png", "A 43893-2019")</f>
        <v/>
      </c>
      <c r="V370">
        <f>HYPERLINK("https://klasma.github.io/Logging_1764/klagomål/A 43893-2019 FSC-klagomål.docx", "A 43893-2019")</f>
        <v/>
      </c>
      <c r="W370">
        <f>HYPERLINK("https://klasma.github.io/Logging_1764/klagomålsmail/A 43893-2019 FSC-klagomål mail.docx", "A 43893-2019")</f>
        <v/>
      </c>
      <c r="X370">
        <f>HYPERLINK("https://klasma.github.io/Logging_1764/tillsyn/A 43893-2019 tillsynsbegäran.docx", "A 43893-2019")</f>
        <v/>
      </c>
      <c r="Y370">
        <f>HYPERLINK("https://klasma.github.io/Logging_1764/tillsynsmail/A 43893-2019 tillsynsbegäran mail.docx", "A 43893-2019")</f>
        <v/>
      </c>
      <c r="Z370">
        <f>HYPERLINK("https://klasma.github.io/Logging_1764/fåglar/A 43893-2019 prioriterade fågelarter.docx", "A 43893-2019")</f>
        <v/>
      </c>
    </row>
    <row r="371" ht="15" customHeight="1">
      <c r="A371" t="inlineStr">
        <is>
          <t>A 45844-2019</t>
        </is>
      </c>
      <c r="B371" s="1" t="n">
        <v>43717</v>
      </c>
      <c r="C371" s="1" t="n">
        <v>45736</v>
      </c>
      <c r="D371" t="inlineStr">
        <is>
          <t>VÄRMLANDS LÄN</t>
        </is>
      </c>
      <c r="E371" t="inlineStr">
        <is>
          <t>TORSBY</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HYPERLINK("https://klasma.github.io/Logging_1737/artfynd/A 45844-2019 artfynd.xlsx", "A 45844-2019")</f>
        <v/>
      </c>
      <c r="T371">
        <f>HYPERLINK("https://klasma.github.io/Logging_1737/kartor/A 45844-2019 karta.png", "A 45844-2019")</f>
        <v/>
      </c>
      <c r="V371">
        <f>HYPERLINK("https://klasma.github.io/Logging_1737/klagomål/A 45844-2019 FSC-klagomål.docx", "A 45844-2019")</f>
        <v/>
      </c>
      <c r="W371">
        <f>HYPERLINK("https://klasma.github.io/Logging_1737/klagomålsmail/A 45844-2019 FSC-klagomål mail.docx", "A 45844-2019")</f>
        <v/>
      </c>
      <c r="X371">
        <f>HYPERLINK("https://klasma.github.io/Logging_1737/tillsyn/A 45844-2019 tillsynsbegäran.docx", "A 45844-2019")</f>
        <v/>
      </c>
      <c r="Y371">
        <f>HYPERLINK("https://klasma.github.io/Logging_1737/tillsynsmail/A 45844-2019 tillsynsbegäran mail.docx", "A 45844-2019")</f>
        <v/>
      </c>
      <c r="Z371">
        <f>HYPERLINK("https://klasma.github.io/Logging_1737/fåglar/A 45844-2019 prioriterade fågelarter.docx", "A 45844-2019")</f>
        <v/>
      </c>
    </row>
    <row r="372" ht="15" customHeight="1">
      <c r="A372" t="inlineStr">
        <is>
          <t>A 47192-2019</t>
        </is>
      </c>
      <c r="B372" s="1" t="n">
        <v>43721</v>
      </c>
      <c r="C372" s="1" t="n">
        <v>45736</v>
      </c>
      <c r="D372" t="inlineStr">
        <is>
          <t>VÄRMLANDS LÄN</t>
        </is>
      </c>
      <c r="E372" t="inlineStr">
        <is>
          <t>KIL</t>
        </is>
      </c>
      <c r="G372" t="n">
        <v>4.4</v>
      </c>
      <c r="H372" t="n">
        <v>1</v>
      </c>
      <c r="I372" t="n">
        <v>0</v>
      </c>
      <c r="J372" t="n">
        <v>0</v>
      </c>
      <c r="K372" t="n">
        <v>1</v>
      </c>
      <c r="L372" t="n">
        <v>0</v>
      </c>
      <c r="M372" t="n">
        <v>0</v>
      </c>
      <c r="N372" t="n">
        <v>0</v>
      </c>
      <c r="O372" t="n">
        <v>1</v>
      </c>
      <c r="P372" t="n">
        <v>1</v>
      </c>
      <c r="Q372" t="n">
        <v>1</v>
      </c>
      <c r="R372" s="2" t="inlineStr">
        <is>
          <t>Knärot</t>
        </is>
      </c>
      <c r="S372">
        <f>HYPERLINK("https://klasma.github.io/Logging_1715/artfynd/A 47192-2019 artfynd.xlsx", "A 47192-2019")</f>
        <v/>
      </c>
      <c r="T372">
        <f>HYPERLINK("https://klasma.github.io/Logging_1715/kartor/A 47192-2019 karta.png", "A 47192-2019")</f>
        <v/>
      </c>
      <c r="U372">
        <f>HYPERLINK("https://klasma.github.io/Logging_1715/knärot/A 47192-2019 karta knärot.png", "A 47192-2019")</f>
        <v/>
      </c>
      <c r="V372">
        <f>HYPERLINK("https://klasma.github.io/Logging_1715/klagomål/A 47192-2019 FSC-klagomål.docx", "A 47192-2019")</f>
        <v/>
      </c>
      <c r="W372">
        <f>HYPERLINK("https://klasma.github.io/Logging_1715/klagomålsmail/A 47192-2019 FSC-klagomål mail.docx", "A 47192-2019")</f>
        <v/>
      </c>
      <c r="X372">
        <f>HYPERLINK("https://klasma.github.io/Logging_1715/tillsyn/A 47192-2019 tillsynsbegäran.docx", "A 47192-2019")</f>
        <v/>
      </c>
      <c r="Y372">
        <f>HYPERLINK("https://klasma.github.io/Logging_1715/tillsynsmail/A 47192-2019 tillsynsbegäran mail.docx", "A 47192-2019")</f>
        <v/>
      </c>
    </row>
    <row r="373" ht="15" customHeight="1">
      <c r="A373" t="inlineStr">
        <is>
          <t>A 47731-2019</t>
        </is>
      </c>
      <c r="B373" s="1" t="n">
        <v>43724</v>
      </c>
      <c r="C373" s="1" t="n">
        <v>45736</v>
      </c>
      <c r="D373" t="inlineStr">
        <is>
          <t>VÄRMLANDS LÄN</t>
        </is>
      </c>
      <c r="E373" t="inlineStr">
        <is>
          <t>TORSBY</t>
        </is>
      </c>
      <c r="G373" t="n">
        <v>3.5</v>
      </c>
      <c r="H373" t="n">
        <v>1</v>
      </c>
      <c r="I373" t="n">
        <v>0</v>
      </c>
      <c r="J373" t="n">
        <v>1</v>
      </c>
      <c r="K373" t="n">
        <v>0</v>
      </c>
      <c r="L373" t="n">
        <v>0</v>
      </c>
      <c r="M373" t="n">
        <v>0</v>
      </c>
      <c r="N373" t="n">
        <v>0</v>
      </c>
      <c r="O373" t="n">
        <v>1</v>
      </c>
      <c r="P373" t="n">
        <v>0</v>
      </c>
      <c r="Q373" t="n">
        <v>1</v>
      </c>
      <c r="R373" s="2" t="inlineStr">
        <is>
          <t>Gulsparv</t>
        </is>
      </c>
      <c r="S373">
        <f>HYPERLINK("https://klasma.github.io/Logging_1737/artfynd/A 47731-2019 artfynd.xlsx", "A 47731-2019")</f>
        <v/>
      </c>
      <c r="T373">
        <f>HYPERLINK("https://klasma.github.io/Logging_1737/kartor/A 47731-2019 karta.png", "A 47731-2019")</f>
        <v/>
      </c>
      <c r="V373">
        <f>HYPERLINK("https://klasma.github.io/Logging_1737/klagomål/A 47731-2019 FSC-klagomål.docx", "A 47731-2019")</f>
        <v/>
      </c>
      <c r="W373">
        <f>HYPERLINK("https://klasma.github.io/Logging_1737/klagomålsmail/A 47731-2019 FSC-klagomål mail.docx", "A 47731-2019")</f>
        <v/>
      </c>
      <c r="X373">
        <f>HYPERLINK("https://klasma.github.io/Logging_1737/tillsyn/A 47731-2019 tillsynsbegäran.docx", "A 47731-2019")</f>
        <v/>
      </c>
      <c r="Y373">
        <f>HYPERLINK("https://klasma.github.io/Logging_1737/tillsynsmail/A 47731-2019 tillsynsbegäran mail.docx", "A 47731-2019")</f>
        <v/>
      </c>
      <c r="Z373">
        <f>HYPERLINK("https://klasma.github.io/Logging_1737/fåglar/A 47731-2019 prioriterade fågelarter.docx", "A 47731-2019")</f>
        <v/>
      </c>
    </row>
    <row r="374" ht="15" customHeight="1">
      <c r="A374" t="inlineStr">
        <is>
          <t>A 47834-2019</t>
        </is>
      </c>
      <c r="B374" s="1" t="n">
        <v>43725</v>
      </c>
      <c r="C374" s="1" t="n">
        <v>45736</v>
      </c>
      <c r="D374" t="inlineStr">
        <is>
          <t>VÄRMLANDS LÄN</t>
        </is>
      </c>
      <c r="E374" t="inlineStr">
        <is>
          <t>ÅRJÄNG</t>
        </is>
      </c>
      <c r="G374" t="n">
        <v>3</v>
      </c>
      <c r="H374" t="n">
        <v>0</v>
      </c>
      <c r="I374" t="n">
        <v>0</v>
      </c>
      <c r="J374" t="n">
        <v>0</v>
      </c>
      <c r="K374" t="n">
        <v>0</v>
      </c>
      <c r="L374" t="n">
        <v>1</v>
      </c>
      <c r="M374" t="n">
        <v>0</v>
      </c>
      <c r="N374" t="n">
        <v>0</v>
      </c>
      <c r="O374" t="n">
        <v>1</v>
      </c>
      <c r="P374" t="n">
        <v>1</v>
      </c>
      <c r="Q374" t="n">
        <v>1</v>
      </c>
      <c r="R374" s="2" t="inlineStr">
        <is>
          <t>Ask</t>
        </is>
      </c>
      <c r="S374">
        <f>HYPERLINK("https://klasma.github.io/Logging_1765/artfynd/A 47834-2019 artfynd.xlsx", "A 47834-2019")</f>
        <v/>
      </c>
      <c r="T374">
        <f>HYPERLINK("https://klasma.github.io/Logging_1765/kartor/A 47834-2019 karta.png", "A 47834-2019")</f>
        <v/>
      </c>
      <c r="V374">
        <f>HYPERLINK("https://klasma.github.io/Logging_1765/klagomål/A 47834-2019 FSC-klagomål.docx", "A 47834-2019")</f>
        <v/>
      </c>
      <c r="W374">
        <f>HYPERLINK("https://klasma.github.io/Logging_1765/klagomålsmail/A 47834-2019 FSC-klagomål mail.docx", "A 47834-2019")</f>
        <v/>
      </c>
      <c r="X374">
        <f>HYPERLINK("https://klasma.github.io/Logging_1765/tillsyn/A 47834-2019 tillsynsbegäran.docx", "A 47834-2019")</f>
        <v/>
      </c>
      <c r="Y374">
        <f>HYPERLINK("https://klasma.github.io/Logging_1765/tillsynsmail/A 47834-2019 tillsynsbegäran mail.docx", "A 47834-2019")</f>
        <v/>
      </c>
    </row>
    <row r="375" ht="15" customHeight="1">
      <c r="A375" t="inlineStr">
        <is>
          <t>A 48854-2019</t>
        </is>
      </c>
      <c r="B375" s="1" t="n">
        <v>43728</v>
      </c>
      <c r="C375" s="1" t="n">
        <v>45736</v>
      </c>
      <c r="D375" t="inlineStr">
        <is>
          <t>VÄRMLANDS LÄN</t>
        </is>
      </c>
      <c r="E375" t="inlineStr">
        <is>
          <t>ARVIKA</t>
        </is>
      </c>
      <c r="G375" t="n">
        <v>8.1</v>
      </c>
      <c r="H375" t="n">
        <v>1</v>
      </c>
      <c r="I375" t="n">
        <v>0</v>
      </c>
      <c r="J375" t="n">
        <v>0</v>
      </c>
      <c r="K375" t="n">
        <v>1</v>
      </c>
      <c r="L375" t="n">
        <v>0</v>
      </c>
      <c r="M375" t="n">
        <v>0</v>
      </c>
      <c r="N375" t="n">
        <v>0</v>
      </c>
      <c r="O375" t="n">
        <v>1</v>
      </c>
      <c r="P375" t="n">
        <v>1</v>
      </c>
      <c r="Q375" t="n">
        <v>1</v>
      </c>
      <c r="R375" s="2" t="inlineStr">
        <is>
          <t>Knärot</t>
        </is>
      </c>
      <c r="S375">
        <f>HYPERLINK("https://klasma.github.io/Logging_1784/artfynd/A 48854-2019 artfynd.xlsx", "A 48854-2019")</f>
        <v/>
      </c>
      <c r="T375">
        <f>HYPERLINK("https://klasma.github.io/Logging_1784/kartor/A 48854-2019 karta.png", "A 48854-2019")</f>
        <v/>
      </c>
      <c r="U375">
        <f>HYPERLINK("https://klasma.github.io/Logging_1784/knärot/A 48854-2019 karta knärot.png", "A 48854-2019")</f>
        <v/>
      </c>
      <c r="V375">
        <f>HYPERLINK("https://klasma.github.io/Logging_1784/klagomål/A 48854-2019 FSC-klagomål.docx", "A 48854-2019")</f>
        <v/>
      </c>
      <c r="W375">
        <f>HYPERLINK("https://klasma.github.io/Logging_1784/klagomålsmail/A 48854-2019 FSC-klagomål mail.docx", "A 48854-2019")</f>
        <v/>
      </c>
      <c r="X375">
        <f>HYPERLINK("https://klasma.github.io/Logging_1784/tillsyn/A 48854-2019 tillsynsbegäran.docx", "A 48854-2019")</f>
        <v/>
      </c>
      <c r="Y375">
        <f>HYPERLINK("https://klasma.github.io/Logging_1784/tillsynsmail/A 48854-2019 tillsynsbegäran mail.docx", "A 48854-2019")</f>
        <v/>
      </c>
    </row>
    <row r="376" ht="15" customHeight="1">
      <c r="A376" t="inlineStr">
        <is>
          <t>A 49192-2019</t>
        </is>
      </c>
      <c r="B376" s="1" t="n">
        <v>43731</v>
      </c>
      <c r="C376" s="1" t="n">
        <v>45736</v>
      </c>
      <c r="D376" t="inlineStr">
        <is>
          <t>VÄRMLANDS LÄN</t>
        </is>
      </c>
      <c r="E376" t="inlineStr">
        <is>
          <t>ÅRJÄNG</t>
        </is>
      </c>
      <c r="G376" t="n">
        <v>4.4</v>
      </c>
      <c r="H376" t="n">
        <v>1</v>
      </c>
      <c r="I376" t="n">
        <v>0</v>
      </c>
      <c r="J376" t="n">
        <v>0</v>
      </c>
      <c r="K376" t="n">
        <v>0</v>
      </c>
      <c r="L376" t="n">
        <v>0</v>
      </c>
      <c r="M376" t="n">
        <v>0</v>
      </c>
      <c r="N376" t="n">
        <v>0</v>
      </c>
      <c r="O376" t="n">
        <v>0</v>
      </c>
      <c r="P376" t="n">
        <v>0</v>
      </c>
      <c r="Q376" t="n">
        <v>1</v>
      </c>
      <c r="R376" s="2" t="inlineStr">
        <is>
          <t>Blåsippa</t>
        </is>
      </c>
      <c r="S376">
        <f>HYPERLINK("https://klasma.github.io/Logging_1765/artfynd/A 49192-2019 artfynd.xlsx", "A 49192-2019")</f>
        <v/>
      </c>
      <c r="T376">
        <f>HYPERLINK("https://klasma.github.io/Logging_1765/kartor/A 49192-2019 karta.png", "A 49192-2019")</f>
        <v/>
      </c>
      <c r="V376">
        <f>HYPERLINK("https://klasma.github.io/Logging_1765/klagomål/A 49192-2019 FSC-klagomål.docx", "A 49192-2019")</f>
        <v/>
      </c>
      <c r="W376">
        <f>HYPERLINK("https://klasma.github.io/Logging_1765/klagomålsmail/A 49192-2019 FSC-klagomål mail.docx", "A 49192-2019")</f>
        <v/>
      </c>
      <c r="X376">
        <f>HYPERLINK("https://klasma.github.io/Logging_1765/tillsyn/A 49192-2019 tillsynsbegäran.docx", "A 49192-2019")</f>
        <v/>
      </c>
      <c r="Y376">
        <f>HYPERLINK("https://klasma.github.io/Logging_1765/tillsynsmail/A 49192-2019 tillsynsbegäran mail.docx", "A 49192-2019")</f>
        <v/>
      </c>
    </row>
    <row r="377" ht="15" customHeight="1">
      <c r="A377" t="inlineStr">
        <is>
          <t>A 50261-2019</t>
        </is>
      </c>
      <c r="B377" s="1" t="n">
        <v>43734</v>
      </c>
      <c r="C377" s="1" t="n">
        <v>45736</v>
      </c>
      <c r="D377" t="inlineStr">
        <is>
          <t>VÄRMLANDS LÄN</t>
        </is>
      </c>
      <c r="E377" t="inlineStr">
        <is>
          <t>ÅRJÄNG</t>
        </is>
      </c>
      <c r="G377" t="n">
        <v>1.5</v>
      </c>
      <c r="H377" t="n">
        <v>1</v>
      </c>
      <c r="I377" t="n">
        <v>0</v>
      </c>
      <c r="J377" t="n">
        <v>0</v>
      </c>
      <c r="K377" t="n">
        <v>0</v>
      </c>
      <c r="L377" t="n">
        <v>0</v>
      </c>
      <c r="M377" t="n">
        <v>0</v>
      </c>
      <c r="N377" t="n">
        <v>0</v>
      </c>
      <c r="O377" t="n">
        <v>0</v>
      </c>
      <c r="P377" t="n">
        <v>0</v>
      </c>
      <c r="Q377" t="n">
        <v>1</v>
      </c>
      <c r="R377" s="2" t="inlineStr">
        <is>
          <t>Grönvit nattviol</t>
        </is>
      </c>
      <c r="S377">
        <f>HYPERLINK("https://klasma.github.io/Logging_1765/artfynd/A 50261-2019 artfynd.xlsx", "A 50261-2019")</f>
        <v/>
      </c>
      <c r="T377">
        <f>HYPERLINK("https://klasma.github.io/Logging_1765/kartor/A 50261-2019 karta.png", "A 50261-2019")</f>
        <v/>
      </c>
      <c r="V377">
        <f>HYPERLINK("https://klasma.github.io/Logging_1765/klagomål/A 50261-2019 FSC-klagomål.docx", "A 50261-2019")</f>
        <v/>
      </c>
      <c r="W377">
        <f>HYPERLINK("https://klasma.github.io/Logging_1765/klagomålsmail/A 50261-2019 FSC-klagomål mail.docx", "A 50261-2019")</f>
        <v/>
      </c>
      <c r="X377">
        <f>HYPERLINK("https://klasma.github.io/Logging_1765/tillsyn/A 50261-2019 tillsynsbegäran.docx", "A 50261-2019")</f>
        <v/>
      </c>
      <c r="Y377">
        <f>HYPERLINK("https://klasma.github.io/Logging_1765/tillsynsmail/A 50261-2019 tillsynsbegäran mail.docx", "A 50261-2019")</f>
        <v/>
      </c>
    </row>
    <row r="378" ht="15" customHeight="1">
      <c r="A378" t="inlineStr">
        <is>
          <t>A 51021-2019</t>
        </is>
      </c>
      <c r="B378" s="1" t="n">
        <v>43739</v>
      </c>
      <c r="C378" s="1" t="n">
        <v>45736</v>
      </c>
      <c r="D378" t="inlineStr">
        <is>
          <t>VÄRMLANDS LÄN</t>
        </is>
      </c>
      <c r="E378" t="inlineStr">
        <is>
          <t>HAGFORS</t>
        </is>
      </c>
      <c r="F378" t="inlineStr">
        <is>
          <t>Bergvik skog väst AB</t>
        </is>
      </c>
      <c r="G378" t="n">
        <v>18.7</v>
      </c>
      <c r="H378" t="n">
        <v>1</v>
      </c>
      <c r="I378" t="n">
        <v>0</v>
      </c>
      <c r="J378" t="n">
        <v>0</v>
      </c>
      <c r="K378" t="n">
        <v>1</v>
      </c>
      <c r="L378" t="n">
        <v>0</v>
      </c>
      <c r="M378" t="n">
        <v>0</v>
      </c>
      <c r="N378" t="n">
        <v>0</v>
      </c>
      <c r="O378" t="n">
        <v>1</v>
      </c>
      <c r="P378" t="n">
        <v>1</v>
      </c>
      <c r="Q378" t="n">
        <v>1</v>
      </c>
      <c r="R378" s="2" t="inlineStr">
        <is>
          <t>Mellanlummer</t>
        </is>
      </c>
      <c r="S378">
        <f>HYPERLINK("https://klasma.github.io/Logging_1783/artfynd/A 51021-2019 artfynd.xlsx", "A 51021-2019")</f>
        <v/>
      </c>
      <c r="T378">
        <f>HYPERLINK("https://klasma.github.io/Logging_1783/kartor/A 51021-2019 karta.png", "A 51021-2019")</f>
        <v/>
      </c>
      <c r="V378">
        <f>HYPERLINK("https://klasma.github.io/Logging_1783/klagomål/A 51021-2019 FSC-klagomål.docx", "A 51021-2019")</f>
        <v/>
      </c>
      <c r="W378">
        <f>HYPERLINK("https://klasma.github.io/Logging_1783/klagomålsmail/A 51021-2019 FSC-klagomål mail.docx", "A 51021-2019")</f>
        <v/>
      </c>
      <c r="X378">
        <f>HYPERLINK("https://klasma.github.io/Logging_1783/tillsyn/A 51021-2019 tillsynsbegäran.docx", "A 51021-2019")</f>
        <v/>
      </c>
      <c r="Y378">
        <f>HYPERLINK("https://klasma.github.io/Logging_1783/tillsynsmail/A 51021-2019 tillsynsbegäran mail.docx", "A 51021-2019")</f>
        <v/>
      </c>
    </row>
    <row r="379" ht="15" customHeight="1">
      <c r="A379" t="inlineStr">
        <is>
          <t>A 53924-2019</t>
        </is>
      </c>
      <c r="B379" s="1" t="n">
        <v>43742</v>
      </c>
      <c r="C379" s="1" t="n">
        <v>45736</v>
      </c>
      <c r="D379" t="inlineStr">
        <is>
          <t>VÄRMLANDS LÄN</t>
        </is>
      </c>
      <c r="E379" t="inlineStr">
        <is>
          <t>TORSBY</t>
        </is>
      </c>
      <c r="G379" t="n">
        <v>7.1</v>
      </c>
      <c r="H379" t="n">
        <v>1</v>
      </c>
      <c r="I379" t="n">
        <v>0</v>
      </c>
      <c r="J379" t="n">
        <v>0</v>
      </c>
      <c r="K379" t="n">
        <v>0</v>
      </c>
      <c r="L379" t="n">
        <v>0</v>
      </c>
      <c r="M379" t="n">
        <v>0</v>
      </c>
      <c r="N379" t="n">
        <v>0</v>
      </c>
      <c r="O379" t="n">
        <v>0</v>
      </c>
      <c r="P379" t="n">
        <v>0</v>
      </c>
      <c r="Q379" t="n">
        <v>1</v>
      </c>
      <c r="R379" s="2" t="inlineStr">
        <is>
          <t>Fläcknycklar</t>
        </is>
      </c>
      <c r="S379">
        <f>HYPERLINK("https://klasma.github.io/Logging_1737/artfynd/A 53924-2019 artfynd.xlsx", "A 53924-2019")</f>
        <v/>
      </c>
      <c r="T379">
        <f>HYPERLINK("https://klasma.github.io/Logging_1737/kartor/A 53924-2019 karta.png", "A 53924-2019")</f>
        <v/>
      </c>
      <c r="V379">
        <f>HYPERLINK("https://klasma.github.io/Logging_1737/klagomål/A 53924-2019 FSC-klagomål.docx", "A 53924-2019")</f>
        <v/>
      </c>
      <c r="W379">
        <f>HYPERLINK("https://klasma.github.io/Logging_1737/klagomålsmail/A 53924-2019 FSC-klagomål mail.docx", "A 53924-2019")</f>
        <v/>
      </c>
      <c r="X379">
        <f>HYPERLINK("https://klasma.github.io/Logging_1737/tillsyn/A 53924-2019 tillsynsbegäran.docx", "A 53924-2019")</f>
        <v/>
      </c>
      <c r="Y379">
        <f>HYPERLINK("https://klasma.github.io/Logging_1737/tillsynsmail/A 53924-2019 tillsynsbegäran mail.docx", "A 53924-2019")</f>
        <v/>
      </c>
    </row>
    <row r="380" ht="15" customHeight="1">
      <c r="A380" t="inlineStr">
        <is>
          <t>A 55931-2019</t>
        </is>
      </c>
      <c r="B380" s="1" t="n">
        <v>43761</v>
      </c>
      <c r="C380" s="1" t="n">
        <v>45736</v>
      </c>
      <c r="D380" t="inlineStr">
        <is>
          <t>VÄRMLANDS LÄN</t>
        </is>
      </c>
      <c r="E380" t="inlineStr">
        <is>
          <t>ARVIKA</t>
        </is>
      </c>
      <c r="G380" t="n">
        <v>1.1</v>
      </c>
      <c r="H380" t="n">
        <v>0</v>
      </c>
      <c r="I380" t="n">
        <v>0</v>
      </c>
      <c r="J380" t="n">
        <v>0</v>
      </c>
      <c r="K380" t="n">
        <v>1</v>
      </c>
      <c r="L380" t="n">
        <v>0</v>
      </c>
      <c r="M380" t="n">
        <v>0</v>
      </c>
      <c r="N380" t="n">
        <v>0</v>
      </c>
      <c r="O380" t="n">
        <v>1</v>
      </c>
      <c r="P380" t="n">
        <v>1</v>
      </c>
      <c r="Q380" t="n">
        <v>1</v>
      </c>
      <c r="R380" s="2" t="inlineStr">
        <is>
          <t>Blåtryffel</t>
        </is>
      </c>
      <c r="S380">
        <f>HYPERLINK("https://klasma.github.io/Logging_1784/artfynd/A 55931-2019 artfynd.xlsx", "A 55931-2019")</f>
        <v/>
      </c>
      <c r="T380">
        <f>HYPERLINK("https://klasma.github.io/Logging_1784/kartor/A 55931-2019 karta.png", "A 55931-2019")</f>
        <v/>
      </c>
      <c r="V380">
        <f>HYPERLINK("https://klasma.github.io/Logging_1784/klagomål/A 55931-2019 FSC-klagomål.docx", "A 55931-2019")</f>
        <v/>
      </c>
      <c r="W380">
        <f>HYPERLINK("https://klasma.github.io/Logging_1784/klagomålsmail/A 55931-2019 FSC-klagomål mail.docx", "A 55931-2019")</f>
        <v/>
      </c>
      <c r="X380">
        <f>HYPERLINK("https://klasma.github.io/Logging_1784/tillsyn/A 55931-2019 tillsynsbegäran.docx", "A 55931-2019")</f>
        <v/>
      </c>
      <c r="Y380">
        <f>HYPERLINK("https://klasma.github.io/Logging_1784/tillsynsmail/A 55931-2019 tillsynsbegäran mail.docx", "A 55931-2019")</f>
        <v/>
      </c>
    </row>
    <row r="381" ht="15" customHeight="1">
      <c r="A381" t="inlineStr">
        <is>
          <t>A 56545-2019</t>
        </is>
      </c>
      <c r="B381" s="1" t="n">
        <v>43763</v>
      </c>
      <c r="C381" s="1" t="n">
        <v>45736</v>
      </c>
      <c r="D381" t="inlineStr">
        <is>
          <t>VÄRMLANDS LÄN</t>
        </is>
      </c>
      <c r="E381" t="inlineStr">
        <is>
          <t>ÅRJÄNG</t>
        </is>
      </c>
      <c r="G381" t="n">
        <v>3.4</v>
      </c>
      <c r="H381" t="n">
        <v>0</v>
      </c>
      <c r="I381" t="n">
        <v>0</v>
      </c>
      <c r="J381" t="n">
        <v>1</v>
      </c>
      <c r="K381" t="n">
        <v>0</v>
      </c>
      <c r="L381" t="n">
        <v>0</v>
      </c>
      <c r="M381" t="n">
        <v>0</v>
      </c>
      <c r="N381" t="n">
        <v>0</v>
      </c>
      <c r="O381" t="n">
        <v>1</v>
      </c>
      <c r="P381" t="n">
        <v>0</v>
      </c>
      <c r="Q381" t="n">
        <v>1</v>
      </c>
      <c r="R381" s="2" t="inlineStr">
        <is>
          <t>Garnlav</t>
        </is>
      </c>
      <c r="S381">
        <f>HYPERLINK("https://klasma.github.io/Logging_1765/artfynd/A 56545-2019 artfynd.xlsx", "A 56545-2019")</f>
        <v/>
      </c>
      <c r="T381">
        <f>HYPERLINK("https://klasma.github.io/Logging_1765/kartor/A 56545-2019 karta.png", "A 56545-2019")</f>
        <v/>
      </c>
      <c r="V381">
        <f>HYPERLINK("https://klasma.github.io/Logging_1765/klagomål/A 56545-2019 FSC-klagomål.docx", "A 56545-2019")</f>
        <v/>
      </c>
      <c r="W381">
        <f>HYPERLINK("https://klasma.github.io/Logging_1765/klagomålsmail/A 56545-2019 FSC-klagomål mail.docx", "A 56545-2019")</f>
        <v/>
      </c>
      <c r="X381">
        <f>HYPERLINK("https://klasma.github.io/Logging_1765/tillsyn/A 56545-2019 tillsynsbegäran.docx", "A 56545-2019")</f>
        <v/>
      </c>
      <c r="Y381">
        <f>HYPERLINK("https://klasma.github.io/Logging_1765/tillsynsmail/A 56545-2019 tillsynsbegäran mail.docx", "A 56545-2019")</f>
        <v/>
      </c>
    </row>
    <row r="382" ht="15" customHeight="1">
      <c r="A382" t="inlineStr">
        <is>
          <t>A 57014-2019</t>
        </is>
      </c>
      <c r="B382" s="1" t="n">
        <v>43766</v>
      </c>
      <c r="C382" s="1" t="n">
        <v>45736</v>
      </c>
      <c r="D382" t="inlineStr">
        <is>
          <t>VÄRMLANDS LÄN</t>
        </is>
      </c>
      <c r="E382" t="inlineStr">
        <is>
          <t>EDA</t>
        </is>
      </c>
      <c r="G382" t="n">
        <v>1.1</v>
      </c>
      <c r="H382" t="n">
        <v>0</v>
      </c>
      <c r="I382" t="n">
        <v>0</v>
      </c>
      <c r="J382" t="n">
        <v>1</v>
      </c>
      <c r="K382" t="n">
        <v>0</v>
      </c>
      <c r="L382" t="n">
        <v>0</v>
      </c>
      <c r="M382" t="n">
        <v>0</v>
      </c>
      <c r="N382" t="n">
        <v>0</v>
      </c>
      <c r="O382" t="n">
        <v>1</v>
      </c>
      <c r="P382" t="n">
        <v>0</v>
      </c>
      <c r="Q382" t="n">
        <v>1</v>
      </c>
      <c r="R382" s="2" t="inlineStr">
        <is>
          <t>Garnlav</t>
        </is>
      </c>
      <c r="S382">
        <f>HYPERLINK("https://klasma.github.io/Logging_1730/artfynd/A 57014-2019 artfynd.xlsx", "A 57014-2019")</f>
        <v/>
      </c>
      <c r="T382">
        <f>HYPERLINK("https://klasma.github.io/Logging_1730/kartor/A 57014-2019 karta.png", "A 57014-2019")</f>
        <v/>
      </c>
      <c r="V382">
        <f>HYPERLINK("https://klasma.github.io/Logging_1730/klagomål/A 57014-2019 FSC-klagomål.docx", "A 57014-2019")</f>
        <v/>
      </c>
      <c r="W382">
        <f>HYPERLINK("https://klasma.github.io/Logging_1730/klagomålsmail/A 57014-2019 FSC-klagomål mail.docx", "A 57014-2019")</f>
        <v/>
      </c>
      <c r="X382">
        <f>HYPERLINK("https://klasma.github.io/Logging_1730/tillsyn/A 57014-2019 tillsynsbegäran.docx", "A 57014-2019")</f>
        <v/>
      </c>
      <c r="Y382">
        <f>HYPERLINK("https://klasma.github.io/Logging_1730/tillsynsmail/A 57014-2019 tillsynsbegäran mail.docx", "A 57014-2019")</f>
        <v/>
      </c>
    </row>
    <row r="383" ht="15" customHeight="1">
      <c r="A383" t="inlineStr">
        <is>
          <t>A 63767-2019</t>
        </is>
      </c>
      <c r="B383" s="1" t="n">
        <v>43795</v>
      </c>
      <c r="C383" s="1" t="n">
        <v>45736</v>
      </c>
      <c r="D383" t="inlineStr">
        <is>
          <t>VÄRMLANDS LÄN</t>
        </is>
      </c>
      <c r="E383" t="inlineStr">
        <is>
          <t>TORSBY</t>
        </is>
      </c>
      <c r="G383" t="n">
        <v>1.4</v>
      </c>
      <c r="H383" t="n">
        <v>0</v>
      </c>
      <c r="I383" t="n">
        <v>0</v>
      </c>
      <c r="J383" t="n">
        <v>1</v>
      </c>
      <c r="K383" t="n">
        <v>0</v>
      </c>
      <c r="L383" t="n">
        <v>0</v>
      </c>
      <c r="M383" t="n">
        <v>0</v>
      </c>
      <c r="N383" t="n">
        <v>0</v>
      </c>
      <c r="O383" t="n">
        <v>1</v>
      </c>
      <c r="P383" t="n">
        <v>0</v>
      </c>
      <c r="Q383" t="n">
        <v>1</v>
      </c>
      <c r="R383" s="2" t="inlineStr">
        <is>
          <t>Garnlav</t>
        </is>
      </c>
      <c r="S383">
        <f>HYPERLINK("https://klasma.github.io/Logging_1737/artfynd/A 63767-2019 artfynd.xlsx", "A 63767-2019")</f>
        <v/>
      </c>
      <c r="T383">
        <f>HYPERLINK("https://klasma.github.io/Logging_1737/kartor/A 63767-2019 karta.png", "A 63767-2019")</f>
        <v/>
      </c>
      <c r="V383">
        <f>HYPERLINK("https://klasma.github.io/Logging_1737/klagomål/A 63767-2019 FSC-klagomål.docx", "A 63767-2019")</f>
        <v/>
      </c>
      <c r="W383">
        <f>HYPERLINK("https://klasma.github.io/Logging_1737/klagomålsmail/A 63767-2019 FSC-klagomål mail.docx", "A 63767-2019")</f>
        <v/>
      </c>
      <c r="X383">
        <f>HYPERLINK("https://klasma.github.io/Logging_1737/tillsyn/A 63767-2019 tillsynsbegäran.docx", "A 63767-2019")</f>
        <v/>
      </c>
      <c r="Y383">
        <f>HYPERLINK("https://klasma.github.io/Logging_1737/tillsynsmail/A 63767-2019 tillsynsbegäran mail.docx", "A 63767-2019")</f>
        <v/>
      </c>
    </row>
    <row r="384" ht="15" customHeight="1">
      <c r="A384" t="inlineStr">
        <is>
          <t>A 65129-2019</t>
        </is>
      </c>
      <c r="B384" s="1" t="n">
        <v>43802</v>
      </c>
      <c r="C384" s="1" t="n">
        <v>45736</v>
      </c>
      <c r="D384" t="inlineStr">
        <is>
          <t>VÄRMLANDS LÄN</t>
        </is>
      </c>
      <c r="E384" t="inlineStr">
        <is>
          <t>TORSBY</t>
        </is>
      </c>
      <c r="G384" t="n">
        <v>3.3</v>
      </c>
      <c r="H384" t="n">
        <v>0</v>
      </c>
      <c r="I384" t="n">
        <v>0</v>
      </c>
      <c r="J384" t="n">
        <v>1</v>
      </c>
      <c r="K384" t="n">
        <v>0</v>
      </c>
      <c r="L384" t="n">
        <v>0</v>
      </c>
      <c r="M384" t="n">
        <v>0</v>
      </c>
      <c r="N384" t="n">
        <v>0</v>
      </c>
      <c r="O384" t="n">
        <v>1</v>
      </c>
      <c r="P384" t="n">
        <v>0</v>
      </c>
      <c r="Q384" t="n">
        <v>1</v>
      </c>
      <c r="R384" s="2" t="inlineStr">
        <is>
          <t>Garnlav</t>
        </is>
      </c>
      <c r="S384">
        <f>HYPERLINK("https://klasma.github.io/Logging_1737/artfynd/A 65129-2019 artfynd.xlsx", "A 65129-2019")</f>
        <v/>
      </c>
      <c r="T384">
        <f>HYPERLINK("https://klasma.github.io/Logging_1737/kartor/A 65129-2019 karta.png", "A 65129-2019")</f>
        <v/>
      </c>
      <c r="V384">
        <f>HYPERLINK("https://klasma.github.io/Logging_1737/klagomål/A 65129-2019 FSC-klagomål.docx", "A 65129-2019")</f>
        <v/>
      </c>
      <c r="W384">
        <f>HYPERLINK("https://klasma.github.io/Logging_1737/klagomålsmail/A 65129-2019 FSC-klagomål mail.docx", "A 65129-2019")</f>
        <v/>
      </c>
      <c r="X384">
        <f>HYPERLINK("https://klasma.github.io/Logging_1737/tillsyn/A 65129-2019 tillsynsbegäran.docx", "A 65129-2019")</f>
        <v/>
      </c>
      <c r="Y384">
        <f>HYPERLINK("https://klasma.github.io/Logging_1737/tillsynsmail/A 65129-2019 tillsynsbegäran mail.docx", "A 65129-2019")</f>
        <v/>
      </c>
    </row>
    <row r="385" ht="15" customHeight="1">
      <c r="A385" t="inlineStr">
        <is>
          <t>A 65258-2019</t>
        </is>
      </c>
      <c r="B385" s="1" t="n">
        <v>43802</v>
      </c>
      <c r="C385" s="1" t="n">
        <v>45736</v>
      </c>
      <c r="D385" t="inlineStr">
        <is>
          <t>VÄRMLANDS LÄN</t>
        </is>
      </c>
      <c r="E385" t="inlineStr">
        <is>
          <t>FILIPSTAD</t>
        </is>
      </c>
      <c r="F385" t="inlineStr">
        <is>
          <t>Bergvik skog väst AB</t>
        </is>
      </c>
      <c r="G385" t="n">
        <v>35.3</v>
      </c>
      <c r="H385" t="n">
        <v>1</v>
      </c>
      <c r="I385" t="n">
        <v>0</v>
      </c>
      <c r="J385" t="n">
        <v>1</v>
      </c>
      <c r="K385" t="n">
        <v>0</v>
      </c>
      <c r="L385" t="n">
        <v>0</v>
      </c>
      <c r="M385" t="n">
        <v>0</v>
      </c>
      <c r="N385" t="n">
        <v>0</v>
      </c>
      <c r="O385" t="n">
        <v>1</v>
      </c>
      <c r="P385" t="n">
        <v>0</v>
      </c>
      <c r="Q385" t="n">
        <v>1</v>
      </c>
      <c r="R385" s="2" t="inlineStr">
        <is>
          <t>Strandlummer</t>
        </is>
      </c>
      <c r="S385">
        <f>HYPERLINK("https://klasma.github.io/Logging_1782/artfynd/A 65258-2019 artfynd.xlsx", "A 65258-2019")</f>
        <v/>
      </c>
      <c r="T385">
        <f>HYPERLINK("https://klasma.github.io/Logging_1782/kartor/A 65258-2019 karta.png", "A 65258-2019")</f>
        <v/>
      </c>
      <c r="V385">
        <f>HYPERLINK("https://klasma.github.io/Logging_1782/klagomål/A 65258-2019 FSC-klagomål.docx", "A 65258-2019")</f>
        <v/>
      </c>
      <c r="W385">
        <f>HYPERLINK("https://klasma.github.io/Logging_1782/klagomålsmail/A 65258-2019 FSC-klagomål mail.docx", "A 65258-2019")</f>
        <v/>
      </c>
      <c r="X385">
        <f>HYPERLINK("https://klasma.github.io/Logging_1782/tillsyn/A 65258-2019 tillsynsbegäran.docx", "A 65258-2019")</f>
        <v/>
      </c>
      <c r="Y385">
        <f>HYPERLINK("https://klasma.github.io/Logging_1782/tillsynsmail/A 65258-2019 tillsynsbegäran mail.docx", "A 65258-2019")</f>
        <v/>
      </c>
    </row>
    <row r="386" ht="15" customHeight="1">
      <c r="A386" t="inlineStr">
        <is>
          <t>A 66238-2019</t>
        </is>
      </c>
      <c r="B386" s="1" t="n">
        <v>43808</v>
      </c>
      <c r="C386" s="1" t="n">
        <v>45736</v>
      </c>
      <c r="D386" t="inlineStr">
        <is>
          <t>VÄRMLANDS LÄN</t>
        </is>
      </c>
      <c r="E386" t="inlineStr">
        <is>
          <t>SUNNE</t>
        </is>
      </c>
      <c r="G386" t="n">
        <v>7.3</v>
      </c>
      <c r="H386" t="n">
        <v>1</v>
      </c>
      <c r="I386" t="n">
        <v>0</v>
      </c>
      <c r="J386" t="n">
        <v>0</v>
      </c>
      <c r="K386" t="n">
        <v>1</v>
      </c>
      <c r="L386" t="n">
        <v>0</v>
      </c>
      <c r="M386" t="n">
        <v>0</v>
      </c>
      <c r="N386" t="n">
        <v>0</v>
      </c>
      <c r="O386" t="n">
        <v>1</v>
      </c>
      <c r="P386" t="n">
        <v>1</v>
      </c>
      <c r="Q386" t="n">
        <v>1</v>
      </c>
      <c r="R386" s="2" t="inlineStr">
        <is>
          <t>Knärot</t>
        </is>
      </c>
      <c r="S386">
        <f>HYPERLINK("https://klasma.github.io/Logging_1766/artfynd/A 66238-2019 artfynd.xlsx", "A 66238-2019")</f>
        <v/>
      </c>
      <c r="T386">
        <f>HYPERLINK("https://klasma.github.io/Logging_1766/kartor/A 66238-2019 karta.png", "A 66238-2019")</f>
        <v/>
      </c>
      <c r="U386">
        <f>HYPERLINK("https://klasma.github.io/Logging_1766/knärot/A 66238-2019 karta knärot.png", "A 66238-2019")</f>
        <v/>
      </c>
      <c r="V386">
        <f>HYPERLINK("https://klasma.github.io/Logging_1766/klagomål/A 66238-2019 FSC-klagomål.docx", "A 66238-2019")</f>
        <v/>
      </c>
      <c r="W386">
        <f>HYPERLINK("https://klasma.github.io/Logging_1766/klagomålsmail/A 66238-2019 FSC-klagomål mail.docx", "A 66238-2019")</f>
        <v/>
      </c>
      <c r="X386">
        <f>HYPERLINK("https://klasma.github.io/Logging_1766/tillsyn/A 66238-2019 tillsynsbegäran.docx", "A 66238-2019")</f>
        <v/>
      </c>
      <c r="Y386">
        <f>HYPERLINK("https://klasma.github.io/Logging_1766/tillsynsmail/A 66238-2019 tillsynsbegäran mail.docx", "A 66238-2019")</f>
        <v/>
      </c>
    </row>
    <row r="387" ht="15" customHeight="1">
      <c r="A387" t="inlineStr">
        <is>
          <t>A 176-2020</t>
        </is>
      </c>
      <c r="B387" s="1" t="n">
        <v>43833</v>
      </c>
      <c r="C387" s="1" t="n">
        <v>45736</v>
      </c>
      <c r="D387" t="inlineStr">
        <is>
          <t>VÄRMLANDS LÄN</t>
        </is>
      </c>
      <c r="E387" t="inlineStr">
        <is>
          <t>FORSHAGA</t>
        </is>
      </c>
      <c r="F387" t="inlineStr">
        <is>
          <t>Bergvik skog väst AB</t>
        </is>
      </c>
      <c r="G387" t="n">
        <v>8.300000000000001</v>
      </c>
      <c r="H387" t="n">
        <v>1</v>
      </c>
      <c r="I387" t="n">
        <v>0</v>
      </c>
      <c r="J387" t="n">
        <v>0</v>
      </c>
      <c r="K387" t="n">
        <v>0</v>
      </c>
      <c r="L387" t="n">
        <v>0</v>
      </c>
      <c r="M387" t="n">
        <v>0</v>
      </c>
      <c r="N387" t="n">
        <v>0</v>
      </c>
      <c r="O387" t="n">
        <v>0</v>
      </c>
      <c r="P387" t="n">
        <v>0</v>
      </c>
      <c r="Q387" t="n">
        <v>1</v>
      </c>
      <c r="R387" s="2" t="inlineStr">
        <is>
          <t>Vanlig padda</t>
        </is>
      </c>
      <c r="S387">
        <f>HYPERLINK("https://klasma.github.io/Logging_1763/artfynd/A 176-2020 artfynd.xlsx", "A 176-2020")</f>
        <v/>
      </c>
      <c r="T387">
        <f>HYPERLINK("https://klasma.github.io/Logging_1763/kartor/A 176-2020 karta.png", "A 176-2020")</f>
        <v/>
      </c>
      <c r="V387">
        <f>HYPERLINK("https://klasma.github.io/Logging_1763/klagomål/A 176-2020 FSC-klagomål.docx", "A 176-2020")</f>
        <v/>
      </c>
      <c r="W387">
        <f>HYPERLINK("https://klasma.github.io/Logging_1763/klagomålsmail/A 176-2020 FSC-klagomål mail.docx", "A 176-2020")</f>
        <v/>
      </c>
      <c r="X387">
        <f>HYPERLINK("https://klasma.github.io/Logging_1763/tillsyn/A 176-2020 tillsynsbegäran.docx", "A 176-2020")</f>
        <v/>
      </c>
      <c r="Y387">
        <f>HYPERLINK("https://klasma.github.io/Logging_1763/tillsynsmail/A 176-2020 tillsynsbegäran mail.docx", "A 176-2020")</f>
        <v/>
      </c>
    </row>
    <row r="388" ht="15" customHeight="1">
      <c r="A388" t="inlineStr">
        <is>
          <t>A 238-2020</t>
        </is>
      </c>
      <c r="B388" s="1" t="n">
        <v>43835</v>
      </c>
      <c r="C388" s="1" t="n">
        <v>45736</v>
      </c>
      <c r="D388" t="inlineStr">
        <is>
          <t>VÄRMLANDS LÄN</t>
        </is>
      </c>
      <c r="E388" t="inlineStr">
        <is>
          <t>ARVIKA</t>
        </is>
      </c>
      <c r="G388" t="n">
        <v>1.3</v>
      </c>
      <c r="H388" t="n">
        <v>1</v>
      </c>
      <c r="I388" t="n">
        <v>0</v>
      </c>
      <c r="J388" t="n">
        <v>0</v>
      </c>
      <c r="K388" t="n">
        <v>1</v>
      </c>
      <c r="L388" t="n">
        <v>0</v>
      </c>
      <c r="M388" t="n">
        <v>0</v>
      </c>
      <c r="N388" t="n">
        <v>0</v>
      </c>
      <c r="O388" t="n">
        <v>1</v>
      </c>
      <c r="P388" t="n">
        <v>1</v>
      </c>
      <c r="Q388" t="n">
        <v>1</v>
      </c>
      <c r="R388" s="2" t="inlineStr">
        <is>
          <t>Knärot</t>
        </is>
      </c>
      <c r="S388">
        <f>HYPERLINK("https://klasma.github.io/Logging_1784/artfynd/A 238-2020 artfynd.xlsx", "A 238-2020")</f>
        <v/>
      </c>
      <c r="T388">
        <f>HYPERLINK("https://klasma.github.io/Logging_1784/kartor/A 238-2020 karta.png", "A 238-2020")</f>
        <v/>
      </c>
      <c r="U388">
        <f>HYPERLINK("https://klasma.github.io/Logging_1784/knärot/A 238-2020 karta knärot.png", "A 238-2020")</f>
        <v/>
      </c>
      <c r="V388">
        <f>HYPERLINK("https://klasma.github.io/Logging_1784/klagomål/A 238-2020 FSC-klagomål.docx", "A 238-2020")</f>
        <v/>
      </c>
      <c r="W388">
        <f>HYPERLINK("https://klasma.github.io/Logging_1784/klagomålsmail/A 238-2020 FSC-klagomål mail.docx", "A 238-2020")</f>
        <v/>
      </c>
      <c r="X388">
        <f>HYPERLINK("https://klasma.github.io/Logging_1784/tillsyn/A 238-2020 tillsynsbegäran.docx", "A 238-2020")</f>
        <v/>
      </c>
      <c r="Y388">
        <f>HYPERLINK("https://klasma.github.io/Logging_1784/tillsynsmail/A 238-2020 tillsynsbegäran mail.docx", "A 238-2020")</f>
        <v/>
      </c>
    </row>
    <row r="389" ht="15" customHeight="1">
      <c r="A389" t="inlineStr">
        <is>
          <t>A 2116-2020</t>
        </is>
      </c>
      <c r="B389" s="1" t="n">
        <v>43839</v>
      </c>
      <c r="C389" s="1" t="n">
        <v>45736</v>
      </c>
      <c r="D389" t="inlineStr">
        <is>
          <t>VÄRMLANDS LÄN</t>
        </is>
      </c>
      <c r="E389" t="inlineStr">
        <is>
          <t>ÅRJÄNG</t>
        </is>
      </c>
      <c r="G389" t="n">
        <v>3</v>
      </c>
      <c r="H389" t="n">
        <v>0</v>
      </c>
      <c r="I389" t="n">
        <v>0</v>
      </c>
      <c r="J389" t="n">
        <v>0</v>
      </c>
      <c r="K389" t="n">
        <v>0</v>
      </c>
      <c r="L389" t="n">
        <v>1</v>
      </c>
      <c r="M389" t="n">
        <v>0</v>
      </c>
      <c r="N389" t="n">
        <v>0</v>
      </c>
      <c r="O389" t="n">
        <v>1</v>
      </c>
      <c r="P389" t="n">
        <v>1</v>
      </c>
      <c r="Q389" t="n">
        <v>1</v>
      </c>
      <c r="R389" s="2" t="inlineStr">
        <is>
          <t>Ask</t>
        </is>
      </c>
      <c r="S389">
        <f>HYPERLINK("https://klasma.github.io/Logging_1765/artfynd/A 2116-2020 artfynd.xlsx", "A 2116-2020")</f>
        <v/>
      </c>
      <c r="T389">
        <f>HYPERLINK("https://klasma.github.io/Logging_1765/kartor/A 2116-2020 karta.png", "A 2116-2020")</f>
        <v/>
      </c>
      <c r="V389">
        <f>HYPERLINK("https://klasma.github.io/Logging_1765/klagomål/A 2116-2020 FSC-klagomål.docx", "A 2116-2020")</f>
        <v/>
      </c>
      <c r="W389">
        <f>HYPERLINK("https://klasma.github.io/Logging_1765/klagomålsmail/A 2116-2020 FSC-klagomål mail.docx", "A 2116-2020")</f>
        <v/>
      </c>
      <c r="X389">
        <f>HYPERLINK("https://klasma.github.io/Logging_1765/tillsyn/A 2116-2020 tillsynsbegäran.docx", "A 2116-2020")</f>
        <v/>
      </c>
      <c r="Y389">
        <f>HYPERLINK("https://klasma.github.io/Logging_1765/tillsynsmail/A 2116-2020 tillsynsbegäran mail.docx", "A 2116-2020")</f>
        <v/>
      </c>
    </row>
    <row r="390" ht="15" customHeight="1">
      <c r="A390" t="inlineStr">
        <is>
          <t>A 2358-2020</t>
        </is>
      </c>
      <c r="B390" s="1" t="n">
        <v>43846</v>
      </c>
      <c r="C390" s="1" t="n">
        <v>45736</v>
      </c>
      <c r="D390" t="inlineStr">
        <is>
          <t>VÄRMLANDS LÄN</t>
        </is>
      </c>
      <c r="E390" t="inlineStr">
        <is>
          <t>FORSHAGA</t>
        </is>
      </c>
      <c r="F390" t="inlineStr">
        <is>
          <t>Bergvik skog väst AB</t>
        </is>
      </c>
      <c r="G390" t="n">
        <v>18.7</v>
      </c>
      <c r="H390" t="n">
        <v>1</v>
      </c>
      <c r="I390" t="n">
        <v>0</v>
      </c>
      <c r="J390" t="n">
        <v>0</v>
      </c>
      <c r="K390" t="n">
        <v>0</v>
      </c>
      <c r="L390" t="n">
        <v>0</v>
      </c>
      <c r="M390" t="n">
        <v>0</v>
      </c>
      <c r="N390" t="n">
        <v>0</v>
      </c>
      <c r="O390" t="n">
        <v>0</v>
      </c>
      <c r="P390" t="n">
        <v>0</v>
      </c>
      <c r="Q390" t="n">
        <v>1</v>
      </c>
      <c r="R390" s="2" t="inlineStr">
        <is>
          <t>Mattlummer</t>
        </is>
      </c>
      <c r="S390">
        <f>HYPERLINK("https://klasma.github.io/Logging_1763/artfynd/A 2358-2020 artfynd.xlsx", "A 2358-2020")</f>
        <v/>
      </c>
      <c r="T390">
        <f>HYPERLINK("https://klasma.github.io/Logging_1763/kartor/A 2358-2020 karta.png", "A 2358-2020")</f>
        <v/>
      </c>
      <c r="V390">
        <f>HYPERLINK("https://klasma.github.io/Logging_1763/klagomål/A 2358-2020 FSC-klagomål.docx", "A 2358-2020")</f>
        <v/>
      </c>
      <c r="W390">
        <f>HYPERLINK("https://klasma.github.io/Logging_1763/klagomålsmail/A 2358-2020 FSC-klagomål mail.docx", "A 2358-2020")</f>
        <v/>
      </c>
      <c r="X390">
        <f>HYPERLINK("https://klasma.github.io/Logging_1763/tillsyn/A 2358-2020 tillsynsbegäran.docx", "A 2358-2020")</f>
        <v/>
      </c>
      <c r="Y390">
        <f>HYPERLINK("https://klasma.github.io/Logging_1763/tillsynsmail/A 2358-2020 tillsynsbegäran mail.docx", "A 2358-2020")</f>
        <v/>
      </c>
    </row>
    <row r="391" ht="15" customHeight="1">
      <c r="A391" t="inlineStr">
        <is>
          <t>A 6299-2020</t>
        </is>
      </c>
      <c r="B391" s="1" t="n">
        <v>43866</v>
      </c>
      <c r="C391" s="1" t="n">
        <v>45736</v>
      </c>
      <c r="D391" t="inlineStr">
        <is>
          <t>VÄRMLANDS LÄN</t>
        </is>
      </c>
      <c r="E391" t="inlineStr">
        <is>
          <t>KARLSTAD</t>
        </is>
      </c>
      <c r="F391" t="inlineStr">
        <is>
          <t>Kommuner</t>
        </is>
      </c>
      <c r="G391" t="n">
        <v>0.6</v>
      </c>
      <c r="H391" t="n">
        <v>1</v>
      </c>
      <c r="I391" t="n">
        <v>0</v>
      </c>
      <c r="J391" t="n">
        <v>0</v>
      </c>
      <c r="K391" t="n">
        <v>0</v>
      </c>
      <c r="L391" t="n">
        <v>0</v>
      </c>
      <c r="M391" t="n">
        <v>0</v>
      </c>
      <c r="N391" t="n">
        <v>0</v>
      </c>
      <c r="O391" t="n">
        <v>0</v>
      </c>
      <c r="P391" t="n">
        <v>0</v>
      </c>
      <c r="Q391" t="n">
        <v>1</v>
      </c>
      <c r="R391" s="2" t="inlineStr">
        <is>
          <t>Vanlig groda</t>
        </is>
      </c>
      <c r="S391">
        <f>HYPERLINK("https://klasma.github.io/Logging_1780/artfynd/A 6299-2020 artfynd.xlsx", "A 6299-2020")</f>
        <v/>
      </c>
      <c r="T391">
        <f>HYPERLINK("https://klasma.github.io/Logging_1780/kartor/A 6299-2020 karta.png", "A 6299-2020")</f>
        <v/>
      </c>
      <c r="V391">
        <f>HYPERLINK("https://klasma.github.io/Logging_1780/klagomål/A 6299-2020 FSC-klagomål.docx", "A 6299-2020")</f>
        <v/>
      </c>
      <c r="W391">
        <f>HYPERLINK("https://klasma.github.io/Logging_1780/klagomålsmail/A 6299-2020 FSC-klagomål mail.docx", "A 6299-2020")</f>
        <v/>
      </c>
      <c r="X391">
        <f>HYPERLINK("https://klasma.github.io/Logging_1780/tillsyn/A 6299-2020 tillsynsbegäran.docx", "A 6299-2020")</f>
        <v/>
      </c>
      <c r="Y391">
        <f>HYPERLINK("https://klasma.github.io/Logging_1780/tillsynsmail/A 6299-2020 tillsynsbegäran mail.docx", "A 6299-2020")</f>
        <v/>
      </c>
    </row>
    <row r="392" ht="15" customHeight="1">
      <c r="A392" t="inlineStr">
        <is>
          <t>A 10040-2020</t>
        </is>
      </c>
      <c r="B392" s="1" t="n">
        <v>43882</v>
      </c>
      <c r="C392" s="1" t="n">
        <v>45736</v>
      </c>
      <c r="D392" t="inlineStr">
        <is>
          <t>VÄRMLANDS LÄN</t>
        </is>
      </c>
      <c r="E392" t="inlineStr">
        <is>
          <t>SÄFFLE</t>
        </is>
      </c>
      <c r="G392" t="n">
        <v>1.7</v>
      </c>
      <c r="H392" t="n">
        <v>1</v>
      </c>
      <c r="I392" t="n">
        <v>0</v>
      </c>
      <c r="J392" t="n">
        <v>0</v>
      </c>
      <c r="K392" t="n">
        <v>0</v>
      </c>
      <c r="L392" t="n">
        <v>0</v>
      </c>
      <c r="M392" t="n">
        <v>0</v>
      </c>
      <c r="N392" t="n">
        <v>0</v>
      </c>
      <c r="O392" t="n">
        <v>0</v>
      </c>
      <c r="P392" t="n">
        <v>0</v>
      </c>
      <c r="Q392" t="n">
        <v>1</v>
      </c>
      <c r="R392" s="2" t="inlineStr">
        <is>
          <t>Vanlig groda</t>
        </is>
      </c>
      <c r="S392">
        <f>HYPERLINK("https://klasma.github.io/Logging_1785/artfynd/A 10040-2020 artfynd.xlsx", "A 10040-2020")</f>
        <v/>
      </c>
      <c r="T392">
        <f>HYPERLINK("https://klasma.github.io/Logging_1785/kartor/A 10040-2020 karta.png", "A 10040-2020")</f>
        <v/>
      </c>
      <c r="V392">
        <f>HYPERLINK("https://klasma.github.io/Logging_1785/klagomål/A 10040-2020 FSC-klagomål.docx", "A 10040-2020")</f>
        <v/>
      </c>
      <c r="W392">
        <f>HYPERLINK("https://klasma.github.io/Logging_1785/klagomålsmail/A 10040-2020 FSC-klagomål mail.docx", "A 10040-2020")</f>
        <v/>
      </c>
      <c r="X392">
        <f>HYPERLINK("https://klasma.github.io/Logging_1785/tillsyn/A 10040-2020 tillsynsbegäran.docx", "A 10040-2020")</f>
        <v/>
      </c>
      <c r="Y392">
        <f>HYPERLINK("https://klasma.github.io/Logging_1785/tillsynsmail/A 10040-2020 tillsynsbegäran mail.docx", "A 10040-2020")</f>
        <v/>
      </c>
    </row>
    <row r="393" ht="15" customHeight="1">
      <c r="A393" t="inlineStr">
        <is>
          <t>A 9988-2020</t>
        </is>
      </c>
      <c r="B393" s="1" t="n">
        <v>43882</v>
      </c>
      <c r="C393" s="1" t="n">
        <v>45736</v>
      </c>
      <c r="D393" t="inlineStr">
        <is>
          <t>VÄRMLANDS LÄN</t>
        </is>
      </c>
      <c r="E393" t="inlineStr">
        <is>
          <t>SUNNE</t>
        </is>
      </c>
      <c r="G393" t="n">
        <v>4.9</v>
      </c>
      <c r="H393" t="n">
        <v>1</v>
      </c>
      <c r="I393" t="n">
        <v>0</v>
      </c>
      <c r="J393" t="n">
        <v>0</v>
      </c>
      <c r="K393" t="n">
        <v>0</v>
      </c>
      <c r="L393" t="n">
        <v>1</v>
      </c>
      <c r="M393" t="n">
        <v>0</v>
      </c>
      <c r="N393" t="n">
        <v>0</v>
      </c>
      <c r="O393" t="n">
        <v>1</v>
      </c>
      <c r="P393" t="n">
        <v>1</v>
      </c>
      <c r="Q393" t="n">
        <v>1</v>
      </c>
      <c r="R393" s="2" t="inlineStr">
        <is>
          <t>Storspov</t>
        </is>
      </c>
      <c r="S393">
        <f>HYPERLINK("https://klasma.github.io/Logging_1766/artfynd/A 9988-2020 artfynd.xlsx", "A 9988-2020")</f>
        <v/>
      </c>
      <c r="T393">
        <f>HYPERLINK("https://klasma.github.io/Logging_1766/kartor/A 9988-2020 karta.png", "A 9988-2020")</f>
        <v/>
      </c>
      <c r="V393">
        <f>HYPERLINK("https://klasma.github.io/Logging_1766/klagomål/A 9988-2020 FSC-klagomål.docx", "A 9988-2020")</f>
        <v/>
      </c>
      <c r="W393">
        <f>HYPERLINK("https://klasma.github.io/Logging_1766/klagomålsmail/A 9988-2020 FSC-klagomål mail.docx", "A 9988-2020")</f>
        <v/>
      </c>
      <c r="X393">
        <f>HYPERLINK("https://klasma.github.io/Logging_1766/tillsyn/A 9988-2020 tillsynsbegäran.docx", "A 9988-2020")</f>
        <v/>
      </c>
      <c r="Y393">
        <f>HYPERLINK("https://klasma.github.io/Logging_1766/tillsynsmail/A 9988-2020 tillsynsbegäran mail.docx", "A 9988-2020")</f>
        <v/>
      </c>
    </row>
    <row r="394" ht="15" customHeight="1">
      <c r="A394" t="inlineStr">
        <is>
          <t>A 10858-2020</t>
        </is>
      </c>
      <c r="B394" s="1" t="n">
        <v>43889</v>
      </c>
      <c r="C394" s="1" t="n">
        <v>45736</v>
      </c>
      <c r="D394" t="inlineStr">
        <is>
          <t>VÄRMLANDS LÄN</t>
        </is>
      </c>
      <c r="E394" t="inlineStr">
        <is>
          <t>ARVIKA</t>
        </is>
      </c>
      <c r="G394" t="n">
        <v>2.8</v>
      </c>
      <c r="H394" t="n">
        <v>0</v>
      </c>
      <c r="I394" t="n">
        <v>0</v>
      </c>
      <c r="J394" t="n">
        <v>1</v>
      </c>
      <c r="K394" t="n">
        <v>0</v>
      </c>
      <c r="L394" t="n">
        <v>0</v>
      </c>
      <c r="M394" t="n">
        <v>0</v>
      </c>
      <c r="N394" t="n">
        <v>0</v>
      </c>
      <c r="O394" t="n">
        <v>1</v>
      </c>
      <c r="P394" t="n">
        <v>0</v>
      </c>
      <c r="Q394" t="n">
        <v>1</v>
      </c>
      <c r="R394" s="2" t="inlineStr">
        <is>
          <t>Lunglav</t>
        </is>
      </c>
      <c r="S394">
        <f>HYPERLINK("https://klasma.github.io/Logging_1784/artfynd/A 10858-2020 artfynd.xlsx", "A 10858-2020")</f>
        <v/>
      </c>
      <c r="T394">
        <f>HYPERLINK("https://klasma.github.io/Logging_1784/kartor/A 10858-2020 karta.png", "A 10858-2020")</f>
        <v/>
      </c>
      <c r="V394">
        <f>HYPERLINK("https://klasma.github.io/Logging_1784/klagomål/A 10858-2020 FSC-klagomål.docx", "A 10858-2020")</f>
        <v/>
      </c>
      <c r="W394">
        <f>HYPERLINK("https://klasma.github.io/Logging_1784/klagomålsmail/A 10858-2020 FSC-klagomål mail.docx", "A 10858-2020")</f>
        <v/>
      </c>
      <c r="X394">
        <f>HYPERLINK("https://klasma.github.io/Logging_1784/tillsyn/A 10858-2020 tillsynsbegäran.docx", "A 10858-2020")</f>
        <v/>
      </c>
      <c r="Y394">
        <f>HYPERLINK("https://klasma.github.io/Logging_1784/tillsynsmail/A 10858-2020 tillsynsbegäran mail.docx", "A 10858-2020")</f>
        <v/>
      </c>
    </row>
    <row r="395" ht="15" customHeight="1">
      <c r="A395" t="inlineStr">
        <is>
          <t>A 13461-2020</t>
        </is>
      </c>
      <c r="B395" s="1" t="n">
        <v>43902</v>
      </c>
      <c r="C395" s="1" t="n">
        <v>45736</v>
      </c>
      <c r="D395" t="inlineStr">
        <is>
          <t>VÄRMLANDS LÄN</t>
        </is>
      </c>
      <c r="E395" t="inlineStr">
        <is>
          <t>ARVIKA</t>
        </is>
      </c>
      <c r="G395" t="n">
        <v>1.9</v>
      </c>
      <c r="H395" t="n">
        <v>1</v>
      </c>
      <c r="I395" t="n">
        <v>0</v>
      </c>
      <c r="J395" t="n">
        <v>0</v>
      </c>
      <c r="K395" t="n">
        <v>1</v>
      </c>
      <c r="L395" t="n">
        <v>0</v>
      </c>
      <c r="M395" t="n">
        <v>0</v>
      </c>
      <c r="N395" t="n">
        <v>0</v>
      </c>
      <c r="O395" t="n">
        <v>1</v>
      </c>
      <c r="P395" t="n">
        <v>1</v>
      </c>
      <c r="Q395" t="n">
        <v>1</v>
      </c>
      <c r="R395" s="2" t="inlineStr">
        <is>
          <t>Knärot</t>
        </is>
      </c>
      <c r="S395">
        <f>HYPERLINK("https://klasma.github.io/Logging_1784/artfynd/A 13461-2020 artfynd.xlsx", "A 13461-2020")</f>
        <v/>
      </c>
      <c r="T395">
        <f>HYPERLINK("https://klasma.github.io/Logging_1784/kartor/A 13461-2020 karta.png", "A 13461-2020")</f>
        <v/>
      </c>
      <c r="U395">
        <f>HYPERLINK("https://klasma.github.io/Logging_1784/knärot/A 13461-2020 karta knärot.png", "A 13461-2020")</f>
        <v/>
      </c>
      <c r="V395">
        <f>HYPERLINK("https://klasma.github.io/Logging_1784/klagomål/A 13461-2020 FSC-klagomål.docx", "A 13461-2020")</f>
        <v/>
      </c>
      <c r="W395">
        <f>HYPERLINK("https://klasma.github.io/Logging_1784/klagomålsmail/A 13461-2020 FSC-klagomål mail.docx", "A 13461-2020")</f>
        <v/>
      </c>
      <c r="X395">
        <f>HYPERLINK("https://klasma.github.io/Logging_1784/tillsyn/A 13461-2020 tillsynsbegäran.docx", "A 13461-2020")</f>
        <v/>
      </c>
      <c r="Y395">
        <f>HYPERLINK("https://klasma.github.io/Logging_1784/tillsynsmail/A 13461-2020 tillsynsbegäran mail.docx", "A 13461-2020")</f>
        <v/>
      </c>
    </row>
    <row r="396" ht="15" customHeight="1">
      <c r="A396" t="inlineStr">
        <is>
          <t>A 16031-2020</t>
        </is>
      </c>
      <c r="B396" s="1" t="n">
        <v>43915</v>
      </c>
      <c r="C396" s="1" t="n">
        <v>45736</v>
      </c>
      <c r="D396" t="inlineStr">
        <is>
          <t>VÄRMLANDS LÄN</t>
        </is>
      </c>
      <c r="E396" t="inlineStr">
        <is>
          <t>KRISTINEHAMN</t>
        </is>
      </c>
      <c r="G396" t="n">
        <v>9.199999999999999</v>
      </c>
      <c r="H396" t="n">
        <v>1</v>
      </c>
      <c r="I396" t="n">
        <v>0</v>
      </c>
      <c r="J396" t="n">
        <v>0</v>
      </c>
      <c r="K396" t="n">
        <v>1</v>
      </c>
      <c r="L396" t="n">
        <v>0</v>
      </c>
      <c r="M396" t="n">
        <v>0</v>
      </c>
      <c r="N396" t="n">
        <v>0</v>
      </c>
      <c r="O396" t="n">
        <v>1</v>
      </c>
      <c r="P396" t="n">
        <v>1</v>
      </c>
      <c r="Q396" t="n">
        <v>1</v>
      </c>
      <c r="R396" s="2" t="inlineStr">
        <is>
          <t>Bombmurkla</t>
        </is>
      </c>
      <c r="S396">
        <f>HYPERLINK("https://klasma.github.io/Logging_1781/artfynd/A 16031-2020 artfynd.xlsx", "A 16031-2020")</f>
        <v/>
      </c>
      <c r="T396">
        <f>HYPERLINK("https://klasma.github.io/Logging_1781/kartor/A 16031-2020 karta.png", "A 16031-2020")</f>
        <v/>
      </c>
      <c r="V396">
        <f>HYPERLINK("https://klasma.github.io/Logging_1781/klagomål/A 16031-2020 FSC-klagomål.docx", "A 16031-2020")</f>
        <v/>
      </c>
      <c r="W396">
        <f>HYPERLINK("https://klasma.github.io/Logging_1781/klagomålsmail/A 16031-2020 FSC-klagomål mail.docx", "A 16031-2020")</f>
        <v/>
      </c>
      <c r="X396">
        <f>HYPERLINK("https://klasma.github.io/Logging_1781/tillsyn/A 16031-2020 tillsynsbegäran.docx", "A 16031-2020")</f>
        <v/>
      </c>
      <c r="Y396">
        <f>HYPERLINK("https://klasma.github.io/Logging_1781/tillsynsmail/A 16031-2020 tillsynsbegäran mail.docx", "A 16031-2020")</f>
        <v/>
      </c>
    </row>
    <row r="397" ht="15" customHeight="1">
      <c r="A397" t="inlineStr">
        <is>
          <t>A 18075-2020</t>
        </is>
      </c>
      <c r="B397" s="1" t="n">
        <v>43927</v>
      </c>
      <c r="C397" s="1" t="n">
        <v>45736</v>
      </c>
      <c r="D397" t="inlineStr">
        <is>
          <t>VÄRMLANDS LÄN</t>
        </is>
      </c>
      <c r="E397" t="inlineStr">
        <is>
          <t>KARLSTAD</t>
        </is>
      </c>
      <c r="G397" t="n">
        <v>1.3</v>
      </c>
      <c r="H397" t="n">
        <v>0</v>
      </c>
      <c r="I397" t="n">
        <v>1</v>
      </c>
      <c r="J397" t="n">
        <v>0</v>
      </c>
      <c r="K397" t="n">
        <v>0</v>
      </c>
      <c r="L397" t="n">
        <v>0</v>
      </c>
      <c r="M397" t="n">
        <v>0</v>
      </c>
      <c r="N397" t="n">
        <v>0</v>
      </c>
      <c r="O397" t="n">
        <v>0</v>
      </c>
      <c r="P397" t="n">
        <v>0</v>
      </c>
      <c r="Q397" t="n">
        <v>1</v>
      </c>
      <c r="R397" s="2" t="inlineStr">
        <is>
          <t>Vedticka</t>
        </is>
      </c>
      <c r="S397">
        <f>HYPERLINK("https://klasma.github.io/Logging_1780/artfynd/A 18075-2020 artfynd.xlsx", "A 18075-2020")</f>
        <v/>
      </c>
      <c r="T397">
        <f>HYPERLINK("https://klasma.github.io/Logging_1780/kartor/A 18075-2020 karta.png", "A 18075-2020")</f>
        <v/>
      </c>
      <c r="V397">
        <f>HYPERLINK("https://klasma.github.io/Logging_1780/klagomål/A 18075-2020 FSC-klagomål.docx", "A 18075-2020")</f>
        <v/>
      </c>
      <c r="W397">
        <f>HYPERLINK("https://klasma.github.io/Logging_1780/klagomålsmail/A 18075-2020 FSC-klagomål mail.docx", "A 18075-2020")</f>
        <v/>
      </c>
      <c r="X397">
        <f>HYPERLINK("https://klasma.github.io/Logging_1780/tillsyn/A 18075-2020 tillsynsbegäran.docx", "A 18075-2020")</f>
        <v/>
      </c>
      <c r="Y397">
        <f>HYPERLINK("https://klasma.github.io/Logging_1780/tillsynsmail/A 18075-2020 tillsynsbegäran mail.docx", "A 18075-2020")</f>
        <v/>
      </c>
    </row>
    <row r="398" ht="15" customHeight="1">
      <c r="A398" t="inlineStr">
        <is>
          <t>A 22217-2020</t>
        </is>
      </c>
      <c r="B398" s="1" t="n">
        <v>43955</v>
      </c>
      <c r="C398" s="1" t="n">
        <v>45736</v>
      </c>
      <c r="D398" t="inlineStr">
        <is>
          <t>VÄRMLANDS LÄN</t>
        </is>
      </c>
      <c r="E398" t="inlineStr">
        <is>
          <t>KRISTINEHAMN</t>
        </is>
      </c>
      <c r="G398" t="n">
        <v>7.3</v>
      </c>
      <c r="H398" t="n">
        <v>0</v>
      </c>
      <c r="I398" t="n">
        <v>0</v>
      </c>
      <c r="J398" t="n">
        <v>1</v>
      </c>
      <c r="K398" t="n">
        <v>0</v>
      </c>
      <c r="L398" t="n">
        <v>0</v>
      </c>
      <c r="M398" t="n">
        <v>0</v>
      </c>
      <c r="N398" t="n">
        <v>0</v>
      </c>
      <c r="O398" t="n">
        <v>1</v>
      </c>
      <c r="P398" t="n">
        <v>0</v>
      </c>
      <c r="Q398" t="n">
        <v>1</v>
      </c>
      <c r="R398" s="2" t="inlineStr">
        <is>
          <t>Klofibbla</t>
        </is>
      </c>
      <c r="S398">
        <f>HYPERLINK("https://klasma.github.io/Logging_1781/artfynd/A 22217-2020 artfynd.xlsx", "A 22217-2020")</f>
        <v/>
      </c>
      <c r="T398">
        <f>HYPERLINK("https://klasma.github.io/Logging_1781/kartor/A 22217-2020 karta.png", "A 22217-2020")</f>
        <v/>
      </c>
      <c r="V398">
        <f>HYPERLINK("https://klasma.github.io/Logging_1781/klagomål/A 22217-2020 FSC-klagomål.docx", "A 22217-2020")</f>
        <v/>
      </c>
      <c r="W398">
        <f>HYPERLINK("https://klasma.github.io/Logging_1781/klagomålsmail/A 22217-2020 FSC-klagomål mail.docx", "A 22217-2020")</f>
        <v/>
      </c>
      <c r="X398">
        <f>HYPERLINK("https://klasma.github.io/Logging_1781/tillsyn/A 22217-2020 tillsynsbegäran.docx", "A 22217-2020")</f>
        <v/>
      </c>
      <c r="Y398">
        <f>HYPERLINK("https://klasma.github.io/Logging_1781/tillsynsmail/A 22217-2020 tillsynsbegäran mail.docx", "A 22217-2020")</f>
        <v/>
      </c>
    </row>
    <row r="399" ht="15" customHeight="1">
      <c r="A399" t="inlineStr">
        <is>
          <t>A 28368-2020</t>
        </is>
      </c>
      <c r="B399" s="1" t="n">
        <v>43998</v>
      </c>
      <c r="C399" s="1" t="n">
        <v>45736</v>
      </c>
      <c r="D399" t="inlineStr">
        <is>
          <t>VÄRMLANDS LÄN</t>
        </is>
      </c>
      <c r="E399" t="inlineStr">
        <is>
          <t>KARLSTAD</t>
        </is>
      </c>
      <c r="G399" t="n">
        <v>1.7</v>
      </c>
      <c r="H399" t="n">
        <v>0</v>
      </c>
      <c r="I399" t="n">
        <v>1</v>
      </c>
      <c r="J399" t="n">
        <v>0</v>
      </c>
      <c r="K399" t="n">
        <v>0</v>
      </c>
      <c r="L399" t="n">
        <v>0</v>
      </c>
      <c r="M399" t="n">
        <v>0</v>
      </c>
      <c r="N399" t="n">
        <v>0</v>
      </c>
      <c r="O399" t="n">
        <v>0</v>
      </c>
      <c r="P399" t="n">
        <v>0</v>
      </c>
      <c r="Q399" t="n">
        <v>1</v>
      </c>
      <c r="R399" s="2" t="inlineStr">
        <is>
          <t>Svart trolldruva</t>
        </is>
      </c>
      <c r="S399">
        <f>HYPERLINK("https://klasma.github.io/Logging_1780/artfynd/A 28368-2020 artfynd.xlsx", "A 28368-2020")</f>
        <v/>
      </c>
      <c r="T399">
        <f>HYPERLINK("https://klasma.github.io/Logging_1780/kartor/A 28368-2020 karta.png", "A 28368-2020")</f>
        <v/>
      </c>
      <c r="V399">
        <f>HYPERLINK("https://klasma.github.io/Logging_1780/klagomål/A 28368-2020 FSC-klagomål.docx", "A 28368-2020")</f>
        <v/>
      </c>
      <c r="W399">
        <f>HYPERLINK("https://klasma.github.io/Logging_1780/klagomålsmail/A 28368-2020 FSC-klagomål mail.docx", "A 28368-2020")</f>
        <v/>
      </c>
      <c r="X399">
        <f>HYPERLINK("https://klasma.github.io/Logging_1780/tillsyn/A 28368-2020 tillsynsbegäran.docx", "A 28368-2020")</f>
        <v/>
      </c>
      <c r="Y399">
        <f>HYPERLINK("https://klasma.github.io/Logging_1780/tillsynsmail/A 28368-2020 tillsynsbegäran mail.docx", "A 28368-2020")</f>
        <v/>
      </c>
    </row>
    <row r="400" ht="15" customHeight="1">
      <c r="A400" t="inlineStr">
        <is>
          <t>A 30729-2020</t>
        </is>
      </c>
      <c r="B400" s="1" t="n">
        <v>44008</v>
      </c>
      <c r="C400" s="1" t="n">
        <v>45736</v>
      </c>
      <c r="D400" t="inlineStr">
        <is>
          <t>VÄRMLANDS LÄN</t>
        </is>
      </c>
      <c r="E400" t="inlineStr">
        <is>
          <t>ARVIKA</t>
        </is>
      </c>
      <c r="G400" t="n">
        <v>4.2</v>
      </c>
      <c r="H400" t="n">
        <v>1</v>
      </c>
      <c r="I400" t="n">
        <v>0</v>
      </c>
      <c r="J400" t="n">
        <v>0</v>
      </c>
      <c r="K400" t="n">
        <v>1</v>
      </c>
      <c r="L400" t="n">
        <v>0</v>
      </c>
      <c r="M400" t="n">
        <v>0</v>
      </c>
      <c r="N400" t="n">
        <v>0</v>
      </c>
      <c r="O400" t="n">
        <v>1</v>
      </c>
      <c r="P400" t="n">
        <v>1</v>
      </c>
      <c r="Q400" t="n">
        <v>1</v>
      </c>
      <c r="R400" s="2" t="inlineStr">
        <is>
          <t>Knärot</t>
        </is>
      </c>
      <c r="S400">
        <f>HYPERLINK("https://klasma.github.io/Logging_1784/artfynd/A 30729-2020 artfynd.xlsx", "A 30729-2020")</f>
        <v/>
      </c>
      <c r="T400">
        <f>HYPERLINK("https://klasma.github.io/Logging_1784/kartor/A 30729-2020 karta.png", "A 30729-2020")</f>
        <v/>
      </c>
      <c r="U400">
        <f>HYPERLINK("https://klasma.github.io/Logging_1784/knärot/A 30729-2020 karta knärot.png", "A 30729-2020")</f>
        <v/>
      </c>
      <c r="V400">
        <f>HYPERLINK("https://klasma.github.io/Logging_1784/klagomål/A 30729-2020 FSC-klagomål.docx", "A 30729-2020")</f>
        <v/>
      </c>
      <c r="W400">
        <f>HYPERLINK("https://klasma.github.io/Logging_1784/klagomålsmail/A 30729-2020 FSC-klagomål mail.docx", "A 30729-2020")</f>
        <v/>
      </c>
      <c r="X400">
        <f>HYPERLINK("https://klasma.github.io/Logging_1784/tillsyn/A 30729-2020 tillsynsbegäran.docx", "A 30729-2020")</f>
        <v/>
      </c>
      <c r="Y400">
        <f>HYPERLINK("https://klasma.github.io/Logging_1784/tillsynsmail/A 30729-2020 tillsynsbegäran mail.docx", "A 30729-2020")</f>
        <v/>
      </c>
    </row>
    <row r="401" ht="15" customHeight="1">
      <c r="A401" t="inlineStr">
        <is>
          <t>A 34409-2020</t>
        </is>
      </c>
      <c r="B401" s="1" t="n">
        <v>44029</v>
      </c>
      <c r="C401" s="1" t="n">
        <v>45736</v>
      </c>
      <c r="D401" t="inlineStr">
        <is>
          <t>VÄRMLANDS LÄN</t>
        </is>
      </c>
      <c r="E401" t="inlineStr">
        <is>
          <t>STORFORS</t>
        </is>
      </c>
      <c r="G401" t="n">
        <v>1.2</v>
      </c>
      <c r="H401" t="n">
        <v>0</v>
      </c>
      <c r="I401" t="n">
        <v>1</v>
      </c>
      <c r="J401" t="n">
        <v>0</v>
      </c>
      <c r="K401" t="n">
        <v>0</v>
      </c>
      <c r="L401" t="n">
        <v>0</v>
      </c>
      <c r="M401" t="n">
        <v>0</v>
      </c>
      <c r="N401" t="n">
        <v>0</v>
      </c>
      <c r="O401" t="n">
        <v>0</v>
      </c>
      <c r="P401" t="n">
        <v>0</v>
      </c>
      <c r="Q401" t="n">
        <v>1</v>
      </c>
      <c r="R401" s="2" t="inlineStr">
        <is>
          <t>Korallblylav</t>
        </is>
      </c>
      <c r="S401">
        <f>HYPERLINK("https://klasma.github.io/Logging_1760/artfynd/A 34409-2020 artfynd.xlsx", "A 34409-2020")</f>
        <v/>
      </c>
      <c r="T401">
        <f>HYPERLINK("https://klasma.github.io/Logging_1760/kartor/A 34409-2020 karta.png", "A 34409-2020")</f>
        <v/>
      </c>
      <c r="V401">
        <f>HYPERLINK("https://klasma.github.io/Logging_1760/klagomål/A 34409-2020 FSC-klagomål.docx", "A 34409-2020")</f>
        <v/>
      </c>
      <c r="W401">
        <f>HYPERLINK("https://klasma.github.io/Logging_1760/klagomålsmail/A 34409-2020 FSC-klagomål mail.docx", "A 34409-2020")</f>
        <v/>
      </c>
      <c r="X401">
        <f>HYPERLINK("https://klasma.github.io/Logging_1760/tillsyn/A 34409-2020 tillsynsbegäran.docx", "A 34409-2020")</f>
        <v/>
      </c>
      <c r="Y401">
        <f>HYPERLINK("https://klasma.github.io/Logging_1760/tillsynsmail/A 34409-2020 tillsynsbegäran mail.docx", "A 34409-2020")</f>
        <v/>
      </c>
    </row>
    <row r="402" ht="15" customHeight="1">
      <c r="A402" t="inlineStr">
        <is>
          <t>A 34769-2020</t>
        </is>
      </c>
      <c r="B402" s="1" t="n">
        <v>44035</v>
      </c>
      <c r="C402" s="1" t="n">
        <v>45736</v>
      </c>
      <c r="D402" t="inlineStr">
        <is>
          <t>VÄRMLANDS LÄN</t>
        </is>
      </c>
      <c r="E402" t="inlineStr">
        <is>
          <t>ARVIKA</t>
        </is>
      </c>
      <c r="G402" t="n">
        <v>1.1</v>
      </c>
      <c r="H402" t="n">
        <v>1</v>
      </c>
      <c r="I402" t="n">
        <v>0</v>
      </c>
      <c r="J402" t="n">
        <v>0</v>
      </c>
      <c r="K402" t="n">
        <v>1</v>
      </c>
      <c r="L402" t="n">
        <v>0</v>
      </c>
      <c r="M402" t="n">
        <v>0</v>
      </c>
      <c r="N402" t="n">
        <v>0</v>
      </c>
      <c r="O402" t="n">
        <v>1</v>
      </c>
      <c r="P402" t="n">
        <v>1</v>
      </c>
      <c r="Q402" t="n">
        <v>1</v>
      </c>
      <c r="R402" s="2" t="inlineStr">
        <is>
          <t>Knärot</t>
        </is>
      </c>
      <c r="S402">
        <f>HYPERLINK("https://klasma.github.io/Logging_1784/artfynd/A 34769-2020 artfynd.xlsx", "A 34769-2020")</f>
        <v/>
      </c>
      <c r="T402">
        <f>HYPERLINK("https://klasma.github.io/Logging_1784/kartor/A 34769-2020 karta.png", "A 34769-2020")</f>
        <v/>
      </c>
      <c r="U402">
        <f>HYPERLINK("https://klasma.github.io/Logging_1784/knärot/A 34769-2020 karta knärot.png", "A 34769-2020")</f>
        <v/>
      </c>
      <c r="V402">
        <f>HYPERLINK("https://klasma.github.io/Logging_1784/klagomål/A 34769-2020 FSC-klagomål.docx", "A 34769-2020")</f>
        <v/>
      </c>
      <c r="W402">
        <f>HYPERLINK("https://klasma.github.io/Logging_1784/klagomålsmail/A 34769-2020 FSC-klagomål mail.docx", "A 34769-2020")</f>
        <v/>
      </c>
      <c r="X402">
        <f>HYPERLINK("https://klasma.github.io/Logging_1784/tillsyn/A 34769-2020 tillsynsbegäran.docx", "A 34769-2020")</f>
        <v/>
      </c>
      <c r="Y402">
        <f>HYPERLINK("https://klasma.github.io/Logging_1784/tillsynsmail/A 34769-2020 tillsynsbegäran mail.docx", "A 34769-2020")</f>
        <v/>
      </c>
    </row>
    <row r="403" ht="15" customHeight="1">
      <c r="A403" t="inlineStr">
        <is>
          <t>A 35546-2020</t>
        </is>
      </c>
      <c r="B403" s="1" t="n">
        <v>44043</v>
      </c>
      <c r="C403" s="1" t="n">
        <v>45736</v>
      </c>
      <c r="D403" t="inlineStr">
        <is>
          <t>VÄRMLANDS LÄN</t>
        </is>
      </c>
      <c r="E403" t="inlineStr">
        <is>
          <t>SÄFFLE</t>
        </is>
      </c>
      <c r="G403" t="n">
        <v>10</v>
      </c>
      <c r="H403" t="n">
        <v>0</v>
      </c>
      <c r="I403" t="n">
        <v>0</v>
      </c>
      <c r="J403" t="n">
        <v>0</v>
      </c>
      <c r="K403" t="n">
        <v>0</v>
      </c>
      <c r="L403" t="n">
        <v>1</v>
      </c>
      <c r="M403" t="n">
        <v>0</v>
      </c>
      <c r="N403" t="n">
        <v>0</v>
      </c>
      <c r="O403" t="n">
        <v>1</v>
      </c>
      <c r="P403" t="n">
        <v>1</v>
      </c>
      <c r="Q403" t="n">
        <v>1</v>
      </c>
      <c r="R403" s="2" t="inlineStr">
        <is>
          <t>Ask</t>
        </is>
      </c>
      <c r="S403">
        <f>HYPERLINK("https://klasma.github.io/Logging_1785/artfynd/A 35546-2020 artfynd.xlsx", "A 35546-2020")</f>
        <v/>
      </c>
      <c r="T403">
        <f>HYPERLINK("https://klasma.github.io/Logging_1785/kartor/A 35546-2020 karta.png", "A 35546-2020")</f>
        <v/>
      </c>
      <c r="V403">
        <f>HYPERLINK("https://klasma.github.io/Logging_1785/klagomål/A 35546-2020 FSC-klagomål.docx", "A 35546-2020")</f>
        <v/>
      </c>
      <c r="W403">
        <f>HYPERLINK("https://klasma.github.io/Logging_1785/klagomålsmail/A 35546-2020 FSC-klagomål mail.docx", "A 35546-2020")</f>
        <v/>
      </c>
      <c r="X403">
        <f>HYPERLINK("https://klasma.github.io/Logging_1785/tillsyn/A 35546-2020 tillsynsbegäran.docx", "A 35546-2020")</f>
        <v/>
      </c>
      <c r="Y403">
        <f>HYPERLINK("https://klasma.github.io/Logging_1785/tillsynsmail/A 35546-2020 tillsynsbegäran mail.docx", "A 35546-2020")</f>
        <v/>
      </c>
    </row>
    <row r="404" ht="15" customHeight="1">
      <c r="A404" t="inlineStr">
        <is>
          <t>A 36585-2020</t>
        </is>
      </c>
      <c r="B404" s="1" t="n">
        <v>44050</v>
      </c>
      <c r="C404" s="1" t="n">
        <v>45736</v>
      </c>
      <c r="D404" t="inlineStr">
        <is>
          <t>VÄRMLANDS LÄN</t>
        </is>
      </c>
      <c r="E404" t="inlineStr">
        <is>
          <t>ÅRJÄNG</t>
        </is>
      </c>
      <c r="G404" t="n">
        <v>2</v>
      </c>
      <c r="H404" t="n">
        <v>0</v>
      </c>
      <c r="I404" t="n">
        <v>0</v>
      </c>
      <c r="J404" t="n">
        <v>1</v>
      </c>
      <c r="K404" t="n">
        <v>0</v>
      </c>
      <c r="L404" t="n">
        <v>0</v>
      </c>
      <c r="M404" t="n">
        <v>0</v>
      </c>
      <c r="N404" t="n">
        <v>0</v>
      </c>
      <c r="O404" t="n">
        <v>1</v>
      </c>
      <c r="P404" t="n">
        <v>0</v>
      </c>
      <c r="Q404" t="n">
        <v>1</v>
      </c>
      <c r="R404" s="2" t="inlineStr">
        <is>
          <t>Garnlav</t>
        </is>
      </c>
      <c r="S404">
        <f>HYPERLINK("https://klasma.github.io/Logging_1765/artfynd/A 36585-2020 artfynd.xlsx", "A 36585-2020")</f>
        <v/>
      </c>
      <c r="T404">
        <f>HYPERLINK("https://klasma.github.io/Logging_1765/kartor/A 36585-2020 karta.png", "A 36585-2020")</f>
        <v/>
      </c>
      <c r="V404">
        <f>HYPERLINK("https://klasma.github.io/Logging_1765/klagomål/A 36585-2020 FSC-klagomål.docx", "A 36585-2020")</f>
        <v/>
      </c>
      <c r="W404">
        <f>HYPERLINK("https://klasma.github.io/Logging_1765/klagomålsmail/A 36585-2020 FSC-klagomål mail.docx", "A 36585-2020")</f>
        <v/>
      </c>
      <c r="X404">
        <f>HYPERLINK("https://klasma.github.io/Logging_1765/tillsyn/A 36585-2020 tillsynsbegäran.docx", "A 36585-2020")</f>
        <v/>
      </c>
      <c r="Y404">
        <f>HYPERLINK("https://klasma.github.io/Logging_1765/tillsynsmail/A 36585-2020 tillsynsbegäran mail.docx", "A 36585-2020")</f>
        <v/>
      </c>
    </row>
    <row r="405" ht="15" customHeight="1">
      <c r="A405" t="inlineStr">
        <is>
          <t>A 36688-2020</t>
        </is>
      </c>
      <c r="B405" s="1" t="n">
        <v>44052</v>
      </c>
      <c r="C405" s="1" t="n">
        <v>45736</v>
      </c>
      <c r="D405" t="inlineStr">
        <is>
          <t>VÄRMLANDS LÄN</t>
        </is>
      </c>
      <c r="E405" t="inlineStr">
        <is>
          <t>ARVIKA</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HYPERLINK("https://klasma.github.io/Logging_1784/artfynd/A 36688-2020 artfynd.xlsx", "A 36688-2020")</f>
        <v/>
      </c>
      <c r="T405">
        <f>HYPERLINK("https://klasma.github.io/Logging_1784/kartor/A 36688-2020 karta.png", "A 36688-2020")</f>
        <v/>
      </c>
      <c r="U405">
        <f>HYPERLINK("https://klasma.github.io/Logging_1784/knärot/A 36688-2020 karta knärot.png", "A 36688-2020")</f>
        <v/>
      </c>
      <c r="V405">
        <f>HYPERLINK("https://klasma.github.io/Logging_1784/klagomål/A 36688-2020 FSC-klagomål.docx", "A 36688-2020")</f>
        <v/>
      </c>
      <c r="W405">
        <f>HYPERLINK("https://klasma.github.io/Logging_1784/klagomålsmail/A 36688-2020 FSC-klagomål mail.docx", "A 36688-2020")</f>
        <v/>
      </c>
      <c r="X405">
        <f>HYPERLINK("https://klasma.github.io/Logging_1784/tillsyn/A 36688-2020 tillsynsbegäran.docx", "A 36688-2020")</f>
        <v/>
      </c>
      <c r="Y405">
        <f>HYPERLINK("https://klasma.github.io/Logging_1784/tillsynsmail/A 36688-2020 tillsynsbegäran mail.docx", "A 36688-2020")</f>
        <v/>
      </c>
    </row>
    <row r="406" ht="15" customHeight="1">
      <c r="A406" t="inlineStr">
        <is>
          <t>A 37035-2020</t>
        </is>
      </c>
      <c r="B406" s="1" t="n">
        <v>44054</v>
      </c>
      <c r="C406" s="1" t="n">
        <v>45736</v>
      </c>
      <c r="D406" t="inlineStr">
        <is>
          <t>VÄRMLANDS LÄN</t>
        </is>
      </c>
      <c r="E406" t="inlineStr">
        <is>
          <t>TORSBY</t>
        </is>
      </c>
      <c r="G406" t="n">
        <v>2.7</v>
      </c>
      <c r="H406" t="n">
        <v>0</v>
      </c>
      <c r="I406" t="n">
        <v>0</v>
      </c>
      <c r="J406" t="n">
        <v>0</v>
      </c>
      <c r="K406" t="n">
        <v>1</v>
      </c>
      <c r="L406" t="n">
        <v>0</v>
      </c>
      <c r="M406" t="n">
        <v>0</v>
      </c>
      <c r="N406" t="n">
        <v>0</v>
      </c>
      <c r="O406" t="n">
        <v>1</v>
      </c>
      <c r="P406" t="n">
        <v>1</v>
      </c>
      <c r="Q406" t="n">
        <v>1</v>
      </c>
      <c r="R406" s="2" t="inlineStr">
        <is>
          <t>Raggbock</t>
        </is>
      </c>
      <c r="S406">
        <f>HYPERLINK("https://klasma.github.io/Logging_1737/artfynd/A 37035-2020 artfynd.xlsx", "A 37035-2020")</f>
        <v/>
      </c>
      <c r="T406">
        <f>HYPERLINK("https://klasma.github.io/Logging_1737/kartor/A 37035-2020 karta.png", "A 37035-2020")</f>
        <v/>
      </c>
      <c r="V406">
        <f>HYPERLINK("https://klasma.github.io/Logging_1737/klagomål/A 37035-2020 FSC-klagomål.docx", "A 37035-2020")</f>
        <v/>
      </c>
      <c r="W406">
        <f>HYPERLINK("https://klasma.github.io/Logging_1737/klagomålsmail/A 37035-2020 FSC-klagomål mail.docx", "A 37035-2020")</f>
        <v/>
      </c>
      <c r="X406">
        <f>HYPERLINK("https://klasma.github.io/Logging_1737/tillsyn/A 37035-2020 tillsynsbegäran.docx", "A 37035-2020")</f>
        <v/>
      </c>
      <c r="Y406">
        <f>HYPERLINK("https://klasma.github.io/Logging_1737/tillsynsmail/A 37035-2020 tillsynsbegäran mail.docx", "A 37035-2020")</f>
        <v/>
      </c>
    </row>
    <row r="407" ht="15" customHeight="1">
      <c r="A407" t="inlineStr">
        <is>
          <t>A 38701-2020</t>
        </is>
      </c>
      <c r="B407" s="1" t="n">
        <v>44061</v>
      </c>
      <c r="C407" s="1" t="n">
        <v>45736</v>
      </c>
      <c r="D407" t="inlineStr">
        <is>
          <t>VÄRMLANDS LÄN</t>
        </is>
      </c>
      <c r="E407" t="inlineStr">
        <is>
          <t>ÅRJÄNG</t>
        </is>
      </c>
      <c r="G407" t="n">
        <v>2.9</v>
      </c>
      <c r="H407" t="n">
        <v>1</v>
      </c>
      <c r="I407" t="n">
        <v>0</v>
      </c>
      <c r="J407" t="n">
        <v>1</v>
      </c>
      <c r="K407" t="n">
        <v>0</v>
      </c>
      <c r="L407" t="n">
        <v>0</v>
      </c>
      <c r="M407" t="n">
        <v>0</v>
      </c>
      <c r="N407" t="n">
        <v>0</v>
      </c>
      <c r="O407" t="n">
        <v>1</v>
      </c>
      <c r="P407" t="n">
        <v>0</v>
      </c>
      <c r="Q407" t="n">
        <v>1</v>
      </c>
      <c r="R407" s="2" t="inlineStr">
        <is>
          <t>Spillkråka</t>
        </is>
      </c>
      <c r="S407">
        <f>HYPERLINK("https://klasma.github.io/Logging_1765/artfynd/A 38701-2020 artfynd.xlsx", "A 38701-2020")</f>
        <v/>
      </c>
      <c r="T407">
        <f>HYPERLINK("https://klasma.github.io/Logging_1765/kartor/A 38701-2020 karta.png", "A 38701-2020")</f>
        <v/>
      </c>
      <c r="V407">
        <f>HYPERLINK("https://klasma.github.io/Logging_1765/klagomål/A 38701-2020 FSC-klagomål.docx", "A 38701-2020")</f>
        <v/>
      </c>
      <c r="W407">
        <f>HYPERLINK("https://klasma.github.io/Logging_1765/klagomålsmail/A 38701-2020 FSC-klagomål mail.docx", "A 38701-2020")</f>
        <v/>
      </c>
      <c r="X407">
        <f>HYPERLINK("https://klasma.github.io/Logging_1765/tillsyn/A 38701-2020 tillsynsbegäran.docx", "A 38701-2020")</f>
        <v/>
      </c>
      <c r="Y407">
        <f>HYPERLINK("https://klasma.github.io/Logging_1765/tillsynsmail/A 38701-2020 tillsynsbegäran mail.docx", "A 38701-2020")</f>
        <v/>
      </c>
      <c r="Z407">
        <f>HYPERLINK("https://klasma.github.io/Logging_1765/fåglar/A 38701-2020 prioriterade fågelarter.docx", "A 38701-2020")</f>
        <v/>
      </c>
    </row>
    <row r="408" ht="15" customHeight="1">
      <c r="A408" t="inlineStr">
        <is>
          <t>A 42542-2020</t>
        </is>
      </c>
      <c r="B408" s="1" t="n">
        <v>44077</v>
      </c>
      <c r="C408" s="1" t="n">
        <v>45736</v>
      </c>
      <c r="D408" t="inlineStr">
        <is>
          <t>VÄRMLANDS LÄN</t>
        </is>
      </c>
      <c r="E408" t="inlineStr">
        <is>
          <t>FILIPSTAD</t>
        </is>
      </c>
      <c r="F408" t="inlineStr">
        <is>
          <t>Bergvik skog väst AB</t>
        </is>
      </c>
      <c r="G408" t="n">
        <v>1.3</v>
      </c>
      <c r="H408" t="n">
        <v>0</v>
      </c>
      <c r="I408" t="n">
        <v>0</v>
      </c>
      <c r="J408" t="n">
        <v>1</v>
      </c>
      <c r="K408" t="n">
        <v>0</v>
      </c>
      <c r="L408" t="n">
        <v>0</v>
      </c>
      <c r="M408" t="n">
        <v>0</v>
      </c>
      <c r="N408" t="n">
        <v>0</v>
      </c>
      <c r="O408" t="n">
        <v>1</v>
      </c>
      <c r="P408" t="n">
        <v>0</v>
      </c>
      <c r="Q408" t="n">
        <v>1</v>
      </c>
      <c r="R408" s="2" t="inlineStr">
        <is>
          <t>Brunpudrad nållav</t>
        </is>
      </c>
      <c r="S408">
        <f>HYPERLINK("https://klasma.github.io/Logging_1782/artfynd/A 42542-2020 artfynd.xlsx", "A 42542-2020")</f>
        <v/>
      </c>
      <c r="T408">
        <f>HYPERLINK("https://klasma.github.io/Logging_1782/kartor/A 42542-2020 karta.png", "A 42542-2020")</f>
        <v/>
      </c>
      <c r="V408">
        <f>HYPERLINK("https://klasma.github.io/Logging_1782/klagomål/A 42542-2020 FSC-klagomål.docx", "A 42542-2020")</f>
        <v/>
      </c>
      <c r="W408">
        <f>HYPERLINK("https://klasma.github.io/Logging_1782/klagomålsmail/A 42542-2020 FSC-klagomål mail.docx", "A 42542-2020")</f>
        <v/>
      </c>
      <c r="X408">
        <f>HYPERLINK("https://klasma.github.io/Logging_1782/tillsyn/A 42542-2020 tillsynsbegäran.docx", "A 42542-2020")</f>
        <v/>
      </c>
      <c r="Y408">
        <f>HYPERLINK("https://klasma.github.io/Logging_1782/tillsynsmail/A 42542-2020 tillsynsbegäran mail.docx", "A 42542-2020")</f>
        <v/>
      </c>
    </row>
    <row r="409" ht="15" customHeight="1">
      <c r="A409" t="inlineStr">
        <is>
          <t>A 47721-2020</t>
        </is>
      </c>
      <c r="B409" s="1" t="n">
        <v>44096</v>
      </c>
      <c r="C409" s="1" t="n">
        <v>45736</v>
      </c>
      <c r="D409" t="inlineStr">
        <is>
          <t>VÄRMLANDS LÄN</t>
        </is>
      </c>
      <c r="E409" t="inlineStr">
        <is>
          <t>HAGFORS</t>
        </is>
      </c>
      <c r="F409" t="inlineStr">
        <is>
          <t>Kyrkan</t>
        </is>
      </c>
      <c r="G409" t="n">
        <v>1.9</v>
      </c>
      <c r="H409" t="n">
        <v>0</v>
      </c>
      <c r="I409" t="n">
        <v>0</v>
      </c>
      <c r="J409" t="n">
        <v>1</v>
      </c>
      <c r="K409" t="n">
        <v>0</v>
      </c>
      <c r="L409" t="n">
        <v>0</v>
      </c>
      <c r="M409" t="n">
        <v>0</v>
      </c>
      <c r="N409" t="n">
        <v>0</v>
      </c>
      <c r="O409" t="n">
        <v>1</v>
      </c>
      <c r="P409" t="n">
        <v>0</v>
      </c>
      <c r="Q409" t="n">
        <v>1</v>
      </c>
      <c r="R409" s="2" t="inlineStr">
        <is>
          <t>Garnlav</t>
        </is>
      </c>
      <c r="S409">
        <f>HYPERLINK("https://klasma.github.io/Logging_1783/artfynd/A 47721-2020 artfynd.xlsx", "A 47721-2020")</f>
        <v/>
      </c>
      <c r="T409">
        <f>HYPERLINK("https://klasma.github.io/Logging_1783/kartor/A 47721-2020 karta.png", "A 47721-2020")</f>
        <v/>
      </c>
      <c r="V409">
        <f>HYPERLINK("https://klasma.github.io/Logging_1783/klagomål/A 47721-2020 FSC-klagomål.docx", "A 47721-2020")</f>
        <v/>
      </c>
      <c r="W409">
        <f>HYPERLINK("https://klasma.github.io/Logging_1783/klagomålsmail/A 47721-2020 FSC-klagomål mail.docx", "A 47721-2020")</f>
        <v/>
      </c>
      <c r="X409">
        <f>HYPERLINK("https://klasma.github.io/Logging_1783/tillsyn/A 47721-2020 tillsynsbegäran.docx", "A 47721-2020")</f>
        <v/>
      </c>
      <c r="Y409">
        <f>HYPERLINK("https://klasma.github.io/Logging_1783/tillsynsmail/A 47721-2020 tillsynsbegäran mail.docx", "A 47721-2020")</f>
        <v/>
      </c>
    </row>
    <row r="410" ht="15" customHeight="1">
      <c r="A410" t="inlineStr">
        <is>
          <t>A 49591-2020</t>
        </is>
      </c>
      <c r="B410" s="1" t="n">
        <v>44105</v>
      </c>
      <c r="C410" s="1" t="n">
        <v>45736</v>
      </c>
      <c r="D410" t="inlineStr">
        <is>
          <t>VÄRMLANDS LÄN</t>
        </is>
      </c>
      <c r="E410" t="inlineStr">
        <is>
          <t>KRISTINEHAMN</t>
        </is>
      </c>
      <c r="G410" t="n">
        <v>2.2</v>
      </c>
      <c r="H410" t="n">
        <v>0</v>
      </c>
      <c r="I410" t="n">
        <v>1</v>
      </c>
      <c r="J410" t="n">
        <v>0</v>
      </c>
      <c r="K410" t="n">
        <v>0</v>
      </c>
      <c r="L410" t="n">
        <v>0</v>
      </c>
      <c r="M410" t="n">
        <v>0</v>
      </c>
      <c r="N410" t="n">
        <v>0</v>
      </c>
      <c r="O410" t="n">
        <v>0</v>
      </c>
      <c r="P410" t="n">
        <v>0</v>
      </c>
      <c r="Q410" t="n">
        <v>1</v>
      </c>
      <c r="R410" s="2" t="inlineStr">
        <is>
          <t>Svart trolldruva</t>
        </is>
      </c>
      <c r="S410">
        <f>HYPERLINK("https://klasma.github.io/Logging_1781/artfynd/A 49591-2020 artfynd.xlsx", "A 49591-2020")</f>
        <v/>
      </c>
      <c r="T410">
        <f>HYPERLINK("https://klasma.github.io/Logging_1781/kartor/A 49591-2020 karta.png", "A 49591-2020")</f>
        <v/>
      </c>
      <c r="V410">
        <f>HYPERLINK("https://klasma.github.io/Logging_1781/klagomål/A 49591-2020 FSC-klagomål.docx", "A 49591-2020")</f>
        <v/>
      </c>
      <c r="W410">
        <f>HYPERLINK("https://klasma.github.io/Logging_1781/klagomålsmail/A 49591-2020 FSC-klagomål mail.docx", "A 49591-2020")</f>
        <v/>
      </c>
      <c r="X410">
        <f>HYPERLINK("https://klasma.github.io/Logging_1781/tillsyn/A 49591-2020 tillsynsbegäran.docx", "A 49591-2020")</f>
        <v/>
      </c>
      <c r="Y410">
        <f>HYPERLINK("https://klasma.github.io/Logging_1781/tillsynsmail/A 49591-2020 tillsynsbegäran mail.docx", "A 49591-2020")</f>
        <v/>
      </c>
    </row>
    <row r="411" ht="15" customHeight="1">
      <c r="A411" t="inlineStr">
        <is>
          <t>A 50854-2020</t>
        </is>
      </c>
      <c r="B411" s="1" t="n">
        <v>44105</v>
      </c>
      <c r="C411" s="1" t="n">
        <v>45736</v>
      </c>
      <c r="D411" t="inlineStr">
        <is>
          <t>VÄRMLANDS LÄN</t>
        </is>
      </c>
      <c r="E411" t="inlineStr">
        <is>
          <t>TORSBY</t>
        </is>
      </c>
      <c r="G411" t="n">
        <v>6.5</v>
      </c>
      <c r="H411" t="n">
        <v>1</v>
      </c>
      <c r="I411" t="n">
        <v>0</v>
      </c>
      <c r="J411" t="n">
        <v>0</v>
      </c>
      <c r="K411" t="n">
        <v>1</v>
      </c>
      <c r="L411" t="n">
        <v>0</v>
      </c>
      <c r="M411" t="n">
        <v>0</v>
      </c>
      <c r="N411" t="n">
        <v>0</v>
      </c>
      <c r="O411" t="n">
        <v>1</v>
      </c>
      <c r="P411" t="n">
        <v>1</v>
      </c>
      <c r="Q411" t="n">
        <v>1</v>
      </c>
      <c r="R411" s="2" t="inlineStr">
        <is>
          <t>Knärot</t>
        </is>
      </c>
      <c r="S411">
        <f>HYPERLINK("https://klasma.github.io/Logging_1737/artfynd/A 50854-2020 artfynd.xlsx", "A 50854-2020")</f>
        <v/>
      </c>
      <c r="T411">
        <f>HYPERLINK("https://klasma.github.io/Logging_1737/kartor/A 50854-2020 karta.png", "A 50854-2020")</f>
        <v/>
      </c>
      <c r="U411">
        <f>HYPERLINK("https://klasma.github.io/Logging_1737/knärot/A 50854-2020 karta knärot.png", "A 50854-2020")</f>
        <v/>
      </c>
      <c r="V411">
        <f>HYPERLINK("https://klasma.github.io/Logging_1737/klagomål/A 50854-2020 FSC-klagomål.docx", "A 50854-2020")</f>
        <v/>
      </c>
      <c r="W411">
        <f>HYPERLINK("https://klasma.github.io/Logging_1737/klagomålsmail/A 50854-2020 FSC-klagomål mail.docx", "A 50854-2020")</f>
        <v/>
      </c>
      <c r="X411">
        <f>HYPERLINK("https://klasma.github.io/Logging_1737/tillsyn/A 50854-2020 tillsynsbegäran.docx", "A 50854-2020")</f>
        <v/>
      </c>
      <c r="Y411">
        <f>HYPERLINK("https://klasma.github.io/Logging_1737/tillsynsmail/A 50854-2020 tillsynsbegäran mail.docx", "A 50854-2020")</f>
        <v/>
      </c>
    </row>
    <row r="412" ht="15" customHeight="1">
      <c r="A412" t="inlineStr">
        <is>
          <t>A 50089-2020</t>
        </is>
      </c>
      <c r="B412" s="1" t="n">
        <v>44109</v>
      </c>
      <c r="C412" s="1" t="n">
        <v>45736</v>
      </c>
      <c r="D412" t="inlineStr">
        <is>
          <t>VÄRMLANDS LÄN</t>
        </is>
      </c>
      <c r="E412" t="inlineStr">
        <is>
          <t>TORSBY</t>
        </is>
      </c>
      <c r="G412" t="n">
        <v>0.9</v>
      </c>
      <c r="H412" t="n">
        <v>1</v>
      </c>
      <c r="I412" t="n">
        <v>0</v>
      </c>
      <c r="J412" t="n">
        <v>1</v>
      </c>
      <c r="K412" t="n">
        <v>0</v>
      </c>
      <c r="L412" t="n">
        <v>0</v>
      </c>
      <c r="M412" t="n">
        <v>0</v>
      </c>
      <c r="N412" t="n">
        <v>0</v>
      </c>
      <c r="O412" t="n">
        <v>1</v>
      </c>
      <c r="P412" t="n">
        <v>0</v>
      </c>
      <c r="Q412" t="n">
        <v>1</v>
      </c>
      <c r="R412" s="2" t="inlineStr">
        <is>
          <t>Spillkråka</t>
        </is>
      </c>
      <c r="S412">
        <f>HYPERLINK("https://klasma.github.io/Logging_1737/artfynd/A 50089-2020 artfynd.xlsx", "A 50089-2020")</f>
        <v/>
      </c>
      <c r="T412">
        <f>HYPERLINK("https://klasma.github.io/Logging_1737/kartor/A 50089-2020 karta.png", "A 50089-2020")</f>
        <v/>
      </c>
      <c r="V412">
        <f>HYPERLINK("https://klasma.github.io/Logging_1737/klagomål/A 50089-2020 FSC-klagomål.docx", "A 50089-2020")</f>
        <v/>
      </c>
      <c r="W412">
        <f>HYPERLINK("https://klasma.github.io/Logging_1737/klagomålsmail/A 50089-2020 FSC-klagomål mail.docx", "A 50089-2020")</f>
        <v/>
      </c>
      <c r="X412">
        <f>HYPERLINK("https://klasma.github.io/Logging_1737/tillsyn/A 50089-2020 tillsynsbegäran.docx", "A 50089-2020")</f>
        <v/>
      </c>
      <c r="Y412">
        <f>HYPERLINK("https://klasma.github.io/Logging_1737/tillsynsmail/A 50089-2020 tillsynsbegäran mail.docx", "A 50089-2020")</f>
        <v/>
      </c>
      <c r="Z412">
        <f>HYPERLINK("https://klasma.github.io/Logging_1737/fåglar/A 50089-2020 prioriterade fågelarter.docx", "A 50089-2020")</f>
        <v/>
      </c>
    </row>
    <row r="413" ht="15" customHeight="1">
      <c r="A413" t="inlineStr">
        <is>
          <t>A 53491-2020</t>
        </is>
      </c>
      <c r="B413" s="1" t="n">
        <v>44123</v>
      </c>
      <c r="C413" s="1" t="n">
        <v>45736</v>
      </c>
      <c r="D413" t="inlineStr">
        <is>
          <t>VÄRMLANDS LÄN</t>
        </is>
      </c>
      <c r="E413" t="inlineStr">
        <is>
          <t>TORSBY</t>
        </is>
      </c>
      <c r="G413" t="n">
        <v>1.5</v>
      </c>
      <c r="H413" t="n">
        <v>0</v>
      </c>
      <c r="I413" t="n">
        <v>0</v>
      </c>
      <c r="J413" t="n">
        <v>1</v>
      </c>
      <c r="K413" t="n">
        <v>0</v>
      </c>
      <c r="L413" t="n">
        <v>0</v>
      </c>
      <c r="M413" t="n">
        <v>0</v>
      </c>
      <c r="N413" t="n">
        <v>0</v>
      </c>
      <c r="O413" t="n">
        <v>1</v>
      </c>
      <c r="P413" t="n">
        <v>0</v>
      </c>
      <c r="Q413" t="n">
        <v>1</v>
      </c>
      <c r="R413" s="2" t="inlineStr">
        <is>
          <t>Garnlav</t>
        </is>
      </c>
      <c r="S413">
        <f>HYPERLINK("https://klasma.github.io/Logging_1737/artfynd/A 53491-2020 artfynd.xlsx", "A 53491-2020")</f>
        <v/>
      </c>
      <c r="T413">
        <f>HYPERLINK("https://klasma.github.io/Logging_1737/kartor/A 53491-2020 karta.png", "A 53491-2020")</f>
        <v/>
      </c>
      <c r="V413">
        <f>HYPERLINK("https://klasma.github.io/Logging_1737/klagomål/A 53491-2020 FSC-klagomål.docx", "A 53491-2020")</f>
        <v/>
      </c>
      <c r="W413">
        <f>HYPERLINK("https://klasma.github.io/Logging_1737/klagomålsmail/A 53491-2020 FSC-klagomål mail.docx", "A 53491-2020")</f>
        <v/>
      </c>
      <c r="X413">
        <f>HYPERLINK("https://klasma.github.io/Logging_1737/tillsyn/A 53491-2020 tillsynsbegäran.docx", "A 53491-2020")</f>
        <v/>
      </c>
      <c r="Y413">
        <f>HYPERLINK("https://klasma.github.io/Logging_1737/tillsynsmail/A 53491-2020 tillsynsbegäran mail.docx", "A 53491-2020")</f>
        <v/>
      </c>
    </row>
    <row r="414" ht="15" customHeight="1">
      <c r="A414" t="inlineStr">
        <is>
          <t>A 54326-2020</t>
        </is>
      </c>
      <c r="B414" s="1" t="n">
        <v>44126</v>
      </c>
      <c r="C414" s="1" t="n">
        <v>45736</v>
      </c>
      <c r="D414" t="inlineStr">
        <is>
          <t>VÄRMLANDS LÄN</t>
        </is>
      </c>
      <c r="E414" t="inlineStr">
        <is>
          <t>HAMMARÖ</t>
        </is>
      </c>
      <c r="G414" t="n">
        <v>0.7</v>
      </c>
      <c r="H414" t="n">
        <v>1</v>
      </c>
      <c r="I414" t="n">
        <v>0</v>
      </c>
      <c r="J414" t="n">
        <v>0</v>
      </c>
      <c r="K414" t="n">
        <v>0</v>
      </c>
      <c r="L414" t="n">
        <v>0</v>
      </c>
      <c r="M414" t="n">
        <v>0</v>
      </c>
      <c r="N414" t="n">
        <v>0</v>
      </c>
      <c r="O414" t="n">
        <v>0</v>
      </c>
      <c r="P414" t="n">
        <v>0</v>
      </c>
      <c r="Q414" t="n">
        <v>1</v>
      </c>
      <c r="R414" s="2" t="inlineStr">
        <is>
          <t>Törnskata</t>
        </is>
      </c>
      <c r="S414">
        <f>HYPERLINK("https://klasma.github.io/Logging_1761/artfynd/A 54326-2020 artfynd.xlsx", "A 54326-2020")</f>
        <v/>
      </c>
      <c r="T414">
        <f>HYPERLINK("https://klasma.github.io/Logging_1761/kartor/A 54326-2020 karta.png", "A 54326-2020")</f>
        <v/>
      </c>
      <c r="V414">
        <f>HYPERLINK("https://klasma.github.io/Logging_1761/klagomål/A 54326-2020 FSC-klagomål.docx", "A 54326-2020")</f>
        <v/>
      </c>
      <c r="W414">
        <f>HYPERLINK("https://klasma.github.io/Logging_1761/klagomålsmail/A 54326-2020 FSC-klagomål mail.docx", "A 54326-2020")</f>
        <v/>
      </c>
      <c r="X414">
        <f>HYPERLINK("https://klasma.github.io/Logging_1761/tillsyn/A 54326-2020 tillsynsbegäran.docx", "A 54326-2020")</f>
        <v/>
      </c>
      <c r="Y414">
        <f>HYPERLINK("https://klasma.github.io/Logging_1761/tillsynsmail/A 54326-2020 tillsynsbegäran mail.docx", "A 54326-2020")</f>
        <v/>
      </c>
      <c r="Z414">
        <f>HYPERLINK("https://klasma.github.io/Logging_1761/fåglar/A 54326-2020 prioriterade fågelarter.docx", "A 54326-2020")</f>
        <v/>
      </c>
    </row>
    <row r="415" ht="15" customHeight="1">
      <c r="A415" t="inlineStr">
        <is>
          <t>A 55736-2020</t>
        </is>
      </c>
      <c r="B415" s="1" t="n">
        <v>44132</v>
      </c>
      <c r="C415" s="1" t="n">
        <v>45736</v>
      </c>
      <c r="D415" t="inlineStr">
        <is>
          <t>VÄRMLANDS LÄN</t>
        </is>
      </c>
      <c r="E415" t="inlineStr">
        <is>
          <t>ARVIKA</t>
        </is>
      </c>
      <c r="G415" t="n">
        <v>7.5</v>
      </c>
      <c r="H415" t="n">
        <v>0</v>
      </c>
      <c r="I415" t="n">
        <v>1</v>
      </c>
      <c r="J415" t="n">
        <v>0</v>
      </c>
      <c r="K415" t="n">
        <v>0</v>
      </c>
      <c r="L415" t="n">
        <v>0</v>
      </c>
      <c r="M415" t="n">
        <v>0</v>
      </c>
      <c r="N415" t="n">
        <v>0</v>
      </c>
      <c r="O415" t="n">
        <v>0</v>
      </c>
      <c r="P415" t="n">
        <v>0</v>
      </c>
      <c r="Q415" t="n">
        <v>1</v>
      </c>
      <c r="R415" s="2" t="inlineStr">
        <is>
          <t>Tibast</t>
        </is>
      </c>
      <c r="S415">
        <f>HYPERLINK("https://klasma.github.io/Logging_1784/artfynd/A 55736-2020 artfynd.xlsx", "A 55736-2020")</f>
        <v/>
      </c>
      <c r="T415">
        <f>HYPERLINK("https://klasma.github.io/Logging_1784/kartor/A 55736-2020 karta.png", "A 55736-2020")</f>
        <v/>
      </c>
      <c r="V415">
        <f>HYPERLINK("https://klasma.github.io/Logging_1784/klagomål/A 55736-2020 FSC-klagomål.docx", "A 55736-2020")</f>
        <v/>
      </c>
      <c r="W415">
        <f>HYPERLINK("https://klasma.github.io/Logging_1784/klagomålsmail/A 55736-2020 FSC-klagomål mail.docx", "A 55736-2020")</f>
        <v/>
      </c>
      <c r="X415">
        <f>HYPERLINK("https://klasma.github.io/Logging_1784/tillsyn/A 55736-2020 tillsynsbegäran.docx", "A 55736-2020")</f>
        <v/>
      </c>
      <c r="Y415">
        <f>HYPERLINK("https://klasma.github.io/Logging_1784/tillsynsmail/A 55736-2020 tillsynsbegäran mail.docx", "A 55736-2020")</f>
        <v/>
      </c>
    </row>
    <row r="416" ht="15" customHeight="1">
      <c r="A416" t="inlineStr">
        <is>
          <t>A 56253-2020</t>
        </is>
      </c>
      <c r="B416" s="1" t="n">
        <v>44134</v>
      </c>
      <c r="C416" s="1" t="n">
        <v>45736</v>
      </c>
      <c r="D416" t="inlineStr">
        <is>
          <t>VÄRMLANDS LÄN</t>
        </is>
      </c>
      <c r="E416" t="inlineStr">
        <is>
          <t>ARVIKA</t>
        </is>
      </c>
      <c r="G416" t="n">
        <v>2.2</v>
      </c>
      <c r="H416" t="n">
        <v>1</v>
      </c>
      <c r="I416" t="n">
        <v>0</v>
      </c>
      <c r="J416" t="n">
        <v>1</v>
      </c>
      <c r="K416" t="n">
        <v>0</v>
      </c>
      <c r="L416" t="n">
        <v>0</v>
      </c>
      <c r="M416" t="n">
        <v>0</v>
      </c>
      <c r="N416" t="n">
        <v>0</v>
      </c>
      <c r="O416" t="n">
        <v>1</v>
      </c>
      <c r="P416" t="n">
        <v>0</v>
      </c>
      <c r="Q416" t="n">
        <v>1</v>
      </c>
      <c r="R416" s="2" t="inlineStr">
        <is>
          <t>Spillkråka</t>
        </is>
      </c>
      <c r="S416">
        <f>HYPERLINK("https://klasma.github.io/Logging_1784/artfynd/A 56253-2020 artfynd.xlsx", "A 56253-2020")</f>
        <v/>
      </c>
      <c r="T416">
        <f>HYPERLINK("https://klasma.github.io/Logging_1784/kartor/A 56253-2020 karta.png", "A 56253-2020")</f>
        <v/>
      </c>
      <c r="V416">
        <f>HYPERLINK("https://klasma.github.io/Logging_1784/klagomål/A 56253-2020 FSC-klagomål.docx", "A 56253-2020")</f>
        <v/>
      </c>
      <c r="W416">
        <f>HYPERLINK("https://klasma.github.io/Logging_1784/klagomålsmail/A 56253-2020 FSC-klagomål mail.docx", "A 56253-2020")</f>
        <v/>
      </c>
      <c r="X416">
        <f>HYPERLINK("https://klasma.github.io/Logging_1784/tillsyn/A 56253-2020 tillsynsbegäran.docx", "A 56253-2020")</f>
        <v/>
      </c>
      <c r="Y416">
        <f>HYPERLINK("https://klasma.github.io/Logging_1784/tillsynsmail/A 56253-2020 tillsynsbegäran mail.docx", "A 56253-2020")</f>
        <v/>
      </c>
      <c r="Z416">
        <f>HYPERLINK("https://klasma.github.io/Logging_1784/fåglar/A 56253-2020 prioriterade fågelarter.docx", "A 56253-2020")</f>
        <v/>
      </c>
    </row>
    <row r="417" ht="15" customHeight="1">
      <c r="A417" t="inlineStr">
        <is>
          <t>A 59466-2020</t>
        </is>
      </c>
      <c r="B417" s="1" t="n">
        <v>44148</v>
      </c>
      <c r="C417" s="1" t="n">
        <v>45736</v>
      </c>
      <c r="D417" t="inlineStr">
        <is>
          <t>VÄRMLANDS LÄN</t>
        </is>
      </c>
      <c r="E417" t="inlineStr">
        <is>
          <t>SÄFFLE</t>
        </is>
      </c>
      <c r="G417" t="n">
        <v>4.9</v>
      </c>
      <c r="H417" t="n">
        <v>0</v>
      </c>
      <c r="I417" t="n">
        <v>0</v>
      </c>
      <c r="J417" t="n">
        <v>1</v>
      </c>
      <c r="K417" t="n">
        <v>0</v>
      </c>
      <c r="L417" t="n">
        <v>0</v>
      </c>
      <c r="M417" t="n">
        <v>0</v>
      </c>
      <c r="N417" t="n">
        <v>0</v>
      </c>
      <c r="O417" t="n">
        <v>1</v>
      </c>
      <c r="P417" t="n">
        <v>0</v>
      </c>
      <c r="Q417" t="n">
        <v>1</v>
      </c>
      <c r="R417" s="2" t="inlineStr">
        <is>
          <t>Motaggsvamp</t>
        </is>
      </c>
      <c r="S417">
        <f>HYPERLINK("https://klasma.github.io/Logging_1785/artfynd/A 59466-2020 artfynd.xlsx", "A 59466-2020")</f>
        <v/>
      </c>
      <c r="T417">
        <f>HYPERLINK("https://klasma.github.io/Logging_1785/kartor/A 59466-2020 karta.png", "A 59466-2020")</f>
        <v/>
      </c>
      <c r="V417">
        <f>HYPERLINK("https://klasma.github.io/Logging_1785/klagomål/A 59466-2020 FSC-klagomål.docx", "A 59466-2020")</f>
        <v/>
      </c>
      <c r="W417">
        <f>HYPERLINK("https://klasma.github.io/Logging_1785/klagomålsmail/A 59466-2020 FSC-klagomål mail.docx", "A 59466-2020")</f>
        <v/>
      </c>
      <c r="X417">
        <f>HYPERLINK("https://klasma.github.io/Logging_1785/tillsyn/A 59466-2020 tillsynsbegäran.docx", "A 59466-2020")</f>
        <v/>
      </c>
      <c r="Y417">
        <f>HYPERLINK("https://klasma.github.io/Logging_1785/tillsynsmail/A 59466-2020 tillsynsbegäran mail.docx", "A 59466-2020")</f>
        <v/>
      </c>
    </row>
    <row r="418" ht="15" customHeight="1">
      <c r="A418" t="inlineStr">
        <is>
          <t>A 61846-2020</t>
        </is>
      </c>
      <c r="B418" s="1" t="n">
        <v>44159</v>
      </c>
      <c r="C418" s="1" t="n">
        <v>45736</v>
      </c>
      <c r="D418" t="inlineStr">
        <is>
          <t>VÄRMLANDS LÄN</t>
        </is>
      </c>
      <c r="E418" t="inlineStr">
        <is>
          <t>ÅRJÄNG</t>
        </is>
      </c>
      <c r="G418" t="n">
        <v>2</v>
      </c>
      <c r="H418" t="n">
        <v>0</v>
      </c>
      <c r="I418" t="n">
        <v>1</v>
      </c>
      <c r="J418" t="n">
        <v>0</v>
      </c>
      <c r="K418" t="n">
        <v>0</v>
      </c>
      <c r="L418" t="n">
        <v>0</v>
      </c>
      <c r="M418" t="n">
        <v>0</v>
      </c>
      <c r="N418" t="n">
        <v>0</v>
      </c>
      <c r="O418" t="n">
        <v>0</v>
      </c>
      <c r="P418" t="n">
        <v>0</v>
      </c>
      <c r="Q418" t="n">
        <v>1</v>
      </c>
      <c r="R418" s="2" t="inlineStr">
        <is>
          <t>Korallblylav</t>
        </is>
      </c>
      <c r="S418">
        <f>HYPERLINK("https://klasma.github.io/Logging_1765/artfynd/A 61846-2020 artfynd.xlsx", "A 61846-2020")</f>
        <v/>
      </c>
      <c r="T418">
        <f>HYPERLINK("https://klasma.github.io/Logging_1765/kartor/A 61846-2020 karta.png", "A 61846-2020")</f>
        <v/>
      </c>
      <c r="V418">
        <f>HYPERLINK("https://klasma.github.io/Logging_1765/klagomål/A 61846-2020 FSC-klagomål.docx", "A 61846-2020")</f>
        <v/>
      </c>
      <c r="W418">
        <f>HYPERLINK("https://klasma.github.io/Logging_1765/klagomålsmail/A 61846-2020 FSC-klagomål mail.docx", "A 61846-2020")</f>
        <v/>
      </c>
      <c r="X418">
        <f>HYPERLINK("https://klasma.github.io/Logging_1765/tillsyn/A 61846-2020 tillsynsbegäran.docx", "A 61846-2020")</f>
        <v/>
      </c>
      <c r="Y418">
        <f>HYPERLINK("https://klasma.github.io/Logging_1765/tillsynsmail/A 61846-2020 tillsynsbegäran mail.docx", "A 61846-2020")</f>
        <v/>
      </c>
    </row>
    <row r="419" ht="15" customHeight="1">
      <c r="A419" t="inlineStr">
        <is>
          <t>A 63540-2020</t>
        </is>
      </c>
      <c r="B419" s="1" t="n">
        <v>44165</v>
      </c>
      <c r="C419" s="1" t="n">
        <v>45736</v>
      </c>
      <c r="D419" t="inlineStr">
        <is>
          <t>VÄRMLANDS LÄN</t>
        </is>
      </c>
      <c r="E419" t="inlineStr">
        <is>
          <t>ARVIKA</t>
        </is>
      </c>
      <c r="G419" t="n">
        <v>4.3</v>
      </c>
      <c r="H419" t="n">
        <v>1</v>
      </c>
      <c r="I419" t="n">
        <v>0</v>
      </c>
      <c r="J419" t="n">
        <v>0</v>
      </c>
      <c r="K419" t="n">
        <v>1</v>
      </c>
      <c r="L419" t="n">
        <v>0</v>
      </c>
      <c r="M419" t="n">
        <v>0</v>
      </c>
      <c r="N419" t="n">
        <v>0</v>
      </c>
      <c r="O419" t="n">
        <v>1</v>
      </c>
      <c r="P419" t="n">
        <v>1</v>
      </c>
      <c r="Q419" t="n">
        <v>1</v>
      </c>
      <c r="R419" s="2" t="inlineStr">
        <is>
          <t>Knärot</t>
        </is>
      </c>
      <c r="S419">
        <f>HYPERLINK("https://klasma.github.io/Logging_1784/artfynd/A 63540-2020 artfynd.xlsx", "A 63540-2020")</f>
        <v/>
      </c>
      <c r="T419">
        <f>HYPERLINK("https://klasma.github.io/Logging_1784/kartor/A 63540-2020 karta.png", "A 63540-2020")</f>
        <v/>
      </c>
      <c r="U419">
        <f>HYPERLINK("https://klasma.github.io/Logging_1784/knärot/A 63540-2020 karta knärot.png", "A 63540-2020")</f>
        <v/>
      </c>
      <c r="V419">
        <f>HYPERLINK("https://klasma.github.io/Logging_1784/klagomål/A 63540-2020 FSC-klagomål.docx", "A 63540-2020")</f>
        <v/>
      </c>
      <c r="W419">
        <f>HYPERLINK("https://klasma.github.io/Logging_1784/klagomålsmail/A 63540-2020 FSC-klagomål mail.docx", "A 63540-2020")</f>
        <v/>
      </c>
      <c r="X419">
        <f>HYPERLINK("https://klasma.github.io/Logging_1784/tillsyn/A 63540-2020 tillsynsbegäran.docx", "A 63540-2020")</f>
        <v/>
      </c>
      <c r="Y419">
        <f>HYPERLINK("https://klasma.github.io/Logging_1784/tillsynsmail/A 63540-2020 tillsynsbegäran mail.docx", "A 63540-2020")</f>
        <v/>
      </c>
    </row>
    <row r="420" ht="15" customHeight="1">
      <c r="A420" t="inlineStr">
        <is>
          <t>A 65851-2020</t>
        </is>
      </c>
      <c r="B420" s="1" t="n">
        <v>44174</v>
      </c>
      <c r="C420" s="1" t="n">
        <v>45736</v>
      </c>
      <c r="D420" t="inlineStr">
        <is>
          <t>VÄRMLANDS LÄN</t>
        </is>
      </c>
      <c r="E420" t="inlineStr">
        <is>
          <t>KARLSTAD</t>
        </is>
      </c>
      <c r="F420" t="inlineStr">
        <is>
          <t>Bergvik skog väst AB</t>
        </is>
      </c>
      <c r="G420" t="n">
        <v>3.3</v>
      </c>
      <c r="H420" t="n">
        <v>0</v>
      </c>
      <c r="I420" t="n">
        <v>0</v>
      </c>
      <c r="J420" t="n">
        <v>0</v>
      </c>
      <c r="K420" t="n">
        <v>0</v>
      </c>
      <c r="L420" t="n">
        <v>0</v>
      </c>
      <c r="M420" t="n">
        <v>1</v>
      </c>
      <c r="N420" t="n">
        <v>0</v>
      </c>
      <c r="O420" t="n">
        <v>1</v>
      </c>
      <c r="P420" t="n">
        <v>1</v>
      </c>
      <c r="Q420" t="n">
        <v>1</v>
      </c>
      <c r="R420" s="2" t="inlineStr">
        <is>
          <t>Skogsalm</t>
        </is>
      </c>
      <c r="S420">
        <f>HYPERLINK("https://klasma.github.io/Logging_1780/artfynd/A 65851-2020 artfynd.xlsx", "A 65851-2020")</f>
        <v/>
      </c>
      <c r="T420">
        <f>HYPERLINK("https://klasma.github.io/Logging_1780/kartor/A 65851-2020 karta.png", "A 65851-2020")</f>
        <v/>
      </c>
      <c r="V420">
        <f>HYPERLINK("https://klasma.github.io/Logging_1780/klagomål/A 65851-2020 FSC-klagomål.docx", "A 65851-2020")</f>
        <v/>
      </c>
      <c r="W420">
        <f>HYPERLINK("https://klasma.github.io/Logging_1780/klagomålsmail/A 65851-2020 FSC-klagomål mail.docx", "A 65851-2020")</f>
        <v/>
      </c>
      <c r="X420">
        <f>HYPERLINK("https://klasma.github.io/Logging_1780/tillsyn/A 65851-2020 tillsynsbegäran.docx", "A 65851-2020")</f>
        <v/>
      </c>
      <c r="Y420">
        <f>HYPERLINK("https://klasma.github.io/Logging_1780/tillsynsmail/A 65851-2020 tillsynsbegäran mail.docx", "A 65851-2020")</f>
        <v/>
      </c>
    </row>
    <row r="421" ht="15" customHeight="1">
      <c r="A421" t="inlineStr">
        <is>
          <t>A 66802-2020</t>
        </is>
      </c>
      <c r="B421" s="1" t="n">
        <v>44179</v>
      </c>
      <c r="C421" s="1" t="n">
        <v>45736</v>
      </c>
      <c r="D421" t="inlineStr">
        <is>
          <t>VÄRMLANDS LÄN</t>
        </is>
      </c>
      <c r="E421" t="inlineStr">
        <is>
          <t>EDA</t>
        </is>
      </c>
      <c r="G421" t="n">
        <v>8.1</v>
      </c>
      <c r="H421" t="n">
        <v>1</v>
      </c>
      <c r="I421" t="n">
        <v>0</v>
      </c>
      <c r="J421" t="n">
        <v>0</v>
      </c>
      <c r="K421" t="n">
        <v>0</v>
      </c>
      <c r="L421" t="n">
        <v>0</v>
      </c>
      <c r="M421" t="n">
        <v>0</v>
      </c>
      <c r="N421" t="n">
        <v>0</v>
      </c>
      <c r="O421" t="n">
        <v>0</v>
      </c>
      <c r="P421" t="n">
        <v>0</v>
      </c>
      <c r="Q421" t="n">
        <v>1</v>
      </c>
      <c r="R421" s="2" t="inlineStr">
        <is>
          <t>Mindre flugsnappare</t>
        </is>
      </c>
      <c r="S421">
        <f>HYPERLINK("https://klasma.github.io/Logging_1730/artfynd/A 66802-2020 artfynd.xlsx", "A 66802-2020")</f>
        <v/>
      </c>
      <c r="T421">
        <f>HYPERLINK("https://klasma.github.io/Logging_1730/kartor/A 66802-2020 karta.png", "A 66802-2020")</f>
        <v/>
      </c>
      <c r="V421">
        <f>HYPERLINK("https://klasma.github.io/Logging_1730/klagomål/A 66802-2020 FSC-klagomål.docx", "A 66802-2020")</f>
        <v/>
      </c>
      <c r="W421">
        <f>HYPERLINK("https://klasma.github.io/Logging_1730/klagomålsmail/A 66802-2020 FSC-klagomål mail.docx", "A 66802-2020")</f>
        <v/>
      </c>
      <c r="X421">
        <f>HYPERLINK("https://klasma.github.io/Logging_1730/tillsyn/A 66802-2020 tillsynsbegäran.docx", "A 66802-2020")</f>
        <v/>
      </c>
      <c r="Y421">
        <f>HYPERLINK("https://klasma.github.io/Logging_1730/tillsynsmail/A 66802-2020 tillsynsbegäran mail.docx", "A 66802-2020")</f>
        <v/>
      </c>
      <c r="Z421">
        <f>HYPERLINK("https://klasma.github.io/Logging_1730/fåglar/A 66802-2020 prioriterade fågelarter.docx", "A 66802-2020")</f>
        <v/>
      </c>
    </row>
    <row r="422" ht="15" customHeight="1">
      <c r="A422" t="inlineStr">
        <is>
          <t>A 67928-2020</t>
        </is>
      </c>
      <c r="B422" s="1" t="n">
        <v>44182</v>
      </c>
      <c r="C422" s="1" t="n">
        <v>45736</v>
      </c>
      <c r="D422" t="inlineStr">
        <is>
          <t>VÄRMLANDS LÄN</t>
        </is>
      </c>
      <c r="E422" t="inlineStr">
        <is>
          <t>KARLSTAD</t>
        </is>
      </c>
      <c r="G422" t="n">
        <v>5</v>
      </c>
      <c r="H422" t="n">
        <v>0</v>
      </c>
      <c r="I422" t="n">
        <v>1</v>
      </c>
      <c r="J422" t="n">
        <v>0</v>
      </c>
      <c r="K422" t="n">
        <v>0</v>
      </c>
      <c r="L422" t="n">
        <v>0</v>
      </c>
      <c r="M422" t="n">
        <v>0</v>
      </c>
      <c r="N422" t="n">
        <v>0</v>
      </c>
      <c r="O422" t="n">
        <v>0</v>
      </c>
      <c r="P422" t="n">
        <v>0</v>
      </c>
      <c r="Q422" t="n">
        <v>1</v>
      </c>
      <c r="R422" s="2" t="inlineStr">
        <is>
          <t>Fjällig taggsvamp s.str.</t>
        </is>
      </c>
      <c r="S422">
        <f>HYPERLINK("https://klasma.github.io/Logging_1780/artfynd/A 67928-2020 artfynd.xlsx", "A 67928-2020")</f>
        <v/>
      </c>
      <c r="T422">
        <f>HYPERLINK("https://klasma.github.io/Logging_1780/kartor/A 67928-2020 karta.png", "A 67928-2020")</f>
        <v/>
      </c>
      <c r="V422">
        <f>HYPERLINK("https://klasma.github.io/Logging_1780/klagomål/A 67928-2020 FSC-klagomål.docx", "A 67928-2020")</f>
        <v/>
      </c>
      <c r="W422">
        <f>HYPERLINK("https://klasma.github.io/Logging_1780/klagomålsmail/A 67928-2020 FSC-klagomål mail.docx", "A 67928-2020")</f>
        <v/>
      </c>
      <c r="X422">
        <f>HYPERLINK("https://klasma.github.io/Logging_1780/tillsyn/A 67928-2020 tillsynsbegäran.docx", "A 67928-2020")</f>
        <v/>
      </c>
      <c r="Y422">
        <f>HYPERLINK("https://klasma.github.io/Logging_1780/tillsynsmail/A 67928-2020 tillsynsbegäran mail.docx", "A 67928-2020")</f>
        <v/>
      </c>
    </row>
    <row r="423" ht="15" customHeight="1">
      <c r="A423" t="inlineStr">
        <is>
          <t>A 68077-2020</t>
        </is>
      </c>
      <c r="B423" s="1" t="n">
        <v>44183</v>
      </c>
      <c r="C423" s="1" t="n">
        <v>45736</v>
      </c>
      <c r="D423" t="inlineStr">
        <is>
          <t>VÄRMLANDS LÄN</t>
        </is>
      </c>
      <c r="E423" t="inlineStr">
        <is>
          <t>FORSHAGA</t>
        </is>
      </c>
      <c r="G423" t="n">
        <v>2.8</v>
      </c>
      <c r="H423" t="n">
        <v>1</v>
      </c>
      <c r="I423" t="n">
        <v>0</v>
      </c>
      <c r="J423" t="n">
        <v>0</v>
      </c>
      <c r="K423" t="n">
        <v>0</v>
      </c>
      <c r="L423" t="n">
        <v>0</v>
      </c>
      <c r="M423" t="n">
        <v>0</v>
      </c>
      <c r="N423" t="n">
        <v>0</v>
      </c>
      <c r="O423" t="n">
        <v>0</v>
      </c>
      <c r="P423" t="n">
        <v>0</v>
      </c>
      <c r="Q423" t="n">
        <v>1</v>
      </c>
      <c r="R423" s="2" t="inlineStr">
        <is>
          <t>Grönvit nattviol</t>
        </is>
      </c>
      <c r="S423">
        <f>HYPERLINK("https://klasma.github.io/Logging_1763/artfynd/A 68077-2020 artfynd.xlsx", "A 68077-2020")</f>
        <v/>
      </c>
      <c r="T423">
        <f>HYPERLINK("https://klasma.github.io/Logging_1763/kartor/A 68077-2020 karta.png", "A 68077-2020")</f>
        <v/>
      </c>
      <c r="V423">
        <f>HYPERLINK("https://klasma.github.io/Logging_1763/klagomål/A 68077-2020 FSC-klagomål.docx", "A 68077-2020")</f>
        <v/>
      </c>
      <c r="W423">
        <f>HYPERLINK("https://klasma.github.io/Logging_1763/klagomålsmail/A 68077-2020 FSC-klagomål mail.docx", "A 68077-2020")</f>
        <v/>
      </c>
      <c r="X423">
        <f>HYPERLINK("https://klasma.github.io/Logging_1763/tillsyn/A 68077-2020 tillsynsbegäran.docx", "A 68077-2020")</f>
        <v/>
      </c>
      <c r="Y423">
        <f>HYPERLINK("https://klasma.github.io/Logging_1763/tillsynsmail/A 68077-2020 tillsynsbegäran mail.docx", "A 68077-2020")</f>
        <v/>
      </c>
    </row>
    <row r="424" ht="15" customHeight="1">
      <c r="A424" t="inlineStr">
        <is>
          <t>A 2194-2021</t>
        </is>
      </c>
      <c r="B424" s="1" t="n">
        <v>44211</v>
      </c>
      <c r="C424" s="1" t="n">
        <v>45736</v>
      </c>
      <c r="D424" t="inlineStr">
        <is>
          <t>VÄRMLANDS LÄN</t>
        </is>
      </c>
      <c r="E424" t="inlineStr">
        <is>
          <t>KARLSTAD</t>
        </is>
      </c>
      <c r="G424" t="n">
        <v>2.3</v>
      </c>
      <c r="H424" t="n">
        <v>1</v>
      </c>
      <c r="I424" t="n">
        <v>0</v>
      </c>
      <c r="J424" t="n">
        <v>0</v>
      </c>
      <c r="K424" t="n">
        <v>1</v>
      </c>
      <c r="L424" t="n">
        <v>0</v>
      </c>
      <c r="M424" t="n">
        <v>0</v>
      </c>
      <c r="N424" t="n">
        <v>0</v>
      </c>
      <c r="O424" t="n">
        <v>1</v>
      </c>
      <c r="P424" t="n">
        <v>1</v>
      </c>
      <c r="Q424" t="n">
        <v>1</v>
      </c>
      <c r="R424" s="2" t="inlineStr">
        <is>
          <t>Knärot</t>
        </is>
      </c>
      <c r="S424">
        <f>HYPERLINK("https://klasma.github.io/Logging_1780/artfynd/A 2194-2021 artfynd.xlsx", "A 2194-2021")</f>
        <v/>
      </c>
      <c r="T424">
        <f>HYPERLINK("https://klasma.github.io/Logging_1780/kartor/A 2194-2021 karta.png", "A 2194-2021")</f>
        <v/>
      </c>
      <c r="U424">
        <f>HYPERLINK("https://klasma.github.io/Logging_1780/knärot/A 2194-2021 karta knärot.png", "A 2194-2021")</f>
        <v/>
      </c>
      <c r="V424">
        <f>HYPERLINK("https://klasma.github.io/Logging_1780/klagomål/A 2194-2021 FSC-klagomål.docx", "A 2194-2021")</f>
        <v/>
      </c>
      <c r="W424">
        <f>HYPERLINK("https://klasma.github.io/Logging_1780/klagomålsmail/A 2194-2021 FSC-klagomål mail.docx", "A 2194-2021")</f>
        <v/>
      </c>
      <c r="X424">
        <f>HYPERLINK("https://klasma.github.io/Logging_1780/tillsyn/A 2194-2021 tillsynsbegäran.docx", "A 2194-2021")</f>
        <v/>
      </c>
      <c r="Y424">
        <f>HYPERLINK("https://klasma.github.io/Logging_1780/tillsynsmail/A 2194-2021 tillsynsbegäran mail.docx", "A 2194-2021")</f>
        <v/>
      </c>
    </row>
    <row r="425" ht="15" customHeight="1">
      <c r="A425" t="inlineStr">
        <is>
          <t>A 3974-2021</t>
        </is>
      </c>
      <c r="B425" s="1" t="n">
        <v>44217</v>
      </c>
      <c r="C425" s="1" t="n">
        <v>45736</v>
      </c>
      <c r="D425" t="inlineStr">
        <is>
          <t>VÄRMLANDS LÄN</t>
        </is>
      </c>
      <c r="E425" t="inlineStr">
        <is>
          <t>ÅRJÄNG</t>
        </is>
      </c>
      <c r="G425" t="n">
        <v>0.8</v>
      </c>
      <c r="H425" t="n">
        <v>1</v>
      </c>
      <c r="I425" t="n">
        <v>0</v>
      </c>
      <c r="J425" t="n">
        <v>1</v>
      </c>
      <c r="K425" t="n">
        <v>0</v>
      </c>
      <c r="L425" t="n">
        <v>0</v>
      </c>
      <c r="M425" t="n">
        <v>0</v>
      </c>
      <c r="N425" t="n">
        <v>0</v>
      </c>
      <c r="O425" t="n">
        <v>1</v>
      </c>
      <c r="P425" t="n">
        <v>0</v>
      </c>
      <c r="Q425" t="n">
        <v>1</v>
      </c>
      <c r="R425" s="2" t="inlineStr">
        <is>
          <t>Tretåig hackspett</t>
        </is>
      </c>
      <c r="S425">
        <f>HYPERLINK("https://klasma.github.io/Logging_1765/artfynd/A 3974-2021 artfynd.xlsx", "A 3974-2021")</f>
        <v/>
      </c>
      <c r="T425">
        <f>HYPERLINK("https://klasma.github.io/Logging_1765/kartor/A 3974-2021 karta.png", "A 3974-2021")</f>
        <v/>
      </c>
      <c r="V425">
        <f>HYPERLINK("https://klasma.github.io/Logging_1765/klagomål/A 3974-2021 FSC-klagomål.docx", "A 3974-2021")</f>
        <v/>
      </c>
      <c r="W425">
        <f>HYPERLINK("https://klasma.github.io/Logging_1765/klagomålsmail/A 3974-2021 FSC-klagomål mail.docx", "A 3974-2021")</f>
        <v/>
      </c>
      <c r="X425">
        <f>HYPERLINK("https://klasma.github.io/Logging_1765/tillsyn/A 3974-2021 tillsynsbegäran.docx", "A 3974-2021")</f>
        <v/>
      </c>
      <c r="Y425">
        <f>HYPERLINK("https://klasma.github.io/Logging_1765/tillsynsmail/A 3974-2021 tillsynsbegäran mail.docx", "A 3974-2021")</f>
        <v/>
      </c>
      <c r="Z425">
        <f>HYPERLINK("https://klasma.github.io/Logging_1765/fåglar/A 3974-2021 prioriterade fågelarter.docx", "A 3974-2021")</f>
        <v/>
      </c>
    </row>
    <row r="426" ht="15" customHeight="1">
      <c r="A426" t="inlineStr">
        <is>
          <t>A 4335-2021</t>
        </is>
      </c>
      <c r="B426" s="1" t="n">
        <v>44221</v>
      </c>
      <c r="C426" s="1" t="n">
        <v>45736</v>
      </c>
      <c r="D426" t="inlineStr">
        <is>
          <t>VÄRMLANDS LÄN</t>
        </is>
      </c>
      <c r="E426" t="inlineStr">
        <is>
          <t>SÄFFLE</t>
        </is>
      </c>
      <c r="G426" t="n">
        <v>21.3</v>
      </c>
      <c r="H426" t="n">
        <v>0</v>
      </c>
      <c r="I426" t="n">
        <v>0</v>
      </c>
      <c r="J426" t="n">
        <v>1</v>
      </c>
      <c r="K426" t="n">
        <v>0</v>
      </c>
      <c r="L426" t="n">
        <v>0</v>
      </c>
      <c r="M426" t="n">
        <v>0</v>
      </c>
      <c r="N426" t="n">
        <v>0</v>
      </c>
      <c r="O426" t="n">
        <v>1</v>
      </c>
      <c r="P426" t="n">
        <v>0</v>
      </c>
      <c r="Q426" t="n">
        <v>1</v>
      </c>
      <c r="R426" s="2" t="inlineStr">
        <is>
          <t>Skogsklocka</t>
        </is>
      </c>
      <c r="S426">
        <f>HYPERLINK("https://klasma.github.io/Logging_1785/artfynd/A 4335-2021 artfynd.xlsx", "A 4335-2021")</f>
        <v/>
      </c>
      <c r="T426">
        <f>HYPERLINK("https://klasma.github.io/Logging_1785/kartor/A 4335-2021 karta.png", "A 4335-2021")</f>
        <v/>
      </c>
      <c r="V426">
        <f>HYPERLINK("https://klasma.github.io/Logging_1785/klagomål/A 4335-2021 FSC-klagomål.docx", "A 4335-2021")</f>
        <v/>
      </c>
      <c r="W426">
        <f>HYPERLINK("https://klasma.github.io/Logging_1785/klagomålsmail/A 4335-2021 FSC-klagomål mail.docx", "A 4335-2021")</f>
        <v/>
      </c>
      <c r="X426">
        <f>HYPERLINK("https://klasma.github.io/Logging_1785/tillsyn/A 4335-2021 tillsynsbegäran.docx", "A 4335-2021")</f>
        <v/>
      </c>
      <c r="Y426">
        <f>HYPERLINK("https://klasma.github.io/Logging_1785/tillsynsmail/A 4335-2021 tillsynsbegäran mail.docx", "A 4335-2021")</f>
        <v/>
      </c>
    </row>
    <row r="427" ht="15" customHeight="1">
      <c r="A427" t="inlineStr">
        <is>
          <t>A 4799-2021</t>
        </is>
      </c>
      <c r="B427" s="1" t="n">
        <v>44225</v>
      </c>
      <c r="C427" s="1" t="n">
        <v>45736</v>
      </c>
      <c r="D427" t="inlineStr">
        <is>
          <t>VÄRMLANDS LÄN</t>
        </is>
      </c>
      <c r="E427" t="inlineStr">
        <is>
          <t>KARLSTAD</t>
        </is>
      </c>
      <c r="G427" t="n">
        <v>2.8</v>
      </c>
      <c r="H427" t="n">
        <v>0</v>
      </c>
      <c r="I427" t="n">
        <v>1</v>
      </c>
      <c r="J427" t="n">
        <v>0</v>
      </c>
      <c r="K427" t="n">
        <v>0</v>
      </c>
      <c r="L427" t="n">
        <v>0</v>
      </c>
      <c r="M427" t="n">
        <v>0</v>
      </c>
      <c r="N427" t="n">
        <v>0</v>
      </c>
      <c r="O427" t="n">
        <v>0</v>
      </c>
      <c r="P427" t="n">
        <v>0</v>
      </c>
      <c r="Q427" t="n">
        <v>1</v>
      </c>
      <c r="R427" s="2" t="inlineStr">
        <is>
          <t>Svart trolldruva</t>
        </is>
      </c>
      <c r="S427">
        <f>HYPERLINK("https://klasma.github.io/Logging_1780/artfynd/A 4799-2021 artfynd.xlsx", "A 4799-2021")</f>
        <v/>
      </c>
      <c r="T427">
        <f>HYPERLINK("https://klasma.github.io/Logging_1780/kartor/A 4799-2021 karta.png", "A 4799-2021")</f>
        <v/>
      </c>
      <c r="V427">
        <f>HYPERLINK("https://klasma.github.io/Logging_1780/klagomål/A 4799-2021 FSC-klagomål.docx", "A 4799-2021")</f>
        <v/>
      </c>
      <c r="W427">
        <f>HYPERLINK("https://klasma.github.io/Logging_1780/klagomålsmail/A 4799-2021 FSC-klagomål mail.docx", "A 4799-2021")</f>
        <v/>
      </c>
      <c r="X427">
        <f>HYPERLINK("https://klasma.github.io/Logging_1780/tillsyn/A 4799-2021 tillsynsbegäran.docx", "A 4799-2021")</f>
        <v/>
      </c>
      <c r="Y427">
        <f>HYPERLINK("https://klasma.github.io/Logging_1780/tillsynsmail/A 4799-2021 tillsynsbegäran mail.docx", "A 4799-2021")</f>
        <v/>
      </c>
    </row>
    <row r="428" ht="15" customHeight="1">
      <c r="A428" t="inlineStr">
        <is>
          <t>A 8048-2021</t>
        </is>
      </c>
      <c r="B428" s="1" t="n">
        <v>44243</v>
      </c>
      <c r="C428" s="1" t="n">
        <v>45736</v>
      </c>
      <c r="D428" t="inlineStr">
        <is>
          <t>VÄRMLANDS LÄN</t>
        </is>
      </c>
      <c r="E428" t="inlineStr">
        <is>
          <t>STORFORS</t>
        </is>
      </c>
      <c r="G428" t="n">
        <v>11.1</v>
      </c>
      <c r="H428" t="n">
        <v>0</v>
      </c>
      <c r="I428" t="n">
        <v>1</v>
      </c>
      <c r="J428" t="n">
        <v>0</v>
      </c>
      <c r="K428" t="n">
        <v>0</v>
      </c>
      <c r="L428" t="n">
        <v>0</v>
      </c>
      <c r="M428" t="n">
        <v>0</v>
      </c>
      <c r="N428" t="n">
        <v>0</v>
      </c>
      <c r="O428" t="n">
        <v>0</v>
      </c>
      <c r="P428" t="n">
        <v>0</v>
      </c>
      <c r="Q428" t="n">
        <v>1</v>
      </c>
      <c r="R428" s="2" t="inlineStr">
        <is>
          <t>Korallblylav</t>
        </is>
      </c>
      <c r="S428">
        <f>HYPERLINK("https://klasma.github.io/Logging_1760/artfynd/A 8048-2021 artfynd.xlsx", "A 8048-2021")</f>
        <v/>
      </c>
      <c r="T428">
        <f>HYPERLINK("https://klasma.github.io/Logging_1760/kartor/A 8048-2021 karta.png", "A 8048-2021")</f>
        <v/>
      </c>
      <c r="V428">
        <f>HYPERLINK("https://klasma.github.io/Logging_1760/klagomål/A 8048-2021 FSC-klagomål.docx", "A 8048-2021")</f>
        <v/>
      </c>
      <c r="W428">
        <f>HYPERLINK("https://klasma.github.io/Logging_1760/klagomålsmail/A 8048-2021 FSC-klagomål mail.docx", "A 8048-2021")</f>
        <v/>
      </c>
      <c r="X428">
        <f>HYPERLINK("https://klasma.github.io/Logging_1760/tillsyn/A 8048-2021 tillsynsbegäran.docx", "A 8048-2021")</f>
        <v/>
      </c>
      <c r="Y428">
        <f>HYPERLINK("https://klasma.github.io/Logging_1760/tillsynsmail/A 8048-2021 tillsynsbegäran mail.docx", "A 8048-2021")</f>
        <v/>
      </c>
    </row>
    <row r="429" ht="15" customHeight="1">
      <c r="A429" t="inlineStr">
        <is>
          <t>A 8747-2021</t>
        </is>
      </c>
      <c r="B429" s="1" t="n">
        <v>44246</v>
      </c>
      <c r="C429" s="1" t="n">
        <v>45736</v>
      </c>
      <c r="D429" t="inlineStr">
        <is>
          <t>VÄRMLANDS LÄN</t>
        </is>
      </c>
      <c r="E429" t="inlineStr">
        <is>
          <t>TORSBY</t>
        </is>
      </c>
      <c r="G429" t="n">
        <v>8.5</v>
      </c>
      <c r="H429" t="n">
        <v>0</v>
      </c>
      <c r="I429" t="n">
        <v>0</v>
      </c>
      <c r="J429" t="n">
        <v>1</v>
      </c>
      <c r="K429" t="n">
        <v>0</v>
      </c>
      <c r="L429" t="n">
        <v>0</v>
      </c>
      <c r="M429" t="n">
        <v>0</v>
      </c>
      <c r="N429" t="n">
        <v>0</v>
      </c>
      <c r="O429" t="n">
        <v>1</v>
      </c>
      <c r="P429" t="n">
        <v>0</v>
      </c>
      <c r="Q429" t="n">
        <v>1</v>
      </c>
      <c r="R429" s="2" t="inlineStr">
        <is>
          <t>Garnlav</t>
        </is>
      </c>
      <c r="S429">
        <f>HYPERLINK("https://klasma.github.io/Logging_1737/artfynd/A 8747-2021 artfynd.xlsx", "A 8747-2021")</f>
        <v/>
      </c>
      <c r="T429">
        <f>HYPERLINK("https://klasma.github.io/Logging_1737/kartor/A 8747-2021 karta.png", "A 8747-2021")</f>
        <v/>
      </c>
      <c r="V429">
        <f>HYPERLINK("https://klasma.github.io/Logging_1737/klagomål/A 8747-2021 FSC-klagomål.docx", "A 8747-2021")</f>
        <v/>
      </c>
      <c r="W429">
        <f>HYPERLINK("https://klasma.github.io/Logging_1737/klagomålsmail/A 8747-2021 FSC-klagomål mail.docx", "A 8747-2021")</f>
        <v/>
      </c>
      <c r="X429">
        <f>HYPERLINK("https://klasma.github.io/Logging_1737/tillsyn/A 8747-2021 tillsynsbegäran.docx", "A 8747-2021")</f>
        <v/>
      </c>
      <c r="Y429">
        <f>HYPERLINK("https://klasma.github.io/Logging_1737/tillsynsmail/A 8747-2021 tillsynsbegäran mail.docx", "A 8747-2021")</f>
        <v/>
      </c>
    </row>
    <row r="430" ht="15" customHeight="1">
      <c r="A430" t="inlineStr">
        <is>
          <t>A 9558-2021</t>
        </is>
      </c>
      <c r="B430" s="1" t="n">
        <v>44251</v>
      </c>
      <c r="C430" s="1" t="n">
        <v>45736</v>
      </c>
      <c r="D430" t="inlineStr">
        <is>
          <t>VÄRMLANDS LÄN</t>
        </is>
      </c>
      <c r="E430" t="inlineStr">
        <is>
          <t>KIL</t>
        </is>
      </c>
      <c r="F430" t="inlineStr">
        <is>
          <t>Kommuner</t>
        </is>
      </c>
      <c r="G430" t="n">
        <v>2.9</v>
      </c>
      <c r="H430" t="n">
        <v>0</v>
      </c>
      <c r="I430" t="n">
        <v>0</v>
      </c>
      <c r="J430" t="n">
        <v>1</v>
      </c>
      <c r="K430" t="n">
        <v>0</v>
      </c>
      <c r="L430" t="n">
        <v>0</v>
      </c>
      <c r="M430" t="n">
        <v>0</v>
      </c>
      <c r="N430" t="n">
        <v>0</v>
      </c>
      <c r="O430" t="n">
        <v>1</v>
      </c>
      <c r="P430" t="n">
        <v>0</v>
      </c>
      <c r="Q430" t="n">
        <v>1</v>
      </c>
      <c r="R430" s="2" t="inlineStr">
        <is>
          <t>Ängsmetallvinge</t>
        </is>
      </c>
      <c r="S430">
        <f>HYPERLINK("https://klasma.github.io/Logging_1715/artfynd/A 9558-2021 artfynd.xlsx", "A 9558-2021")</f>
        <v/>
      </c>
      <c r="T430">
        <f>HYPERLINK("https://klasma.github.io/Logging_1715/kartor/A 9558-2021 karta.png", "A 9558-2021")</f>
        <v/>
      </c>
      <c r="V430">
        <f>HYPERLINK("https://klasma.github.io/Logging_1715/klagomål/A 9558-2021 FSC-klagomål.docx", "A 9558-2021")</f>
        <v/>
      </c>
      <c r="W430">
        <f>HYPERLINK("https://klasma.github.io/Logging_1715/klagomålsmail/A 9558-2021 FSC-klagomål mail.docx", "A 9558-2021")</f>
        <v/>
      </c>
      <c r="X430">
        <f>HYPERLINK("https://klasma.github.io/Logging_1715/tillsyn/A 9558-2021 tillsynsbegäran.docx", "A 9558-2021")</f>
        <v/>
      </c>
      <c r="Y430">
        <f>HYPERLINK("https://klasma.github.io/Logging_1715/tillsynsmail/A 9558-2021 tillsynsbegäran mail.docx", "A 9558-2021")</f>
        <v/>
      </c>
    </row>
    <row r="431" ht="15" customHeight="1">
      <c r="A431" t="inlineStr">
        <is>
          <t>A 15418-2021</t>
        </is>
      </c>
      <c r="B431" s="1" t="n">
        <v>44285</v>
      </c>
      <c r="C431" s="1" t="n">
        <v>45736</v>
      </c>
      <c r="D431" t="inlineStr">
        <is>
          <t>VÄRMLANDS LÄN</t>
        </is>
      </c>
      <c r="E431" t="inlineStr">
        <is>
          <t>ÅRJÄNG</t>
        </is>
      </c>
      <c r="G431" t="n">
        <v>6.6</v>
      </c>
      <c r="H431" t="n">
        <v>0</v>
      </c>
      <c r="I431" t="n">
        <v>0</v>
      </c>
      <c r="J431" t="n">
        <v>1</v>
      </c>
      <c r="K431" t="n">
        <v>0</v>
      </c>
      <c r="L431" t="n">
        <v>0</v>
      </c>
      <c r="M431" t="n">
        <v>0</v>
      </c>
      <c r="N431" t="n">
        <v>0</v>
      </c>
      <c r="O431" t="n">
        <v>1</v>
      </c>
      <c r="P431" t="n">
        <v>0</v>
      </c>
      <c r="Q431" t="n">
        <v>1</v>
      </c>
      <c r="R431" s="2" t="inlineStr">
        <is>
          <t>Lunglav</t>
        </is>
      </c>
      <c r="S431">
        <f>HYPERLINK("https://klasma.github.io/Logging_1765/artfynd/A 15418-2021 artfynd.xlsx", "A 15418-2021")</f>
        <v/>
      </c>
      <c r="T431">
        <f>HYPERLINK("https://klasma.github.io/Logging_1765/kartor/A 15418-2021 karta.png", "A 15418-2021")</f>
        <v/>
      </c>
      <c r="V431">
        <f>HYPERLINK("https://klasma.github.io/Logging_1765/klagomål/A 15418-2021 FSC-klagomål.docx", "A 15418-2021")</f>
        <v/>
      </c>
      <c r="W431">
        <f>HYPERLINK("https://klasma.github.io/Logging_1765/klagomålsmail/A 15418-2021 FSC-klagomål mail.docx", "A 15418-2021")</f>
        <v/>
      </c>
      <c r="X431">
        <f>HYPERLINK("https://klasma.github.io/Logging_1765/tillsyn/A 15418-2021 tillsynsbegäran.docx", "A 15418-2021")</f>
        <v/>
      </c>
      <c r="Y431">
        <f>HYPERLINK("https://klasma.github.io/Logging_1765/tillsynsmail/A 15418-2021 tillsynsbegäran mail.docx", "A 15418-2021")</f>
        <v/>
      </c>
    </row>
    <row r="432" ht="15" customHeight="1">
      <c r="A432" t="inlineStr">
        <is>
          <t>A 21073-2021</t>
        </is>
      </c>
      <c r="B432" s="1" t="n">
        <v>44319</v>
      </c>
      <c r="C432" s="1" t="n">
        <v>45736</v>
      </c>
      <c r="D432" t="inlineStr">
        <is>
          <t>VÄRMLANDS LÄN</t>
        </is>
      </c>
      <c r="E432" t="inlineStr">
        <is>
          <t>STORFORS</t>
        </is>
      </c>
      <c r="G432" t="n">
        <v>6.1</v>
      </c>
      <c r="H432" t="n">
        <v>0</v>
      </c>
      <c r="I432" t="n">
        <v>1</v>
      </c>
      <c r="J432" t="n">
        <v>0</v>
      </c>
      <c r="K432" t="n">
        <v>0</v>
      </c>
      <c r="L432" t="n">
        <v>0</v>
      </c>
      <c r="M432" t="n">
        <v>0</v>
      </c>
      <c r="N432" t="n">
        <v>0</v>
      </c>
      <c r="O432" t="n">
        <v>0</v>
      </c>
      <c r="P432" t="n">
        <v>0</v>
      </c>
      <c r="Q432" t="n">
        <v>1</v>
      </c>
      <c r="R432" s="2" t="inlineStr">
        <is>
          <t>Korallblylav</t>
        </is>
      </c>
      <c r="S432">
        <f>HYPERLINK("https://klasma.github.io/Logging_1760/artfynd/A 21073-2021 artfynd.xlsx", "A 21073-2021")</f>
        <v/>
      </c>
      <c r="T432">
        <f>HYPERLINK("https://klasma.github.io/Logging_1760/kartor/A 21073-2021 karta.png", "A 21073-2021")</f>
        <v/>
      </c>
      <c r="V432">
        <f>HYPERLINK("https://klasma.github.io/Logging_1760/klagomål/A 21073-2021 FSC-klagomål.docx", "A 21073-2021")</f>
        <v/>
      </c>
      <c r="W432">
        <f>HYPERLINK("https://klasma.github.io/Logging_1760/klagomålsmail/A 21073-2021 FSC-klagomål mail.docx", "A 21073-2021")</f>
        <v/>
      </c>
      <c r="X432">
        <f>HYPERLINK("https://klasma.github.io/Logging_1760/tillsyn/A 21073-2021 tillsynsbegäran.docx", "A 21073-2021")</f>
        <v/>
      </c>
      <c r="Y432">
        <f>HYPERLINK("https://klasma.github.io/Logging_1760/tillsynsmail/A 21073-2021 tillsynsbegäran mail.docx", "A 21073-2021")</f>
        <v/>
      </c>
    </row>
    <row r="433" ht="15" customHeight="1">
      <c r="A433" t="inlineStr">
        <is>
          <t>A 24042-2021</t>
        </is>
      </c>
      <c r="B433" s="1" t="n">
        <v>44336</v>
      </c>
      <c r="C433" s="1" t="n">
        <v>45736</v>
      </c>
      <c r="D433" t="inlineStr">
        <is>
          <t>VÄRMLANDS LÄN</t>
        </is>
      </c>
      <c r="E433" t="inlineStr">
        <is>
          <t>TORSBY</t>
        </is>
      </c>
      <c r="G433" t="n">
        <v>4.5</v>
      </c>
      <c r="H433" t="n">
        <v>0</v>
      </c>
      <c r="I433" t="n">
        <v>1</v>
      </c>
      <c r="J433" t="n">
        <v>0</v>
      </c>
      <c r="K433" t="n">
        <v>0</v>
      </c>
      <c r="L433" t="n">
        <v>0</v>
      </c>
      <c r="M433" t="n">
        <v>0</v>
      </c>
      <c r="N433" t="n">
        <v>0</v>
      </c>
      <c r="O433" t="n">
        <v>0</v>
      </c>
      <c r="P433" t="n">
        <v>0</v>
      </c>
      <c r="Q433" t="n">
        <v>1</v>
      </c>
      <c r="R433" s="2" t="inlineStr">
        <is>
          <t>Stuplav</t>
        </is>
      </c>
      <c r="S433">
        <f>HYPERLINK("https://klasma.github.io/Logging_1737/artfynd/A 24042-2021 artfynd.xlsx", "A 24042-2021")</f>
        <v/>
      </c>
      <c r="T433">
        <f>HYPERLINK("https://klasma.github.io/Logging_1737/kartor/A 24042-2021 karta.png", "A 24042-2021")</f>
        <v/>
      </c>
      <c r="V433">
        <f>HYPERLINK("https://klasma.github.io/Logging_1737/klagomål/A 24042-2021 FSC-klagomål.docx", "A 24042-2021")</f>
        <v/>
      </c>
      <c r="W433">
        <f>HYPERLINK("https://klasma.github.io/Logging_1737/klagomålsmail/A 24042-2021 FSC-klagomål mail.docx", "A 24042-2021")</f>
        <v/>
      </c>
      <c r="X433">
        <f>HYPERLINK("https://klasma.github.io/Logging_1737/tillsyn/A 24042-2021 tillsynsbegäran.docx", "A 24042-2021")</f>
        <v/>
      </c>
      <c r="Y433">
        <f>HYPERLINK("https://klasma.github.io/Logging_1737/tillsynsmail/A 24042-2021 tillsynsbegäran mail.docx", "A 24042-2021")</f>
        <v/>
      </c>
    </row>
    <row r="434" ht="15" customHeight="1">
      <c r="A434" t="inlineStr">
        <is>
          <t>A 24022-2021</t>
        </is>
      </c>
      <c r="B434" s="1" t="n">
        <v>44336</v>
      </c>
      <c r="C434" s="1" t="n">
        <v>45736</v>
      </c>
      <c r="D434" t="inlineStr">
        <is>
          <t>VÄRMLANDS LÄN</t>
        </is>
      </c>
      <c r="E434" t="inlineStr">
        <is>
          <t>ARVIKA</t>
        </is>
      </c>
      <c r="G434" t="n">
        <v>6.8</v>
      </c>
      <c r="H434" t="n">
        <v>1</v>
      </c>
      <c r="I434" t="n">
        <v>0</v>
      </c>
      <c r="J434" t="n">
        <v>0</v>
      </c>
      <c r="K434" t="n">
        <v>0</v>
      </c>
      <c r="L434" t="n">
        <v>0</v>
      </c>
      <c r="M434" t="n">
        <v>0</v>
      </c>
      <c r="N434" t="n">
        <v>0</v>
      </c>
      <c r="O434" t="n">
        <v>0</v>
      </c>
      <c r="P434" t="n">
        <v>0</v>
      </c>
      <c r="Q434" t="n">
        <v>1</v>
      </c>
      <c r="R434" s="2" t="inlineStr">
        <is>
          <t>Skogsödla</t>
        </is>
      </c>
      <c r="S434">
        <f>HYPERLINK("https://klasma.github.io/Logging_1784/artfynd/A 24022-2021 artfynd.xlsx", "A 24022-2021")</f>
        <v/>
      </c>
      <c r="T434">
        <f>HYPERLINK("https://klasma.github.io/Logging_1784/kartor/A 24022-2021 karta.png", "A 24022-2021")</f>
        <v/>
      </c>
      <c r="V434">
        <f>HYPERLINK("https://klasma.github.io/Logging_1784/klagomål/A 24022-2021 FSC-klagomål.docx", "A 24022-2021")</f>
        <v/>
      </c>
      <c r="W434">
        <f>HYPERLINK("https://klasma.github.io/Logging_1784/klagomålsmail/A 24022-2021 FSC-klagomål mail.docx", "A 24022-2021")</f>
        <v/>
      </c>
      <c r="X434">
        <f>HYPERLINK("https://klasma.github.io/Logging_1784/tillsyn/A 24022-2021 tillsynsbegäran.docx", "A 24022-2021")</f>
        <v/>
      </c>
      <c r="Y434">
        <f>HYPERLINK("https://klasma.github.io/Logging_1784/tillsynsmail/A 24022-2021 tillsynsbegäran mail.docx", "A 24022-2021")</f>
        <v/>
      </c>
    </row>
    <row r="435" ht="15" customHeight="1">
      <c r="A435" t="inlineStr">
        <is>
          <t>A 24660-2021</t>
        </is>
      </c>
      <c r="B435" s="1" t="n">
        <v>44340</v>
      </c>
      <c r="C435" s="1" t="n">
        <v>45736</v>
      </c>
      <c r="D435" t="inlineStr">
        <is>
          <t>VÄRMLANDS LÄN</t>
        </is>
      </c>
      <c r="E435" t="inlineStr">
        <is>
          <t>SÄFFLE</t>
        </is>
      </c>
      <c r="G435" t="n">
        <v>6</v>
      </c>
      <c r="H435" t="n">
        <v>0</v>
      </c>
      <c r="I435" t="n">
        <v>0</v>
      </c>
      <c r="J435" t="n">
        <v>1</v>
      </c>
      <c r="K435" t="n">
        <v>0</v>
      </c>
      <c r="L435" t="n">
        <v>0</v>
      </c>
      <c r="M435" t="n">
        <v>0</v>
      </c>
      <c r="N435" t="n">
        <v>0</v>
      </c>
      <c r="O435" t="n">
        <v>1</v>
      </c>
      <c r="P435" t="n">
        <v>0</v>
      </c>
      <c r="Q435" t="n">
        <v>1</v>
      </c>
      <c r="R435" s="2" t="inlineStr">
        <is>
          <t>Svinrot</t>
        </is>
      </c>
      <c r="S435">
        <f>HYPERLINK("https://klasma.github.io/Logging_1785/artfynd/A 24660-2021 artfynd.xlsx", "A 24660-2021")</f>
        <v/>
      </c>
      <c r="T435">
        <f>HYPERLINK("https://klasma.github.io/Logging_1785/kartor/A 24660-2021 karta.png", "A 24660-2021")</f>
        <v/>
      </c>
      <c r="V435">
        <f>HYPERLINK("https://klasma.github.io/Logging_1785/klagomål/A 24660-2021 FSC-klagomål.docx", "A 24660-2021")</f>
        <v/>
      </c>
      <c r="W435">
        <f>HYPERLINK("https://klasma.github.io/Logging_1785/klagomålsmail/A 24660-2021 FSC-klagomål mail.docx", "A 24660-2021")</f>
        <v/>
      </c>
      <c r="X435">
        <f>HYPERLINK("https://klasma.github.io/Logging_1785/tillsyn/A 24660-2021 tillsynsbegäran.docx", "A 24660-2021")</f>
        <v/>
      </c>
      <c r="Y435">
        <f>HYPERLINK("https://klasma.github.io/Logging_1785/tillsynsmail/A 24660-2021 tillsynsbegäran mail.docx", "A 24660-2021")</f>
        <v/>
      </c>
    </row>
    <row r="436" ht="15" customHeight="1">
      <c r="A436" t="inlineStr">
        <is>
          <t>A 28445-2021</t>
        </is>
      </c>
      <c r="B436" s="1" t="n">
        <v>44356</v>
      </c>
      <c r="C436" s="1" t="n">
        <v>45736</v>
      </c>
      <c r="D436" t="inlineStr">
        <is>
          <t>VÄRMLANDS LÄN</t>
        </is>
      </c>
      <c r="E436" t="inlineStr">
        <is>
          <t>SUNNE</t>
        </is>
      </c>
      <c r="G436" t="n">
        <v>10.1</v>
      </c>
      <c r="H436" t="n">
        <v>1</v>
      </c>
      <c r="I436" t="n">
        <v>0</v>
      </c>
      <c r="J436" t="n">
        <v>0</v>
      </c>
      <c r="K436" t="n">
        <v>0</v>
      </c>
      <c r="L436" t="n">
        <v>0</v>
      </c>
      <c r="M436" t="n">
        <v>0</v>
      </c>
      <c r="N436" t="n">
        <v>0</v>
      </c>
      <c r="O436" t="n">
        <v>0</v>
      </c>
      <c r="P436" t="n">
        <v>0</v>
      </c>
      <c r="Q436" t="n">
        <v>1</v>
      </c>
      <c r="R436" s="2" t="inlineStr">
        <is>
          <t>Blåsippa</t>
        </is>
      </c>
      <c r="S436">
        <f>HYPERLINK("https://klasma.github.io/Logging_1766/artfynd/A 28445-2021 artfynd.xlsx", "A 28445-2021")</f>
        <v/>
      </c>
      <c r="T436">
        <f>HYPERLINK("https://klasma.github.io/Logging_1766/kartor/A 28445-2021 karta.png", "A 28445-2021")</f>
        <v/>
      </c>
      <c r="V436">
        <f>HYPERLINK("https://klasma.github.io/Logging_1766/klagomål/A 28445-2021 FSC-klagomål.docx", "A 28445-2021")</f>
        <v/>
      </c>
      <c r="W436">
        <f>HYPERLINK("https://klasma.github.io/Logging_1766/klagomålsmail/A 28445-2021 FSC-klagomål mail.docx", "A 28445-2021")</f>
        <v/>
      </c>
      <c r="X436">
        <f>HYPERLINK("https://klasma.github.io/Logging_1766/tillsyn/A 28445-2021 tillsynsbegäran.docx", "A 28445-2021")</f>
        <v/>
      </c>
      <c r="Y436">
        <f>HYPERLINK("https://klasma.github.io/Logging_1766/tillsynsmail/A 28445-2021 tillsynsbegäran mail.docx", "A 28445-2021")</f>
        <v/>
      </c>
    </row>
    <row r="437" ht="15" customHeight="1">
      <c r="A437" t="inlineStr">
        <is>
          <t>A 28418-2021</t>
        </is>
      </c>
      <c r="B437" s="1" t="n">
        <v>44356</v>
      </c>
      <c r="C437" s="1" t="n">
        <v>45736</v>
      </c>
      <c r="D437" t="inlineStr">
        <is>
          <t>VÄRMLANDS LÄN</t>
        </is>
      </c>
      <c r="E437" t="inlineStr">
        <is>
          <t>ÅRJÄNG</t>
        </is>
      </c>
      <c r="G437" t="n">
        <v>1.6</v>
      </c>
      <c r="H437" t="n">
        <v>0</v>
      </c>
      <c r="I437" t="n">
        <v>1</v>
      </c>
      <c r="J437" t="n">
        <v>0</v>
      </c>
      <c r="K437" t="n">
        <v>0</v>
      </c>
      <c r="L437" t="n">
        <v>0</v>
      </c>
      <c r="M437" t="n">
        <v>0</v>
      </c>
      <c r="N437" t="n">
        <v>0</v>
      </c>
      <c r="O437" t="n">
        <v>0</v>
      </c>
      <c r="P437" t="n">
        <v>0</v>
      </c>
      <c r="Q437" t="n">
        <v>1</v>
      </c>
      <c r="R437" s="2" t="inlineStr">
        <is>
          <t>Stubbspretmossa</t>
        </is>
      </c>
      <c r="S437">
        <f>HYPERLINK("https://klasma.github.io/Logging_1765/artfynd/A 28418-2021 artfynd.xlsx", "A 28418-2021")</f>
        <v/>
      </c>
      <c r="T437">
        <f>HYPERLINK("https://klasma.github.io/Logging_1765/kartor/A 28418-2021 karta.png", "A 28418-2021")</f>
        <v/>
      </c>
      <c r="V437">
        <f>HYPERLINK("https://klasma.github.io/Logging_1765/klagomål/A 28418-2021 FSC-klagomål.docx", "A 28418-2021")</f>
        <v/>
      </c>
      <c r="W437">
        <f>HYPERLINK("https://klasma.github.io/Logging_1765/klagomålsmail/A 28418-2021 FSC-klagomål mail.docx", "A 28418-2021")</f>
        <v/>
      </c>
      <c r="X437">
        <f>HYPERLINK("https://klasma.github.io/Logging_1765/tillsyn/A 28418-2021 tillsynsbegäran.docx", "A 28418-2021")</f>
        <v/>
      </c>
      <c r="Y437">
        <f>HYPERLINK("https://klasma.github.io/Logging_1765/tillsynsmail/A 28418-2021 tillsynsbegäran mail.docx", "A 28418-2021")</f>
        <v/>
      </c>
    </row>
    <row r="438" ht="15" customHeight="1">
      <c r="A438" t="inlineStr">
        <is>
          <t>A 33243-2021</t>
        </is>
      </c>
      <c r="B438" s="1" t="n">
        <v>44377</v>
      </c>
      <c r="C438" s="1" t="n">
        <v>45736</v>
      </c>
      <c r="D438" t="inlineStr">
        <is>
          <t>VÄRMLANDS LÄN</t>
        </is>
      </c>
      <c r="E438" t="inlineStr">
        <is>
          <t>EDA</t>
        </is>
      </c>
      <c r="G438" t="n">
        <v>7.1</v>
      </c>
      <c r="H438" t="n">
        <v>0</v>
      </c>
      <c r="I438" t="n">
        <v>0</v>
      </c>
      <c r="J438" t="n">
        <v>1</v>
      </c>
      <c r="K438" t="n">
        <v>0</v>
      </c>
      <c r="L438" t="n">
        <v>0</v>
      </c>
      <c r="M438" t="n">
        <v>0</v>
      </c>
      <c r="N438" t="n">
        <v>0</v>
      </c>
      <c r="O438" t="n">
        <v>1</v>
      </c>
      <c r="P438" t="n">
        <v>0</v>
      </c>
      <c r="Q438" t="n">
        <v>1</v>
      </c>
      <c r="R438" s="2" t="inlineStr">
        <is>
          <t>Garnlav</t>
        </is>
      </c>
      <c r="S438">
        <f>HYPERLINK("https://klasma.github.io/Logging_1730/artfynd/A 33243-2021 artfynd.xlsx", "A 33243-2021")</f>
        <v/>
      </c>
      <c r="T438">
        <f>HYPERLINK("https://klasma.github.io/Logging_1730/kartor/A 33243-2021 karta.png", "A 33243-2021")</f>
        <v/>
      </c>
      <c r="V438">
        <f>HYPERLINK("https://klasma.github.io/Logging_1730/klagomål/A 33243-2021 FSC-klagomål.docx", "A 33243-2021")</f>
        <v/>
      </c>
      <c r="W438">
        <f>HYPERLINK("https://klasma.github.io/Logging_1730/klagomålsmail/A 33243-2021 FSC-klagomål mail.docx", "A 33243-2021")</f>
        <v/>
      </c>
      <c r="X438">
        <f>HYPERLINK("https://klasma.github.io/Logging_1730/tillsyn/A 33243-2021 tillsynsbegäran.docx", "A 33243-2021")</f>
        <v/>
      </c>
      <c r="Y438">
        <f>HYPERLINK("https://klasma.github.io/Logging_1730/tillsynsmail/A 33243-2021 tillsynsbegäran mail.docx", "A 33243-2021")</f>
        <v/>
      </c>
    </row>
    <row r="439" ht="15" customHeight="1">
      <c r="A439" t="inlineStr">
        <is>
          <t>A 33758-2021</t>
        </is>
      </c>
      <c r="B439" s="1" t="n">
        <v>44378</v>
      </c>
      <c r="C439" s="1" t="n">
        <v>45736</v>
      </c>
      <c r="D439" t="inlineStr">
        <is>
          <t>VÄRMLANDS LÄN</t>
        </is>
      </c>
      <c r="E439" t="inlineStr">
        <is>
          <t>ARVIKA</t>
        </is>
      </c>
      <c r="G439" t="n">
        <v>0.7</v>
      </c>
      <c r="H439" t="n">
        <v>1</v>
      </c>
      <c r="I439" t="n">
        <v>0</v>
      </c>
      <c r="J439" t="n">
        <v>0</v>
      </c>
      <c r="K439" t="n">
        <v>1</v>
      </c>
      <c r="L439" t="n">
        <v>0</v>
      </c>
      <c r="M439" t="n">
        <v>0</v>
      </c>
      <c r="N439" t="n">
        <v>0</v>
      </c>
      <c r="O439" t="n">
        <v>1</v>
      </c>
      <c r="P439" t="n">
        <v>1</v>
      </c>
      <c r="Q439" t="n">
        <v>1</v>
      </c>
      <c r="R439" s="2" t="inlineStr">
        <is>
          <t>Knärot</t>
        </is>
      </c>
      <c r="S439">
        <f>HYPERLINK("https://klasma.github.io/Logging_1784/artfynd/A 33758-2021 artfynd.xlsx", "A 33758-2021")</f>
        <v/>
      </c>
      <c r="T439">
        <f>HYPERLINK("https://klasma.github.io/Logging_1784/kartor/A 33758-2021 karta.png", "A 33758-2021")</f>
        <v/>
      </c>
      <c r="U439">
        <f>HYPERLINK("https://klasma.github.io/Logging_1784/knärot/A 33758-2021 karta knärot.png", "A 33758-2021")</f>
        <v/>
      </c>
      <c r="V439">
        <f>HYPERLINK("https://klasma.github.io/Logging_1784/klagomål/A 33758-2021 FSC-klagomål.docx", "A 33758-2021")</f>
        <v/>
      </c>
      <c r="W439">
        <f>HYPERLINK("https://klasma.github.io/Logging_1784/klagomålsmail/A 33758-2021 FSC-klagomål mail.docx", "A 33758-2021")</f>
        <v/>
      </c>
      <c r="X439">
        <f>HYPERLINK("https://klasma.github.io/Logging_1784/tillsyn/A 33758-2021 tillsynsbegäran.docx", "A 33758-2021")</f>
        <v/>
      </c>
      <c r="Y439">
        <f>HYPERLINK("https://klasma.github.io/Logging_1784/tillsynsmail/A 33758-2021 tillsynsbegäran mail.docx", "A 33758-2021")</f>
        <v/>
      </c>
    </row>
    <row r="440" ht="15" customHeight="1">
      <c r="A440" t="inlineStr">
        <is>
          <t>A 34188-2021</t>
        </is>
      </c>
      <c r="B440" s="1" t="n">
        <v>44379</v>
      </c>
      <c r="C440" s="1" t="n">
        <v>45736</v>
      </c>
      <c r="D440" t="inlineStr">
        <is>
          <t>VÄRMLANDS LÄN</t>
        </is>
      </c>
      <c r="E440" t="inlineStr">
        <is>
          <t>ÅRJÄNG</t>
        </is>
      </c>
      <c r="G440" t="n">
        <v>5.5</v>
      </c>
      <c r="H440" t="n">
        <v>1</v>
      </c>
      <c r="I440" t="n">
        <v>0</v>
      </c>
      <c r="J440" t="n">
        <v>1</v>
      </c>
      <c r="K440" t="n">
        <v>0</v>
      </c>
      <c r="L440" t="n">
        <v>0</v>
      </c>
      <c r="M440" t="n">
        <v>0</v>
      </c>
      <c r="N440" t="n">
        <v>0</v>
      </c>
      <c r="O440" t="n">
        <v>1</v>
      </c>
      <c r="P440" t="n">
        <v>0</v>
      </c>
      <c r="Q440" t="n">
        <v>1</v>
      </c>
      <c r="R440" s="2" t="inlineStr">
        <is>
          <t>Järpe</t>
        </is>
      </c>
      <c r="S440">
        <f>HYPERLINK("https://klasma.github.io/Logging_1765/artfynd/A 34188-2021 artfynd.xlsx", "A 34188-2021")</f>
        <v/>
      </c>
      <c r="T440">
        <f>HYPERLINK("https://klasma.github.io/Logging_1765/kartor/A 34188-2021 karta.png", "A 34188-2021")</f>
        <v/>
      </c>
      <c r="V440">
        <f>HYPERLINK("https://klasma.github.io/Logging_1765/klagomål/A 34188-2021 FSC-klagomål.docx", "A 34188-2021")</f>
        <v/>
      </c>
      <c r="W440">
        <f>HYPERLINK("https://klasma.github.io/Logging_1765/klagomålsmail/A 34188-2021 FSC-klagomål mail.docx", "A 34188-2021")</f>
        <v/>
      </c>
      <c r="X440">
        <f>HYPERLINK("https://klasma.github.io/Logging_1765/tillsyn/A 34188-2021 tillsynsbegäran.docx", "A 34188-2021")</f>
        <v/>
      </c>
      <c r="Y440">
        <f>HYPERLINK("https://klasma.github.io/Logging_1765/tillsynsmail/A 34188-2021 tillsynsbegäran mail.docx", "A 34188-2021")</f>
        <v/>
      </c>
      <c r="Z440">
        <f>HYPERLINK("https://klasma.github.io/Logging_1765/fåglar/A 34188-2021 prioriterade fågelarter.docx", "A 34188-2021")</f>
        <v/>
      </c>
    </row>
    <row r="441" ht="15" customHeight="1">
      <c r="A441" t="inlineStr">
        <is>
          <t>A 34876-2021</t>
        </is>
      </c>
      <c r="B441" s="1" t="n">
        <v>44383</v>
      </c>
      <c r="C441" s="1" t="n">
        <v>45736</v>
      </c>
      <c r="D441" t="inlineStr">
        <is>
          <t>VÄRMLANDS LÄN</t>
        </is>
      </c>
      <c r="E441" t="inlineStr">
        <is>
          <t>TORSBY</t>
        </is>
      </c>
      <c r="G441" t="n">
        <v>4.7</v>
      </c>
      <c r="H441" t="n">
        <v>0</v>
      </c>
      <c r="I441" t="n">
        <v>0</v>
      </c>
      <c r="J441" t="n">
        <v>1</v>
      </c>
      <c r="K441" t="n">
        <v>0</v>
      </c>
      <c r="L441" t="n">
        <v>0</v>
      </c>
      <c r="M441" t="n">
        <v>0</v>
      </c>
      <c r="N441" t="n">
        <v>0</v>
      </c>
      <c r="O441" t="n">
        <v>1</v>
      </c>
      <c r="P441" t="n">
        <v>0</v>
      </c>
      <c r="Q441" t="n">
        <v>1</v>
      </c>
      <c r="R441" s="2" t="inlineStr">
        <is>
          <t>Doftskinn</t>
        </is>
      </c>
      <c r="S441">
        <f>HYPERLINK("https://klasma.github.io/Logging_1737/artfynd/A 34876-2021 artfynd.xlsx", "A 34876-2021")</f>
        <v/>
      </c>
      <c r="T441">
        <f>HYPERLINK("https://klasma.github.io/Logging_1737/kartor/A 34876-2021 karta.png", "A 34876-2021")</f>
        <v/>
      </c>
      <c r="V441">
        <f>HYPERLINK("https://klasma.github.io/Logging_1737/klagomål/A 34876-2021 FSC-klagomål.docx", "A 34876-2021")</f>
        <v/>
      </c>
      <c r="W441">
        <f>HYPERLINK("https://klasma.github.io/Logging_1737/klagomålsmail/A 34876-2021 FSC-klagomål mail.docx", "A 34876-2021")</f>
        <v/>
      </c>
      <c r="X441">
        <f>HYPERLINK("https://klasma.github.io/Logging_1737/tillsyn/A 34876-2021 tillsynsbegäran.docx", "A 34876-2021")</f>
        <v/>
      </c>
      <c r="Y441">
        <f>HYPERLINK("https://klasma.github.io/Logging_1737/tillsynsmail/A 34876-2021 tillsynsbegäran mail.docx", "A 34876-2021")</f>
        <v/>
      </c>
    </row>
    <row r="442" ht="15" customHeight="1">
      <c r="A442" t="inlineStr">
        <is>
          <t>A 34853-2021</t>
        </is>
      </c>
      <c r="B442" s="1" t="n">
        <v>44383</v>
      </c>
      <c r="C442" s="1" t="n">
        <v>45736</v>
      </c>
      <c r="D442" t="inlineStr">
        <is>
          <t>VÄRMLANDS LÄN</t>
        </is>
      </c>
      <c r="E442" t="inlineStr">
        <is>
          <t>TORSBY</t>
        </is>
      </c>
      <c r="G442" t="n">
        <v>14.8</v>
      </c>
      <c r="H442" t="n">
        <v>1</v>
      </c>
      <c r="I442" t="n">
        <v>0</v>
      </c>
      <c r="J442" t="n">
        <v>1</v>
      </c>
      <c r="K442" t="n">
        <v>0</v>
      </c>
      <c r="L442" t="n">
        <v>0</v>
      </c>
      <c r="M442" t="n">
        <v>0</v>
      </c>
      <c r="N442" t="n">
        <v>0</v>
      </c>
      <c r="O442" t="n">
        <v>1</v>
      </c>
      <c r="P442" t="n">
        <v>0</v>
      </c>
      <c r="Q442" t="n">
        <v>1</v>
      </c>
      <c r="R442" s="2" t="inlineStr">
        <is>
          <t>Talltita</t>
        </is>
      </c>
      <c r="S442">
        <f>HYPERLINK("https://klasma.github.io/Logging_1737/artfynd/A 34853-2021 artfynd.xlsx", "A 34853-2021")</f>
        <v/>
      </c>
      <c r="T442">
        <f>HYPERLINK("https://klasma.github.io/Logging_1737/kartor/A 34853-2021 karta.png", "A 34853-2021")</f>
        <v/>
      </c>
      <c r="V442">
        <f>HYPERLINK("https://klasma.github.io/Logging_1737/klagomål/A 34853-2021 FSC-klagomål.docx", "A 34853-2021")</f>
        <v/>
      </c>
      <c r="W442">
        <f>HYPERLINK("https://klasma.github.io/Logging_1737/klagomålsmail/A 34853-2021 FSC-klagomål mail.docx", "A 34853-2021")</f>
        <v/>
      </c>
      <c r="X442">
        <f>HYPERLINK("https://klasma.github.io/Logging_1737/tillsyn/A 34853-2021 tillsynsbegäran.docx", "A 34853-2021")</f>
        <v/>
      </c>
      <c r="Y442">
        <f>HYPERLINK("https://klasma.github.io/Logging_1737/tillsynsmail/A 34853-2021 tillsynsbegäran mail.docx", "A 34853-2021")</f>
        <v/>
      </c>
      <c r="Z442">
        <f>HYPERLINK("https://klasma.github.io/Logging_1737/fåglar/A 34853-2021 prioriterade fågelarter.docx", "A 34853-2021")</f>
        <v/>
      </c>
    </row>
    <row r="443" ht="15" customHeight="1">
      <c r="A443" t="inlineStr">
        <is>
          <t>A 36792-2021</t>
        </is>
      </c>
      <c r="B443" s="1" t="n">
        <v>44392</v>
      </c>
      <c r="C443" s="1" t="n">
        <v>45736</v>
      </c>
      <c r="D443" t="inlineStr">
        <is>
          <t>VÄRMLANDS LÄN</t>
        </is>
      </c>
      <c r="E443" t="inlineStr">
        <is>
          <t>SÄFFLE</t>
        </is>
      </c>
      <c r="G443" t="n">
        <v>4.5</v>
      </c>
      <c r="H443" t="n">
        <v>1</v>
      </c>
      <c r="I443" t="n">
        <v>0</v>
      </c>
      <c r="J443" t="n">
        <v>0</v>
      </c>
      <c r="K443" t="n">
        <v>0</v>
      </c>
      <c r="L443" t="n">
        <v>0</v>
      </c>
      <c r="M443" t="n">
        <v>0</v>
      </c>
      <c r="N443" t="n">
        <v>0</v>
      </c>
      <c r="O443" t="n">
        <v>0</v>
      </c>
      <c r="P443" t="n">
        <v>0</v>
      </c>
      <c r="Q443" t="n">
        <v>1</v>
      </c>
      <c r="R443" s="2" t="inlineStr">
        <is>
          <t>Grönvit nattviol</t>
        </is>
      </c>
      <c r="S443">
        <f>HYPERLINK("https://klasma.github.io/Logging_1785/artfynd/A 36792-2021 artfynd.xlsx", "A 36792-2021")</f>
        <v/>
      </c>
      <c r="T443">
        <f>HYPERLINK("https://klasma.github.io/Logging_1785/kartor/A 36792-2021 karta.png", "A 36792-2021")</f>
        <v/>
      </c>
      <c r="V443">
        <f>HYPERLINK("https://klasma.github.io/Logging_1785/klagomål/A 36792-2021 FSC-klagomål.docx", "A 36792-2021")</f>
        <v/>
      </c>
      <c r="W443">
        <f>HYPERLINK("https://klasma.github.io/Logging_1785/klagomålsmail/A 36792-2021 FSC-klagomål mail.docx", "A 36792-2021")</f>
        <v/>
      </c>
      <c r="X443">
        <f>HYPERLINK("https://klasma.github.io/Logging_1785/tillsyn/A 36792-2021 tillsynsbegäran.docx", "A 36792-2021")</f>
        <v/>
      </c>
      <c r="Y443">
        <f>HYPERLINK("https://klasma.github.io/Logging_1785/tillsynsmail/A 36792-2021 tillsynsbegäran mail.docx", "A 36792-2021")</f>
        <v/>
      </c>
    </row>
    <row r="444" ht="15" customHeight="1">
      <c r="A444" t="inlineStr">
        <is>
          <t>A 37342-2021</t>
        </is>
      </c>
      <c r="B444" s="1" t="n">
        <v>44397</v>
      </c>
      <c r="C444" s="1" t="n">
        <v>45736</v>
      </c>
      <c r="D444" t="inlineStr">
        <is>
          <t>VÄRMLANDS LÄN</t>
        </is>
      </c>
      <c r="E444" t="inlineStr">
        <is>
          <t>ARVIKA</t>
        </is>
      </c>
      <c r="G444" t="n">
        <v>3.5</v>
      </c>
      <c r="H444" t="n">
        <v>1</v>
      </c>
      <c r="I444" t="n">
        <v>0</v>
      </c>
      <c r="J444" t="n">
        <v>0</v>
      </c>
      <c r="K444" t="n">
        <v>1</v>
      </c>
      <c r="L444" t="n">
        <v>0</v>
      </c>
      <c r="M444" t="n">
        <v>0</v>
      </c>
      <c r="N444" t="n">
        <v>0</v>
      </c>
      <c r="O444" t="n">
        <v>1</v>
      </c>
      <c r="P444" t="n">
        <v>1</v>
      </c>
      <c r="Q444" t="n">
        <v>1</v>
      </c>
      <c r="R444" s="2" t="inlineStr">
        <is>
          <t>Knärot</t>
        </is>
      </c>
      <c r="S444">
        <f>HYPERLINK("https://klasma.github.io/Logging_1784/artfynd/A 37342-2021 artfynd.xlsx", "A 37342-2021")</f>
        <v/>
      </c>
      <c r="T444">
        <f>HYPERLINK("https://klasma.github.io/Logging_1784/kartor/A 37342-2021 karta.png", "A 37342-2021")</f>
        <v/>
      </c>
      <c r="U444">
        <f>HYPERLINK("https://klasma.github.io/Logging_1784/knärot/A 37342-2021 karta knärot.png", "A 37342-2021")</f>
        <v/>
      </c>
      <c r="V444">
        <f>HYPERLINK("https://klasma.github.io/Logging_1784/klagomål/A 37342-2021 FSC-klagomål.docx", "A 37342-2021")</f>
        <v/>
      </c>
      <c r="W444">
        <f>HYPERLINK("https://klasma.github.io/Logging_1784/klagomålsmail/A 37342-2021 FSC-klagomål mail.docx", "A 37342-2021")</f>
        <v/>
      </c>
      <c r="X444">
        <f>HYPERLINK("https://klasma.github.io/Logging_1784/tillsyn/A 37342-2021 tillsynsbegäran.docx", "A 37342-2021")</f>
        <v/>
      </c>
      <c r="Y444">
        <f>HYPERLINK("https://klasma.github.io/Logging_1784/tillsynsmail/A 37342-2021 tillsynsbegäran mail.docx", "A 37342-2021")</f>
        <v/>
      </c>
    </row>
    <row r="445" ht="15" customHeight="1">
      <c r="A445" t="inlineStr">
        <is>
          <t>A 38857-2021</t>
        </is>
      </c>
      <c r="B445" s="1" t="n">
        <v>44411</v>
      </c>
      <c r="C445" s="1" t="n">
        <v>45736</v>
      </c>
      <c r="D445" t="inlineStr">
        <is>
          <t>VÄRMLANDS LÄN</t>
        </is>
      </c>
      <c r="E445" t="inlineStr">
        <is>
          <t>FORSHAGA</t>
        </is>
      </c>
      <c r="F445" t="inlineStr">
        <is>
          <t>Bergvik skog väst AB</t>
        </is>
      </c>
      <c r="G445" t="n">
        <v>20.6</v>
      </c>
      <c r="H445" t="n">
        <v>0</v>
      </c>
      <c r="I445" t="n">
        <v>0</v>
      </c>
      <c r="J445" t="n">
        <v>1</v>
      </c>
      <c r="K445" t="n">
        <v>0</v>
      </c>
      <c r="L445" t="n">
        <v>0</v>
      </c>
      <c r="M445" t="n">
        <v>0</v>
      </c>
      <c r="N445" t="n">
        <v>0</v>
      </c>
      <c r="O445" t="n">
        <v>1</v>
      </c>
      <c r="P445" t="n">
        <v>0</v>
      </c>
      <c r="Q445" t="n">
        <v>1</v>
      </c>
      <c r="R445" s="2" t="inlineStr">
        <is>
          <t>Skogsklocka</t>
        </is>
      </c>
      <c r="S445">
        <f>HYPERLINK("https://klasma.github.io/Logging_1763/artfynd/A 38857-2021 artfynd.xlsx", "A 38857-2021")</f>
        <v/>
      </c>
      <c r="T445">
        <f>HYPERLINK("https://klasma.github.io/Logging_1763/kartor/A 38857-2021 karta.png", "A 38857-2021")</f>
        <v/>
      </c>
      <c r="V445">
        <f>HYPERLINK("https://klasma.github.io/Logging_1763/klagomål/A 38857-2021 FSC-klagomål.docx", "A 38857-2021")</f>
        <v/>
      </c>
      <c r="W445">
        <f>HYPERLINK("https://klasma.github.io/Logging_1763/klagomålsmail/A 38857-2021 FSC-klagomål mail.docx", "A 38857-2021")</f>
        <v/>
      </c>
      <c r="X445">
        <f>HYPERLINK("https://klasma.github.io/Logging_1763/tillsyn/A 38857-2021 tillsynsbegäran.docx", "A 38857-2021")</f>
        <v/>
      </c>
      <c r="Y445">
        <f>HYPERLINK("https://klasma.github.io/Logging_1763/tillsynsmail/A 38857-2021 tillsynsbegäran mail.docx", "A 38857-2021")</f>
        <v/>
      </c>
    </row>
    <row r="446" ht="15" customHeight="1">
      <c r="A446" t="inlineStr">
        <is>
          <t>A 40265-2021</t>
        </is>
      </c>
      <c r="B446" s="1" t="n">
        <v>44419</v>
      </c>
      <c r="C446" s="1" t="n">
        <v>45736</v>
      </c>
      <c r="D446" t="inlineStr">
        <is>
          <t>VÄRMLANDS LÄN</t>
        </is>
      </c>
      <c r="E446" t="inlineStr">
        <is>
          <t>TORSBY</t>
        </is>
      </c>
      <c r="F446" t="inlineStr">
        <is>
          <t>Bergvik skog väst AB</t>
        </is>
      </c>
      <c r="G446" t="n">
        <v>5.7</v>
      </c>
      <c r="H446" t="n">
        <v>1</v>
      </c>
      <c r="I446" t="n">
        <v>0</v>
      </c>
      <c r="J446" t="n">
        <v>1</v>
      </c>
      <c r="K446" t="n">
        <v>0</v>
      </c>
      <c r="L446" t="n">
        <v>0</v>
      </c>
      <c r="M446" t="n">
        <v>0</v>
      </c>
      <c r="N446" t="n">
        <v>0</v>
      </c>
      <c r="O446" t="n">
        <v>1</v>
      </c>
      <c r="P446" t="n">
        <v>0</v>
      </c>
      <c r="Q446" t="n">
        <v>1</v>
      </c>
      <c r="R446" s="2" t="inlineStr">
        <is>
          <t>Nordfladdermus</t>
        </is>
      </c>
      <c r="S446">
        <f>HYPERLINK("https://klasma.github.io/Logging_1737/artfynd/A 40265-2021 artfynd.xlsx", "A 40265-2021")</f>
        <v/>
      </c>
      <c r="T446">
        <f>HYPERLINK("https://klasma.github.io/Logging_1737/kartor/A 40265-2021 karta.png", "A 40265-2021")</f>
        <v/>
      </c>
      <c r="V446">
        <f>HYPERLINK("https://klasma.github.io/Logging_1737/klagomål/A 40265-2021 FSC-klagomål.docx", "A 40265-2021")</f>
        <v/>
      </c>
      <c r="W446">
        <f>HYPERLINK("https://klasma.github.io/Logging_1737/klagomålsmail/A 40265-2021 FSC-klagomål mail.docx", "A 40265-2021")</f>
        <v/>
      </c>
      <c r="X446">
        <f>HYPERLINK("https://klasma.github.io/Logging_1737/tillsyn/A 40265-2021 tillsynsbegäran.docx", "A 40265-2021")</f>
        <v/>
      </c>
      <c r="Y446">
        <f>HYPERLINK("https://klasma.github.io/Logging_1737/tillsynsmail/A 40265-2021 tillsynsbegäran mail.docx", "A 40265-2021")</f>
        <v/>
      </c>
    </row>
    <row r="447" ht="15" customHeight="1">
      <c r="A447" t="inlineStr">
        <is>
          <t>A 42209-2021</t>
        </is>
      </c>
      <c r="B447" s="1" t="n">
        <v>44426</v>
      </c>
      <c r="C447" s="1" t="n">
        <v>45736</v>
      </c>
      <c r="D447" t="inlineStr">
        <is>
          <t>VÄRMLANDS LÄN</t>
        </is>
      </c>
      <c r="E447" t="inlineStr">
        <is>
          <t>KIL</t>
        </is>
      </c>
      <c r="G447" t="n">
        <v>8.300000000000001</v>
      </c>
      <c r="H447" t="n">
        <v>0</v>
      </c>
      <c r="I447" t="n">
        <v>0</v>
      </c>
      <c r="J447" t="n">
        <v>1</v>
      </c>
      <c r="K447" t="n">
        <v>0</v>
      </c>
      <c r="L447" t="n">
        <v>0</v>
      </c>
      <c r="M447" t="n">
        <v>0</v>
      </c>
      <c r="N447" t="n">
        <v>0</v>
      </c>
      <c r="O447" t="n">
        <v>1</v>
      </c>
      <c r="P447" t="n">
        <v>0</v>
      </c>
      <c r="Q447" t="n">
        <v>1</v>
      </c>
      <c r="R447" s="2" t="inlineStr">
        <is>
          <t>Tallticka</t>
        </is>
      </c>
      <c r="S447">
        <f>HYPERLINK("https://klasma.github.io/Logging_1715/artfynd/A 42209-2021 artfynd.xlsx", "A 42209-2021")</f>
        <v/>
      </c>
      <c r="T447">
        <f>HYPERLINK("https://klasma.github.io/Logging_1715/kartor/A 42209-2021 karta.png", "A 42209-2021")</f>
        <v/>
      </c>
      <c r="V447">
        <f>HYPERLINK("https://klasma.github.io/Logging_1715/klagomål/A 42209-2021 FSC-klagomål.docx", "A 42209-2021")</f>
        <v/>
      </c>
      <c r="W447">
        <f>HYPERLINK("https://klasma.github.io/Logging_1715/klagomålsmail/A 42209-2021 FSC-klagomål mail.docx", "A 42209-2021")</f>
        <v/>
      </c>
      <c r="X447">
        <f>HYPERLINK("https://klasma.github.io/Logging_1715/tillsyn/A 42209-2021 tillsynsbegäran.docx", "A 42209-2021")</f>
        <v/>
      </c>
      <c r="Y447">
        <f>HYPERLINK("https://klasma.github.io/Logging_1715/tillsynsmail/A 42209-2021 tillsynsbegäran mail.docx", "A 42209-2021")</f>
        <v/>
      </c>
    </row>
    <row r="448" ht="15" customHeight="1">
      <c r="A448" t="inlineStr">
        <is>
          <t>A 43784-2021</t>
        </is>
      </c>
      <c r="B448" s="1" t="n">
        <v>44433</v>
      </c>
      <c r="C448" s="1" t="n">
        <v>45736</v>
      </c>
      <c r="D448" t="inlineStr">
        <is>
          <t>VÄRMLANDS LÄN</t>
        </is>
      </c>
      <c r="E448" t="inlineStr">
        <is>
          <t>TORSBY</t>
        </is>
      </c>
      <c r="G448" t="n">
        <v>5.2</v>
      </c>
      <c r="H448" t="n">
        <v>1</v>
      </c>
      <c r="I448" t="n">
        <v>0</v>
      </c>
      <c r="J448" t="n">
        <v>0</v>
      </c>
      <c r="K448" t="n">
        <v>0</v>
      </c>
      <c r="L448" t="n">
        <v>0</v>
      </c>
      <c r="M448" t="n">
        <v>0</v>
      </c>
      <c r="N448" t="n">
        <v>0</v>
      </c>
      <c r="O448" t="n">
        <v>0</v>
      </c>
      <c r="P448" t="n">
        <v>0</v>
      </c>
      <c r="Q448" t="n">
        <v>1</v>
      </c>
      <c r="R448" s="2" t="inlineStr">
        <is>
          <t>Kopparödla</t>
        </is>
      </c>
      <c r="S448">
        <f>HYPERLINK("https://klasma.github.io/Logging_1737/artfynd/A 43784-2021 artfynd.xlsx", "A 43784-2021")</f>
        <v/>
      </c>
      <c r="T448">
        <f>HYPERLINK("https://klasma.github.io/Logging_1737/kartor/A 43784-2021 karta.png", "A 43784-2021")</f>
        <v/>
      </c>
      <c r="V448">
        <f>HYPERLINK("https://klasma.github.io/Logging_1737/klagomål/A 43784-2021 FSC-klagomål.docx", "A 43784-2021")</f>
        <v/>
      </c>
      <c r="W448">
        <f>HYPERLINK("https://klasma.github.io/Logging_1737/klagomålsmail/A 43784-2021 FSC-klagomål mail.docx", "A 43784-2021")</f>
        <v/>
      </c>
      <c r="X448">
        <f>HYPERLINK("https://klasma.github.io/Logging_1737/tillsyn/A 43784-2021 tillsynsbegäran.docx", "A 43784-2021")</f>
        <v/>
      </c>
      <c r="Y448">
        <f>HYPERLINK("https://klasma.github.io/Logging_1737/tillsynsmail/A 43784-2021 tillsynsbegäran mail.docx", "A 43784-2021")</f>
        <v/>
      </c>
    </row>
    <row r="449" ht="15" customHeight="1">
      <c r="A449" t="inlineStr">
        <is>
          <t>A 45073-2021</t>
        </is>
      </c>
      <c r="B449" s="1" t="n">
        <v>44438</v>
      </c>
      <c r="C449" s="1" t="n">
        <v>45736</v>
      </c>
      <c r="D449" t="inlineStr">
        <is>
          <t>VÄRMLANDS LÄN</t>
        </is>
      </c>
      <c r="E449" t="inlineStr">
        <is>
          <t>HAGFORS</t>
        </is>
      </c>
      <c r="F449" t="inlineStr">
        <is>
          <t>Kyrkan</t>
        </is>
      </c>
      <c r="G449" t="n">
        <v>0.6</v>
      </c>
      <c r="H449" t="n">
        <v>0</v>
      </c>
      <c r="I449" t="n">
        <v>1</v>
      </c>
      <c r="J449" t="n">
        <v>0</v>
      </c>
      <c r="K449" t="n">
        <v>0</v>
      </c>
      <c r="L449" t="n">
        <v>0</v>
      </c>
      <c r="M449" t="n">
        <v>0</v>
      </c>
      <c r="N449" t="n">
        <v>0</v>
      </c>
      <c r="O449" t="n">
        <v>0</v>
      </c>
      <c r="P449" t="n">
        <v>0</v>
      </c>
      <c r="Q449" t="n">
        <v>1</v>
      </c>
      <c r="R449" s="2" t="inlineStr">
        <is>
          <t>Vedticka</t>
        </is>
      </c>
      <c r="S449">
        <f>HYPERLINK("https://klasma.github.io/Logging_1783/artfynd/A 45073-2021 artfynd.xlsx", "A 45073-2021")</f>
        <v/>
      </c>
      <c r="T449">
        <f>HYPERLINK("https://klasma.github.io/Logging_1783/kartor/A 45073-2021 karta.png", "A 45073-2021")</f>
        <v/>
      </c>
      <c r="V449">
        <f>HYPERLINK("https://klasma.github.io/Logging_1783/klagomål/A 45073-2021 FSC-klagomål.docx", "A 45073-2021")</f>
        <v/>
      </c>
      <c r="W449">
        <f>HYPERLINK("https://klasma.github.io/Logging_1783/klagomålsmail/A 45073-2021 FSC-klagomål mail.docx", "A 45073-2021")</f>
        <v/>
      </c>
      <c r="X449">
        <f>HYPERLINK("https://klasma.github.io/Logging_1783/tillsyn/A 45073-2021 tillsynsbegäran.docx", "A 45073-2021")</f>
        <v/>
      </c>
      <c r="Y449">
        <f>HYPERLINK("https://klasma.github.io/Logging_1783/tillsynsmail/A 45073-2021 tillsynsbegäran mail.docx", "A 45073-2021")</f>
        <v/>
      </c>
    </row>
    <row r="450" ht="15" customHeight="1">
      <c r="A450" t="inlineStr">
        <is>
          <t>A 46893-2021</t>
        </is>
      </c>
      <c r="B450" s="1" t="n">
        <v>44446</v>
      </c>
      <c r="C450" s="1" t="n">
        <v>45736</v>
      </c>
      <c r="D450" t="inlineStr">
        <is>
          <t>VÄRMLANDS LÄN</t>
        </is>
      </c>
      <c r="E450" t="inlineStr">
        <is>
          <t>SÄFFLE</t>
        </is>
      </c>
      <c r="G450" t="n">
        <v>5.4</v>
      </c>
      <c r="H450" t="n">
        <v>0</v>
      </c>
      <c r="I450" t="n">
        <v>0</v>
      </c>
      <c r="J450" t="n">
        <v>0</v>
      </c>
      <c r="K450" t="n">
        <v>1</v>
      </c>
      <c r="L450" t="n">
        <v>0</v>
      </c>
      <c r="M450" t="n">
        <v>0</v>
      </c>
      <c r="N450" t="n">
        <v>0</v>
      </c>
      <c r="O450" t="n">
        <v>1</v>
      </c>
      <c r="P450" t="n">
        <v>1</v>
      </c>
      <c r="Q450" t="n">
        <v>1</v>
      </c>
      <c r="R450" s="2" t="inlineStr">
        <is>
          <t>Slåttergubbe</t>
        </is>
      </c>
      <c r="S450">
        <f>HYPERLINK("https://klasma.github.io/Logging_1785/artfynd/A 46893-2021 artfynd.xlsx", "A 46893-2021")</f>
        <v/>
      </c>
      <c r="T450">
        <f>HYPERLINK("https://klasma.github.io/Logging_1785/kartor/A 46893-2021 karta.png", "A 46893-2021")</f>
        <v/>
      </c>
      <c r="V450">
        <f>HYPERLINK("https://klasma.github.io/Logging_1785/klagomål/A 46893-2021 FSC-klagomål.docx", "A 46893-2021")</f>
        <v/>
      </c>
      <c r="W450">
        <f>HYPERLINK("https://klasma.github.io/Logging_1785/klagomålsmail/A 46893-2021 FSC-klagomål mail.docx", "A 46893-2021")</f>
        <v/>
      </c>
      <c r="X450">
        <f>HYPERLINK("https://klasma.github.io/Logging_1785/tillsyn/A 46893-2021 tillsynsbegäran.docx", "A 46893-2021")</f>
        <v/>
      </c>
      <c r="Y450">
        <f>HYPERLINK("https://klasma.github.io/Logging_1785/tillsynsmail/A 46893-2021 tillsynsbegäran mail.docx", "A 46893-2021")</f>
        <v/>
      </c>
    </row>
    <row r="451" ht="15" customHeight="1">
      <c r="A451" t="inlineStr">
        <is>
          <t>A 48327-2021</t>
        </is>
      </c>
      <c r="B451" s="1" t="n">
        <v>44450</v>
      </c>
      <c r="C451" s="1" t="n">
        <v>45736</v>
      </c>
      <c r="D451" t="inlineStr">
        <is>
          <t>VÄRMLANDS LÄN</t>
        </is>
      </c>
      <c r="E451" t="inlineStr">
        <is>
          <t>SÄFFLE</t>
        </is>
      </c>
      <c r="G451" t="n">
        <v>2.2</v>
      </c>
      <c r="H451" t="n">
        <v>0</v>
      </c>
      <c r="I451" t="n">
        <v>0</v>
      </c>
      <c r="J451" t="n">
        <v>1</v>
      </c>
      <c r="K451" t="n">
        <v>0</v>
      </c>
      <c r="L451" t="n">
        <v>0</v>
      </c>
      <c r="M451" t="n">
        <v>0</v>
      </c>
      <c r="N451" t="n">
        <v>0</v>
      </c>
      <c r="O451" t="n">
        <v>1</v>
      </c>
      <c r="P451" t="n">
        <v>0</v>
      </c>
      <c r="Q451" t="n">
        <v>1</v>
      </c>
      <c r="R451" s="2" t="inlineStr">
        <is>
          <t>Skogsklocka</t>
        </is>
      </c>
      <c r="S451">
        <f>HYPERLINK("https://klasma.github.io/Logging_1785/artfynd/A 48327-2021 artfynd.xlsx", "A 48327-2021")</f>
        <v/>
      </c>
      <c r="T451">
        <f>HYPERLINK("https://klasma.github.io/Logging_1785/kartor/A 48327-2021 karta.png", "A 48327-2021")</f>
        <v/>
      </c>
      <c r="V451">
        <f>HYPERLINK("https://klasma.github.io/Logging_1785/klagomål/A 48327-2021 FSC-klagomål.docx", "A 48327-2021")</f>
        <v/>
      </c>
      <c r="W451">
        <f>HYPERLINK("https://klasma.github.io/Logging_1785/klagomålsmail/A 48327-2021 FSC-klagomål mail.docx", "A 48327-2021")</f>
        <v/>
      </c>
      <c r="X451">
        <f>HYPERLINK("https://klasma.github.io/Logging_1785/tillsyn/A 48327-2021 tillsynsbegäran.docx", "A 48327-2021")</f>
        <v/>
      </c>
      <c r="Y451">
        <f>HYPERLINK("https://klasma.github.io/Logging_1785/tillsynsmail/A 48327-2021 tillsynsbegäran mail.docx", "A 48327-2021")</f>
        <v/>
      </c>
    </row>
    <row r="452" ht="15" customHeight="1">
      <c r="A452" t="inlineStr">
        <is>
          <t>A 48420-2021</t>
        </is>
      </c>
      <c r="B452" s="1" t="n">
        <v>44452</v>
      </c>
      <c r="C452" s="1" t="n">
        <v>45736</v>
      </c>
      <c r="D452" t="inlineStr">
        <is>
          <t>VÄRMLANDS LÄN</t>
        </is>
      </c>
      <c r="E452" t="inlineStr">
        <is>
          <t>EDA</t>
        </is>
      </c>
      <c r="G452" t="n">
        <v>21.7</v>
      </c>
      <c r="H452" t="n">
        <v>0</v>
      </c>
      <c r="I452" t="n">
        <v>1</v>
      </c>
      <c r="J452" t="n">
        <v>0</v>
      </c>
      <c r="K452" t="n">
        <v>0</v>
      </c>
      <c r="L452" t="n">
        <v>0</v>
      </c>
      <c r="M452" t="n">
        <v>0</v>
      </c>
      <c r="N452" t="n">
        <v>0</v>
      </c>
      <c r="O452" t="n">
        <v>0</v>
      </c>
      <c r="P452" t="n">
        <v>0</v>
      </c>
      <c r="Q452" t="n">
        <v>1</v>
      </c>
      <c r="R452" s="2" t="inlineStr">
        <is>
          <t>Dropptaggsvamp</t>
        </is>
      </c>
      <c r="S452">
        <f>HYPERLINK("https://klasma.github.io/Logging_1730/artfynd/A 48420-2021 artfynd.xlsx", "A 48420-2021")</f>
        <v/>
      </c>
      <c r="T452">
        <f>HYPERLINK("https://klasma.github.io/Logging_1730/kartor/A 48420-2021 karta.png", "A 48420-2021")</f>
        <v/>
      </c>
      <c r="V452">
        <f>HYPERLINK("https://klasma.github.io/Logging_1730/klagomål/A 48420-2021 FSC-klagomål.docx", "A 48420-2021")</f>
        <v/>
      </c>
      <c r="W452">
        <f>HYPERLINK("https://klasma.github.io/Logging_1730/klagomålsmail/A 48420-2021 FSC-klagomål mail.docx", "A 48420-2021")</f>
        <v/>
      </c>
      <c r="X452">
        <f>HYPERLINK("https://klasma.github.io/Logging_1730/tillsyn/A 48420-2021 tillsynsbegäran.docx", "A 48420-2021")</f>
        <v/>
      </c>
      <c r="Y452">
        <f>HYPERLINK("https://klasma.github.io/Logging_1730/tillsynsmail/A 48420-2021 tillsynsbegäran mail.docx", "A 48420-2021")</f>
        <v/>
      </c>
    </row>
    <row r="453" ht="15" customHeight="1">
      <c r="A453" t="inlineStr">
        <is>
          <t>A 48449-2021</t>
        </is>
      </c>
      <c r="B453" s="1" t="n">
        <v>44452</v>
      </c>
      <c r="C453" s="1" t="n">
        <v>45736</v>
      </c>
      <c r="D453" t="inlineStr">
        <is>
          <t>VÄRMLANDS LÄN</t>
        </is>
      </c>
      <c r="E453" t="inlineStr">
        <is>
          <t>ÅRJÄNG</t>
        </is>
      </c>
      <c r="G453" t="n">
        <v>0.9</v>
      </c>
      <c r="H453" t="n">
        <v>1</v>
      </c>
      <c r="I453" t="n">
        <v>0</v>
      </c>
      <c r="J453" t="n">
        <v>0</v>
      </c>
      <c r="K453" t="n">
        <v>1</v>
      </c>
      <c r="L453" t="n">
        <v>0</v>
      </c>
      <c r="M453" t="n">
        <v>0</v>
      </c>
      <c r="N453" t="n">
        <v>0</v>
      </c>
      <c r="O453" t="n">
        <v>1</v>
      </c>
      <c r="P453" t="n">
        <v>1</v>
      </c>
      <c r="Q453" t="n">
        <v>1</v>
      </c>
      <c r="R453" s="2" t="inlineStr">
        <is>
          <t>Knärot</t>
        </is>
      </c>
      <c r="S453">
        <f>HYPERLINK("https://klasma.github.io/Logging_1765/artfynd/A 48449-2021 artfynd.xlsx", "A 48449-2021")</f>
        <v/>
      </c>
      <c r="T453">
        <f>HYPERLINK("https://klasma.github.io/Logging_1765/kartor/A 48449-2021 karta.png", "A 48449-2021")</f>
        <v/>
      </c>
      <c r="U453">
        <f>HYPERLINK("https://klasma.github.io/Logging_1765/knärot/A 48449-2021 karta knärot.png", "A 48449-2021")</f>
        <v/>
      </c>
      <c r="V453">
        <f>HYPERLINK("https://klasma.github.io/Logging_1765/klagomål/A 48449-2021 FSC-klagomål.docx", "A 48449-2021")</f>
        <v/>
      </c>
      <c r="W453">
        <f>HYPERLINK("https://klasma.github.io/Logging_1765/klagomålsmail/A 48449-2021 FSC-klagomål mail.docx", "A 48449-2021")</f>
        <v/>
      </c>
      <c r="X453">
        <f>HYPERLINK("https://klasma.github.io/Logging_1765/tillsyn/A 48449-2021 tillsynsbegäran.docx", "A 48449-2021")</f>
        <v/>
      </c>
      <c r="Y453">
        <f>HYPERLINK("https://klasma.github.io/Logging_1765/tillsynsmail/A 48449-2021 tillsynsbegäran mail.docx", "A 48449-2021")</f>
        <v/>
      </c>
    </row>
    <row r="454" ht="15" customHeight="1">
      <c r="A454" t="inlineStr">
        <is>
          <t>A 49110-2021</t>
        </is>
      </c>
      <c r="B454" s="1" t="n">
        <v>44453</v>
      </c>
      <c r="C454" s="1" t="n">
        <v>45736</v>
      </c>
      <c r="D454" t="inlineStr">
        <is>
          <t>VÄRMLANDS LÄN</t>
        </is>
      </c>
      <c r="E454" t="inlineStr">
        <is>
          <t>TORSBY</t>
        </is>
      </c>
      <c r="G454" t="n">
        <v>33.8</v>
      </c>
      <c r="H454" t="n">
        <v>0</v>
      </c>
      <c r="I454" t="n">
        <v>1</v>
      </c>
      <c r="J454" t="n">
        <v>0</v>
      </c>
      <c r="K454" t="n">
        <v>0</v>
      </c>
      <c r="L454" t="n">
        <v>0</v>
      </c>
      <c r="M454" t="n">
        <v>0</v>
      </c>
      <c r="N454" t="n">
        <v>0</v>
      </c>
      <c r="O454" t="n">
        <v>0</v>
      </c>
      <c r="P454" t="n">
        <v>0</v>
      </c>
      <c r="Q454" t="n">
        <v>1</v>
      </c>
      <c r="R454" s="2" t="inlineStr">
        <is>
          <t>Vedticka</t>
        </is>
      </c>
      <c r="S454">
        <f>HYPERLINK("https://klasma.github.io/Logging_1737/artfynd/A 49110-2021 artfynd.xlsx", "A 49110-2021")</f>
        <v/>
      </c>
      <c r="T454">
        <f>HYPERLINK("https://klasma.github.io/Logging_1737/kartor/A 49110-2021 karta.png", "A 49110-2021")</f>
        <v/>
      </c>
      <c r="V454">
        <f>HYPERLINK("https://klasma.github.io/Logging_1737/klagomål/A 49110-2021 FSC-klagomål.docx", "A 49110-2021")</f>
        <v/>
      </c>
      <c r="W454">
        <f>HYPERLINK("https://klasma.github.io/Logging_1737/klagomålsmail/A 49110-2021 FSC-klagomål mail.docx", "A 49110-2021")</f>
        <v/>
      </c>
      <c r="X454">
        <f>HYPERLINK("https://klasma.github.io/Logging_1737/tillsyn/A 49110-2021 tillsynsbegäran.docx", "A 49110-2021")</f>
        <v/>
      </c>
      <c r="Y454">
        <f>HYPERLINK("https://klasma.github.io/Logging_1737/tillsynsmail/A 49110-2021 tillsynsbegäran mail.docx", "A 49110-2021")</f>
        <v/>
      </c>
    </row>
    <row r="455" ht="15" customHeight="1">
      <c r="A455" t="inlineStr">
        <is>
          <t>A 50825-2021</t>
        </is>
      </c>
      <c r="B455" s="1" t="n">
        <v>44460</v>
      </c>
      <c r="C455" s="1" t="n">
        <v>45736</v>
      </c>
      <c r="D455" t="inlineStr">
        <is>
          <t>VÄRMLANDS LÄN</t>
        </is>
      </c>
      <c r="E455" t="inlineStr">
        <is>
          <t>KARLSTAD</t>
        </is>
      </c>
      <c r="F455" t="inlineStr">
        <is>
          <t>Kommuner</t>
        </is>
      </c>
      <c r="G455" t="n">
        <v>0.7</v>
      </c>
      <c r="H455" t="n">
        <v>0</v>
      </c>
      <c r="I455" t="n">
        <v>0</v>
      </c>
      <c r="J455" t="n">
        <v>1</v>
      </c>
      <c r="K455" t="n">
        <v>0</v>
      </c>
      <c r="L455" t="n">
        <v>0</v>
      </c>
      <c r="M455" t="n">
        <v>0</v>
      </c>
      <c r="N455" t="n">
        <v>0</v>
      </c>
      <c r="O455" t="n">
        <v>1</v>
      </c>
      <c r="P455" t="n">
        <v>0</v>
      </c>
      <c r="Q455" t="n">
        <v>1</v>
      </c>
      <c r="R455" s="2" t="inlineStr">
        <is>
          <t>Garnlav</t>
        </is>
      </c>
      <c r="S455">
        <f>HYPERLINK("https://klasma.github.io/Logging_1780/artfynd/A 50825-2021 artfynd.xlsx", "A 50825-2021")</f>
        <v/>
      </c>
      <c r="T455">
        <f>HYPERLINK("https://klasma.github.io/Logging_1780/kartor/A 50825-2021 karta.png", "A 50825-2021")</f>
        <v/>
      </c>
      <c r="V455">
        <f>HYPERLINK("https://klasma.github.io/Logging_1780/klagomål/A 50825-2021 FSC-klagomål.docx", "A 50825-2021")</f>
        <v/>
      </c>
      <c r="W455">
        <f>HYPERLINK("https://klasma.github.io/Logging_1780/klagomålsmail/A 50825-2021 FSC-klagomål mail.docx", "A 50825-2021")</f>
        <v/>
      </c>
      <c r="X455">
        <f>HYPERLINK("https://klasma.github.io/Logging_1780/tillsyn/A 50825-2021 tillsynsbegäran.docx", "A 50825-2021")</f>
        <v/>
      </c>
      <c r="Y455">
        <f>HYPERLINK("https://klasma.github.io/Logging_1780/tillsynsmail/A 50825-2021 tillsynsbegäran mail.docx", "A 50825-2021")</f>
        <v/>
      </c>
    </row>
    <row r="456" ht="15" customHeight="1">
      <c r="A456" t="inlineStr">
        <is>
          <t>A 54982-2021</t>
        </is>
      </c>
      <c r="B456" s="1" t="n">
        <v>44469</v>
      </c>
      <c r="C456" s="1" t="n">
        <v>45736</v>
      </c>
      <c r="D456" t="inlineStr">
        <is>
          <t>VÄRMLANDS LÄN</t>
        </is>
      </c>
      <c r="E456" t="inlineStr">
        <is>
          <t>TORSBY</t>
        </is>
      </c>
      <c r="G456" t="n">
        <v>4.1</v>
      </c>
      <c r="H456" t="n">
        <v>0</v>
      </c>
      <c r="I456" t="n">
        <v>1</v>
      </c>
      <c r="J456" t="n">
        <v>0</v>
      </c>
      <c r="K456" t="n">
        <v>0</v>
      </c>
      <c r="L456" t="n">
        <v>0</v>
      </c>
      <c r="M456" t="n">
        <v>0</v>
      </c>
      <c r="N456" t="n">
        <v>0</v>
      </c>
      <c r="O456" t="n">
        <v>0</v>
      </c>
      <c r="P456" t="n">
        <v>0</v>
      </c>
      <c r="Q456" t="n">
        <v>1</v>
      </c>
      <c r="R456" s="2" t="inlineStr">
        <is>
          <t>Tibast</t>
        </is>
      </c>
      <c r="S456">
        <f>HYPERLINK("https://klasma.github.io/Logging_1737/artfynd/A 54982-2021 artfynd.xlsx", "A 54982-2021")</f>
        <v/>
      </c>
      <c r="T456">
        <f>HYPERLINK("https://klasma.github.io/Logging_1737/kartor/A 54982-2021 karta.png", "A 54982-2021")</f>
        <v/>
      </c>
      <c r="V456">
        <f>HYPERLINK("https://klasma.github.io/Logging_1737/klagomål/A 54982-2021 FSC-klagomål.docx", "A 54982-2021")</f>
        <v/>
      </c>
      <c r="W456">
        <f>HYPERLINK("https://klasma.github.io/Logging_1737/klagomålsmail/A 54982-2021 FSC-klagomål mail.docx", "A 54982-2021")</f>
        <v/>
      </c>
      <c r="X456">
        <f>HYPERLINK("https://klasma.github.io/Logging_1737/tillsyn/A 54982-2021 tillsynsbegäran.docx", "A 54982-2021")</f>
        <v/>
      </c>
      <c r="Y456">
        <f>HYPERLINK("https://klasma.github.io/Logging_1737/tillsynsmail/A 54982-2021 tillsynsbegäran mail.docx", "A 54982-2021")</f>
        <v/>
      </c>
    </row>
    <row r="457" ht="15" customHeight="1">
      <c r="A457" t="inlineStr">
        <is>
          <t>A 54042-2021</t>
        </is>
      </c>
      <c r="B457" s="1" t="n">
        <v>44470</v>
      </c>
      <c r="C457" s="1" t="n">
        <v>45736</v>
      </c>
      <c r="D457" t="inlineStr">
        <is>
          <t>VÄRMLANDS LÄN</t>
        </is>
      </c>
      <c r="E457" t="inlineStr">
        <is>
          <t>GRUMS</t>
        </is>
      </c>
      <c r="G457" t="n">
        <v>7.8</v>
      </c>
      <c r="H457" t="n">
        <v>1</v>
      </c>
      <c r="I457" t="n">
        <v>0</v>
      </c>
      <c r="J457" t="n">
        <v>1</v>
      </c>
      <c r="K457" t="n">
        <v>0</v>
      </c>
      <c r="L457" t="n">
        <v>0</v>
      </c>
      <c r="M457" t="n">
        <v>0</v>
      </c>
      <c r="N457" t="n">
        <v>0</v>
      </c>
      <c r="O457" t="n">
        <v>1</v>
      </c>
      <c r="P457" t="n">
        <v>0</v>
      </c>
      <c r="Q457" t="n">
        <v>1</v>
      </c>
      <c r="R457" s="2" t="inlineStr">
        <is>
          <t>Spillkråka</t>
        </is>
      </c>
      <c r="S457">
        <f>HYPERLINK("https://klasma.github.io/Logging_1764/artfynd/A 54042-2021 artfynd.xlsx", "A 54042-2021")</f>
        <v/>
      </c>
      <c r="T457">
        <f>HYPERLINK("https://klasma.github.io/Logging_1764/kartor/A 54042-2021 karta.png", "A 54042-2021")</f>
        <v/>
      </c>
      <c r="V457">
        <f>HYPERLINK("https://klasma.github.io/Logging_1764/klagomål/A 54042-2021 FSC-klagomål.docx", "A 54042-2021")</f>
        <v/>
      </c>
      <c r="W457">
        <f>HYPERLINK("https://klasma.github.io/Logging_1764/klagomålsmail/A 54042-2021 FSC-klagomål mail.docx", "A 54042-2021")</f>
        <v/>
      </c>
      <c r="X457">
        <f>HYPERLINK("https://klasma.github.io/Logging_1764/tillsyn/A 54042-2021 tillsynsbegäran.docx", "A 54042-2021")</f>
        <v/>
      </c>
      <c r="Y457">
        <f>HYPERLINK("https://klasma.github.io/Logging_1764/tillsynsmail/A 54042-2021 tillsynsbegäran mail.docx", "A 54042-2021")</f>
        <v/>
      </c>
      <c r="Z457">
        <f>HYPERLINK("https://klasma.github.io/Logging_1764/fåglar/A 54042-2021 prioriterade fågelarter.docx", "A 54042-2021")</f>
        <v/>
      </c>
    </row>
    <row r="458" ht="15" customHeight="1">
      <c r="A458" t="inlineStr">
        <is>
          <t>A 55264-2021</t>
        </is>
      </c>
      <c r="B458" s="1" t="n">
        <v>44475</v>
      </c>
      <c r="C458" s="1" t="n">
        <v>45736</v>
      </c>
      <c r="D458" t="inlineStr">
        <is>
          <t>VÄRMLANDS LÄN</t>
        </is>
      </c>
      <c r="E458" t="inlineStr">
        <is>
          <t>KARLSTAD</t>
        </is>
      </c>
      <c r="F458" t="inlineStr">
        <is>
          <t>Kommuner</t>
        </is>
      </c>
      <c r="G458" t="n">
        <v>4</v>
      </c>
      <c r="H458" t="n">
        <v>0</v>
      </c>
      <c r="I458" t="n">
        <v>1</v>
      </c>
      <c r="J458" t="n">
        <v>0</v>
      </c>
      <c r="K458" t="n">
        <v>0</v>
      </c>
      <c r="L458" t="n">
        <v>0</v>
      </c>
      <c r="M458" t="n">
        <v>0</v>
      </c>
      <c r="N458" t="n">
        <v>0</v>
      </c>
      <c r="O458" t="n">
        <v>0</v>
      </c>
      <c r="P458" t="n">
        <v>0</v>
      </c>
      <c r="Q458" t="n">
        <v>1</v>
      </c>
      <c r="R458" s="2" t="inlineStr">
        <is>
          <t>Vedticka</t>
        </is>
      </c>
      <c r="S458">
        <f>HYPERLINK("https://klasma.github.io/Logging_1780/artfynd/A 55264-2021 artfynd.xlsx", "A 55264-2021")</f>
        <v/>
      </c>
      <c r="T458">
        <f>HYPERLINK("https://klasma.github.io/Logging_1780/kartor/A 55264-2021 karta.png", "A 55264-2021")</f>
        <v/>
      </c>
      <c r="V458">
        <f>HYPERLINK("https://klasma.github.io/Logging_1780/klagomål/A 55264-2021 FSC-klagomål.docx", "A 55264-2021")</f>
        <v/>
      </c>
      <c r="W458">
        <f>HYPERLINK("https://klasma.github.io/Logging_1780/klagomålsmail/A 55264-2021 FSC-klagomål mail.docx", "A 55264-2021")</f>
        <v/>
      </c>
      <c r="X458">
        <f>HYPERLINK("https://klasma.github.io/Logging_1780/tillsyn/A 55264-2021 tillsynsbegäran.docx", "A 55264-2021")</f>
        <v/>
      </c>
      <c r="Y458">
        <f>HYPERLINK("https://klasma.github.io/Logging_1780/tillsynsmail/A 55264-2021 tillsynsbegäran mail.docx", "A 55264-2021")</f>
        <v/>
      </c>
    </row>
    <row r="459" ht="15" customHeight="1">
      <c r="A459" t="inlineStr">
        <is>
          <t>A 56872-2021</t>
        </is>
      </c>
      <c r="B459" s="1" t="n">
        <v>44481</v>
      </c>
      <c r="C459" s="1" t="n">
        <v>45736</v>
      </c>
      <c r="D459" t="inlineStr">
        <is>
          <t>VÄRMLANDS LÄN</t>
        </is>
      </c>
      <c r="E459" t="inlineStr">
        <is>
          <t>ARVIKA</t>
        </is>
      </c>
      <c r="G459" t="n">
        <v>1.4</v>
      </c>
      <c r="H459" t="n">
        <v>1</v>
      </c>
      <c r="I459" t="n">
        <v>0</v>
      </c>
      <c r="J459" t="n">
        <v>0</v>
      </c>
      <c r="K459" t="n">
        <v>1</v>
      </c>
      <c r="L459" t="n">
        <v>0</v>
      </c>
      <c r="M459" t="n">
        <v>0</v>
      </c>
      <c r="N459" t="n">
        <v>0</v>
      </c>
      <c r="O459" t="n">
        <v>1</v>
      </c>
      <c r="P459" t="n">
        <v>1</v>
      </c>
      <c r="Q459" t="n">
        <v>1</v>
      </c>
      <c r="R459" s="2" t="inlineStr">
        <is>
          <t>Knärot</t>
        </is>
      </c>
      <c r="S459">
        <f>HYPERLINK("https://klasma.github.io/Logging_1784/artfynd/A 56872-2021 artfynd.xlsx", "A 56872-2021")</f>
        <v/>
      </c>
      <c r="T459">
        <f>HYPERLINK("https://klasma.github.io/Logging_1784/kartor/A 56872-2021 karta.png", "A 56872-2021")</f>
        <v/>
      </c>
      <c r="U459">
        <f>HYPERLINK("https://klasma.github.io/Logging_1784/knärot/A 56872-2021 karta knärot.png", "A 56872-2021")</f>
        <v/>
      </c>
      <c r="V459">
        <f>HYPERLINK("https://klasma.github.io/Logging_1784/klagomål/A 56872-2021 FSC-klagomål.docx", "A 56872-2021")</f>
        <v/>
      </c>
      <c r="W459">
        <f>HYPERLINK("https://klasma.github.io/Logging_1784/klagomålsmail/A 56872-2021 FSC-klagomål mail.docx", "A 56872-2021")</f>
        <v/>
      </c>
      <c r="X459">
        <f>HYPERLINK("https://klasma.github.io/Logging_1784/tillsyn/A 56872-2021 tillsynsbegäran.docx", "A 56872-2021")</f>
        <v/>
      </c>
      <c r="Y459">
        <f>HYPERLINK("https://klasma.github.io/Logging_1784/tillsynsmail/A 56872-2021 tillsynsbegäran mail.docx", "A 56872-2021")</f>
        <v/>
      </c>
    </row>
    <row r="460" ht="15" customHeight="1">
      <c r="A460" t="inlineStr">
        <is>
          <t>A 58471-2021</t>
        </is>
      </c>
      <c r="B460" s="1" t="n">
        <v>44488</v>
      </c>
      <c r="C460" s="1" t="n">
        <v>45736</v>
      </c>
      <c r="D460" t="inlineStr">
        <is>
          <t>VÄRMLANDS LÄN</t>
        </is>
      </c>
      <c r="E460" t="inlineStr">
        <is>
          <t>TORSBY</t>
        </is>
      </c>
      <c r="G460" t="n">
        <v>2.5</v>
      </c>
      <c r="H460" t="n">
        <v>0</v>
      </c>
      <c r="I460" t="n">
        <v>1</v>
      </c>
      <c r="J460" t="n">
        <v>0</v>
      </c>
      <c r="K460" t="n">
        <v>0</v>
      </c>
      <c r="L460" t="n">
        <v>0</v>
      </c>
      <c r="M460" t="n">
        <v>0</v>
      </c>
      <c r="N460" t="n">
        <v>0</v>
      </c>
      <c r="O460" t="n">
        <v>0</v>
      </c>
      <c r="P460" t="n">
        <v>0</v>
      </c>
      <c r="Q460" t="n">
        <v>1</v>
      </c>
      <c r="R460" s="2" t="inlineStr">
        <is>
          <t>Korallblylav</t>
        </is>
      </c>
      <c r="S460">
        <f>HYPERLINK("https://klasma.github.io/Logging_1737/artfynd/A 58471-2021 artfynd.xlsx", "A 58471-2021")</f>
        <v/>
      </c>
      <c r="T460">
        <f>HYPERLINK("https://klasma.github.io/Logging_1737/kartor/A 58471-2021 karta.png", "A 58471-2021")</f>
        <v/>
      </c>
      <c r="V460">
        <f>HYPERLINK("https://klasma.github.io/Logging_1737/klagomål/A 58471-2021 FSC-klagomål.docx", "A 58471-2021")</f>
        <v/>
      </c>
      <c r="W460">
        <f>HYPERLINK("https://klasma.github.io/Logging_1737/klagomålsmail/A 58471-2021 FSC-klagomål mail.docx", "A 58471-2021")</f>
        <v/>
      </c>
      <c r="X460">
        <f>HYPERLINK("https://klasma.github.io/Logging_1737/tillsyn/A 58471-2021 tillsynsbegäran.docx", "A 58471-2021")</f>
        <v/>
      </c>
      <c r="Y460">
        <f>HYPERLINK("https://klasma.github.io/Logging_1737/tillsynsmail/A 58471-2021 tillsynsbegäran mail.docx", "A 58471-2021")</f>
        <v/>
      </c>
    </row>
    <row r="461" ht="15" customHeight="1">
      <c r="A461" t="inlineStr">
        <is>
          <t>A 61813-2021</t>
        </is>
      </c>
      <c r="B461" s="1" t="n">
        <v>44501</v>
      </c>
      <c r="C461" s="1" t="n">
        <v>45736</v>
      </c>
      <c r="D461" t="inlineStr">
        <is>
          <t>VÄRMLANDS LÄN</t>
        </is>
      </c>
      <c r="E461" t="inlineStr">
        <is>
          <t>TORSBY</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HYPERLINK("https://klasma.github.io/Logging_1737/artfynd/A 61813-2021 artfynd.xlsx", "A 61813-2021")</f>
        <v/>
      </c>
      <c r="T461">
        <f>HYPERLINK("https://klasma.github.io/Logging_1737/kartor/A 61813-2021 karta.png", "A 61813-2021")</f>
        <v/>
      </c>
      <c r="V461">
        <f>HYPERLINK("https://klasma.github.io/Logging_1737/klagomål/A 61813-2021 FSC-klagomål.docx", "A 61813-2021")</f>
        <v/>
      </c>
      <c r="W461">
        <f>HYPERLINK("https://klasma.github.io/Logging_1737/klagomålsmail/A 61813-2021 FSC-klagomål mail.docx", "A 61813-2021")</f>
        <v/>
      </c>
      <c r="X461">
        <f>HYPERLINK("https://klasma.github.io/Logging_1737/tillsyn/A 61813-2021 tillsynsbegäran.docx", "A 61813-2021")</f>
        <v/>
      </c>
      <c r="Y461">
        <f>HYPERLINK("https://klasma.github.io/Logging_1737/tillsynsmail/A 61813-2021 tillsynsbegäran mail.docx", "A 61813-2021")</f>
        <v/>
      </c>
    </row>
    <row r="462" ht="15" customHeight="1">
      <c r="A462" t="inlineStr">
        <is>
          <t>A 62572-2021</t>
        </is>
      </c>
      <c r="B462" s="1" t="n">
        <v>44503</v>
      </c>
      <c r="C462" s="1" t="n">
        <v>45736</v>
      </c>
      <c r="D462" t="inlineStr">
        <is>
          <t>VÄRMLANDS LÄN</t>
        </is>
      </c>
      <c r="E462" t="inlineStr">
        <is>
          <t>FILIPSTAD</t>
        </is>
      </c>
      <c r="F462" t="inlineStr">
        <is>
          <t>Bergvik skog väst AB</t>
        </is>
      </c>
      <c r="G462" t="n">
        <v>46.9</v>
      </c>
      <c r="H462" t="n">
        <v>0</v>
      </c>
      <c r="I462" t="n">
        <v>0</v>
      </c>
      <c r="J462" t="n">
        <v>1</v>
      </c>
      <c r="K462" t="n">
        <v>0</v>
      </c>
      <c r="L462" t="n">
        <v>0</v>
      </c>
      <c r="M462" t="n">
        <v>0</v>
      </c>
      <c r="N462" t="n">
        <v>0</v>
      </c>
      <c r="O462" t="n">
        <v>1</v>
      </c>
      <c r="P462" t="n">
        <v>0</v>
      </c>
      <c r="Q462" t="n">
        <v>1</v>
      </c>
      <c r="R462" s="2" t="inlineStr">
        <is>
          <t>Garnlav</t>
        </is>
      </c>
      <c r="S462">
        <f>HYPERLINK("https://klasma.github.io/Logging_1782/artfynd/A 62572-2021 artfynd.xlsx", "A 62572-2021")</f>
        <v/>
      </c>
      <c r="T462">
        <f>HYPERLINK("https://klasma.github.io/Logging_1782/kartor/A 62572-2021 karta.png", "A 62572-2021")</f>
        <v/>
      </c>
      <c r="V462">
        <f>HYPERLINK("https://klasma.github.io/Logging_1782/klagomål/A 62572-2021 FSC-klagomål.docx", "A 62572-2021")</f>
        <v/>
      </c>
      <c r="W462">
        <f>HYPERLINK("https://klasma.github.io/Logging_1782/klagomålsmail/A 62572-2021 FSC-klagomål mail.docx", "A 62572-2021")</f>
        <v/>
      </c>
      <c r="X462">
        <f>HYPERLINK("https://klasma.github.io/Logging_1782/tillsyn/A 62572-2021 tillsynsbegäran.docx", "A 62572-2021")</f>
        <v/>
      </c>
      <c r="Y462">
        <f>HYPERLINK("https://klasma.github.io/Logging_1782/tillsynsmail/A 62572-2021 tillsynsbegäran mail.docx", "A 62572-2021")</f>
        <v/>
      </c>
    </row>
    <row r="463" ht="15" customHeight="1">
      <c r="A463" t="inlineStr">
        <is>
          <t>A 62619-2021</t>
        </is>
      </c>
      <c r="B463" s="1" t="n">
        <v>44503</v>
      </c>
      <c r="C463" s="1" t="n">
        <v>45736</v>
      </c>
      <c r="D463" t="inlineStr">
        <is>
          <t>VÄRMLANDS LÄN</t>
        </is>
      </c>
      <c r="E463" t="inlineStr">
        <is>
          <t>ARVIKA</t>
        </is>
      </c>
      <c r="G463" t="n">
        <v>6.5</v>
      </c>
      <c r="H463" t="n">
        <v>1</v>
      </c>
      <c r="I463" t="n">
        <v>0</v>
      </c>
      <c r="J463" t="n">
        <v>1</v>
      </c>
      <c r="K463" t="n">
        <v>0</v>
      </c>
      <c r="L463" t="n">
        <v>0</v>
      </c>
      <c r="M463" t="n">
        <v>0</v>
      </c>
      <c r="N463" t="n">
        <v>0</v>
      </c>
      <c r="O463" t="n">
        <v>1</v>
      </c>
      <c r="P463" t="n">
        <v>0</v>
      </c>
      <c r="Q463" t="n">
        <v>1</v>
      </c>
      <c r="R463" s="2" t="inlineStr">
        <is>
          <t>Smålom</t>
        </is>
      </c>
      <c r="S463">
        <f>HYPERLINK("https://klasma.github.io/Logging_1784/artfynd/A 62619-2021 artfynd.xlsx", "A 62619-2021")</f>
        <v/>
      </c>
      <c r="T463">
        <f>HYPERLINK("https://klasma.github.io/Logging_1784/kartor/A 62619-2021 karta.png", "A 62619-2021")</f>
        <v/>
      </c>
      <c r="V463">
        <f>HYPERLINK("https://klasma.github.io/Logging_1784/klagomål/A 62619-2021 FSC-klagomål.docx", "A 62619-2021")</f>
        <v/>
      </c>
      <c r="W463">
        <f>HYPERLINK("https://klasma.github.io/Logging_1784/klagomålsmail/A 62619-2021 FSC-klagomål mail.docx", "A 62619-2021")</f>
        <v/>
      </c>
      <c r="X463">
        <f>HYPERLINK("https://klasma.github.io/Logging_1784/tillsyn/A 62619-2021 tillsynsbegäran.docx", "A 62619-2021")</f>
        <v/>
      </c>
      <c r="Y463">
        <f>HYPERLINK("https://klasma.github.io/Logging_1784/tillsynsmail/A 62619-2021 tillsynsbegäran mail.docx", "A 62619-2021")</f>
        <v/>
      </c>
      <c r="Z463">
        <f>HYPERLINK("https://klasma.github.io/Logging_1784/fåglar/A 62619-2021 prioriterade fågelarter.docx", "A 62619-2021")</f>
        <v/>
      </c>
    </row>
    <row r="464" ht="15" customHeight="1">
      <c r="A464" t="inlineStr">
        <is>
          <t>A 64504-2021</t>
        </is>
      </c>
      <c r="B464" s="1" t="n">
        <v>44511</v>
      </c>
      <c r="C464" s="1" t="n">
        <v>45736</v>
      </c>
      <c r="D464" t="inlineStr">
        <is>
          <t>VÄRMLANDS LÄN</t>
        </is>
      </c>
      <c r="E464" t="inlineStr">
        <is>
          <t>KIL</t>
        </is>
      </c>
      <c r="G464" t="n">
        <v>3.2</v>
      </c>
      <c r="H464" t="n">
        <v>1</v>
      </c>
      <c r="I464" t="n">
        <v>0</v>
      </c>
      <c r="J464" t="n">
        <v>0</v>
      </c>
      <c r="K464" t="n">
        <v>1</v>
      </c>
      <c r="L464" t="n">
        <v>0</v>
      </c>
      <c r="M464" t="n">
        <v>0</v>
      </c>
      <c r="N464" t="n">
        <v>0</v>
      </c>
      <c r="O464" t="n">
        <v>1</v>
      </c>
      <c r="P464" t="n">
        <v>1</v>
      </c>
      <c r="Q464" t="n">
        <v>1</v>
      </c>
      <c r="R464" s="2" t="inlineStr">
        <is>
          <t>Knärot</t>
        </is>
      </c>
      <c r="S464">
        <f>HYPERLINK("https://klasma.github.io/Logging_1715/artfynd/A 64504-2021 artfynd.xlsx", "A 64504-2021")</f>
        <v/>
      </c>
      <c r="T464">
        <f>HYPERLINK("https://klasma.github.io/Logging_1715/kartor/A 64504-2021 karta.png", "A 64504-2021")</f>
        <v/>
      </c>
      <c r="U464">
        <f>HYPERLINK("https://klasma.github.io/Logging_1715/knärot/A 64504-2021 karta knärot.png", "A 64504-2021")</f>
        <v/>
      </c>
      <c r="V464">
        <f>HYPERLINK("https://klasma.github.io/Logging_1715/klagomål/A 64504-2021 FSC-klagomål.docx", "A 64504-2021")</f>
        <v/>
      </c>
      <c r="W464">
        <f>HYPERLINK("https://klasma.github.io/Logging_1715/klagomålsmail/A 64504-2021 FSC-klagomål mail.docx", "A 64504-2021")</f>
        <v/>
      </c>
      <c r="X464">
        <f>HYPERLINK("https://klasma.github.io/Logging_1715/tillsyn/A 64504-2021 tillsynsbegäran.docx", "A 64504-2021")</f>
        <v/>
      </c>
      <c r="Y464">
        <f>HYPERLINK("https://klasma.github.io/Logging_1715/tillsynsmail/A 64504-2021 tillsynsbegäran mail.docx", "A 64504-2021")</f>
        <v/>
      </c>
    </row>
    <row r="465" ht="15" customHeight="1">
      <c r="A465" t="inlineStr">
        <is>
          <t>A 64590-2021</t>
        </is>
      </c>
      <c r="B465" s="1" t="n">
        <v>44511</v>
      </c>
      <c r="C465" s="1" t="n">
        <v>45736</v>
      </c>
      <c r="D465" t="inlineStr">
        <is>
          <t>VÄRMLANDS LÄN</t>
        </is>
      </c>
      <c r="E465" t="inlineStr">
        <is>
          <t>ARVIKA</t>
        </is>
      </c>
      <c r="G465" t="n">
        <v>4.1</v>
      </c>
      <c r="H465" t="n">
        <v>1</v>
      </c>
      <c r="I465" t="n">
        <v>0</v>
      </c>
      <c r="J465" t="n">
        <v>1</v>
      </c>
      <c r="K465" t="n">
        <v>0</v>
      </c>
      <c r="L465" t="n">
        <v>0</v>
      </c>
      <c r="M465" t="n">
        <v>0</v>
      </c>
      <c r="N465" t="n">
        <v>0</v>
      </c>
      <c r="O465" t="n">
        <v>1</v>
      </c>
      <c r="P465" t="n">
        <v>0</v>
      </c>
      <c r="Q465" t="n">
        <v>1</v>
      </c>
      <c r="R465" s="2" t="inlineStr">
        <is>
          <t>Tretåig hackspett</t>
        </is>
      </c>
      <c r="S465">
        <f>HYPERLINK("https://klasma.github.io/Logging_1784/artfynd/A 64590-2021 artfynd.xlsx", "A 64590-2021")</f>
        <v/>
      </c>
      <c r="T465">
        <f>HYPERLINK("https://klasma.github.io/Logging_1784/kartor/A 64590-2021 karta.png", "A 64590-2021")</f>
        <v/>
      </c>
      <c r="V465">
        <f>HYPERLINK("https://klasma.github.io/Logging_1784/klagomål/A 64590-2021 FSC-klagomål.docx", "A 64590-2021")</f>
        <v/>
      </c>
      <c r="W465">
        <f>HYPERLINK("https://klasma.github.io/Logging_1784/klagomålsmail/A 64590-2021 FSC-klagomål mail.docx", "A 64590-2021")</f>
        <v/>
      </c>
      <c r="X465">
        <f>HYPERLINK("https://klasma.github.io/Logging_1784/tillsyn/A 64590-2021 tillsynsbegäran.docx", "A 64590-2021")</f>
        <v/>
      </c>
      <c r="Y465">
        <f>HYPERLINK("https://klasma.github.io/Logging_1784/tillsynsmail/A 64590-2021 tillsynsbegäran mail.docx", "A 64590-2021")</f>
        <v/>
      </c>
      <c r="Z465">
        <f>HYPERLINK("https://klasma.github.io/Logging_1784/fåglar/A 64590-2021 prioriterade fågelarter.docx", "A 64590-2021")</f>
        <v/>
      </c>
    </row>
    <row r="466" ht="15" customHeight="1">
      <c r="A466" t="inlineStr">
        <is>
          <t>A 65767-2021</t>
        </is>
      </c>
      <c r="B466" s="1" t="n">
        <v>44516</v>
      </c>
      <c r="C466" s="1" t="n">
        <v>45736</v>
      </c>
      <c r="D466" t="inlineStr">
        <is>
          <t>VÄRMLANDS LÄN</t>
        </is>
      </c>
      <c r="E466" t="inlineStr">
        <is>
          <t>TORSBY</t>
        </is>
      </c>
      <c r="G466" t="n">
        <v>7.5</v>
      </c>
      <c r="H466" t="n">
        <v>0</v>
      </c>
      <c r="I466" t="n">
        <v>1</v>
      </c>
      <c r="J466" t="n">
        <v>0</v>
      </c>
      <c r="K466" t="n">
        <v>0</v>
      </c>
      <c r="L466" t="n">
        <v>0</v>
      </c>
      <c r="M466" t="n">
        <v>0</v>
      </c>
      <c r="N466" t="n">
        <v>0</v>
      </c>
      <c r="O466" t="n">
        <v>0</v>
      </c>
      <c r="P466" t="n">
        <v>0</v>
      </c>
      <c r="Q466" t="n">
        <v>1</v>
      </c>
      <c r="R466" s="2" t="inlineStr">
        <is>
          <t>Mörk husmossa</t>
        </is>
      </c>
      <c r="S466">
        <f>HYPERLINK("https://klasma.github.io/Logging_1737/artfynd/A 65767-2021 artfynd.xlsx", "A 65767-2021")</f>
        <v/>
      </c>
      <c r="T466">
        <f>HYPERLINK("https://klasma.github.io/Logging_1737/kartor/A 65767-2021 karta.png", "A 65767-2021")</f>
        <v/>
      </c>
      <c r="V466">
        <f>HYPERLINK("https://klasma.github.io/Logging_1737/klagomål/A 65767-2021 FSC-klagomål.docx", "A 65767-2021")</f>
        <v/>
      </c>
      <c r="W466">
        <f>HYPERLINK("https://klasma.github.io/Logging_1737/klagomålsmail/A 65767-2021 FSC-klagomål mail.docx", "A 65767-2021")</f>
        <v/>
      </c>
      <c r="X466">
        <f>HYPERLINK("https://klasma.github.io/Logging_1737/tillsyn/A 65767-2021 tillsynsbegäran.docx", "A 65767-2021")</f>
        <v/>
      </c>
      <c r="Y466">
        <f>HYPERLINK("https://klasma.github.io/Logging_1737/tillsynsmail/A 65767-2021 tillsynsbegäran mail.docx", "A 65767-2021")</f>
        <v/>
      </c>
    </row>
    <row r="467" ht="15" customHeight="1">
      <c r="A467" t="inlineStr">
        <is>
          <t>A 65920-2021</t>
        </is>
      </c>
      <c r="B467" s="1" t="n">
        <v>44517</v>
      </c>
      <c r="C467" s="1" t="n">
        <v>45736</v>
      </c>
      <c r="D467" t="inlineStr">
        <is>
          <t>VÄRMLANDS LÄN</t>
        </is>
      </c>
      <c r="E467" t="inlineStr">
        <is>
          <t>STORFORS</t>
        </is>
      </c>
      <c r="F467" t="inlineStr">
        <is>
          <t>Kyrkan</t>
        </is>
      </c>
      <c r="G467" t="n">
        <v>7</v>
      </c>
      <c r="H467" t="n">
        <v>0</v>
      </c>
      <c r="I467" t="n">
        <v>0</v>
      </c>
      <c r="J467" t="n">
        <v>1</v>
      </c>
      <c r="K467" t="n">
        <v>0</v>
      </c>
      <c r="L467" t="n">
        <v>0</v>
      </c>
      <c r="M467" t="n">
        <v>0</v>
      </c>
      <c r="N467" t="n">
        <v>0</v>
      </c>
      <c r="O467" t="n">
        <v>1</v>
      </c>
      <c r="P467" t="n">
        <v>0</v>
      </c>
      <c r="Q467" t="n">
        <v>1</v>
      </c>
      <c r="R467" s="2" t="inlineStr">
        <is>
          <t>Skogsklocka</t>
        </is>
      </c>
      <c r="S467">
        <f>HYPERLINK("https://klasma.github.io/Logging_1760/artfynd/A 65920-2021 artfynd.xlsx", "A 65920-2021")</f>
        <v/>
      </c>
      <c r="T467">
        <f>HYPERLINK("https://klasma.github.io/Logging_1760/kartor/A 65920-2021 karta.png", "A 65920-2021")</f>
        <v/>
      </c>
      <c r="V467">
        <f>HYPERLINK("https://klasma.github.io/Logging_1760/klagomål/A 65920-2021 FSC-klagomål.docx", "A 65920-2021")</f>
        <v/>
      </c>
      <c r="W467">
        <f>HYPERLINK("https://klasma.github.io/Logging_1760/klagomålsmail/A 65920-2021 FSC-klagomål mail.docx", "A 65920-2021")</f>
        <v/>
      </c>
      <c r="X467">
        <f>HYPERLINK("https://klasma.github.io/Logging_1760/tillsyn/A 65920-2021 tillsynsbegäran.docx", "A 65920-2021")</f>
        <v/>
      </c>
      <c r="Y467">
        <f>HYPERLINK("https://klasma.github.io/Logging_1760/tillsynsmail/A 65920-2021 tillsynsbegäran mail.docx", "A 65920-2021")</f>
        <v/>
      </c>
    </row>
    <row r="468" ht="15" customHeight="1">
      <c r="A468" t="inlineStr">
        <is>
          <t>A 66274-2021</t>
        </is>
      </c>
      <c r="B468" s="1" t="n">
        <v>44518</v>
      </c>
      <c r="C468" s="1" t="n">
        <v>45736</v>
      </c>
      <c r="D468" t="inlineStr">
        <is>
          <t>VÄRMLANDS LÄN</t>
        </is>
      </c>
      <c r="E468" t="inlineStr">
        <is>
          <t>KARLSTAD</t>
        </is>
      </c>
      <c r="G468" t="n">
        <v>2.5</v>
      </c>
      <c r="H468" t="n">
        <v>1</v>
      </c>
      <c r="I468" t="n">
        <v>0</v>
      </c>
      <c r="J468" t="n">
        <v>0</v>
      </c>
      <c r="K468" t="n">
        <v>0</v>
      </c>
      <c r="L468" t="n">
        <v>0</v>
      </c>
      <c r="M468" t="n">
        <v>0</v>
      </c>
      <c r="N468" t="n">
        <v>0</v>
      </c>
      <c r="O468" t="n">
        <v>0</v>
      </c>
      <c r="P468" t="n">
        <v>0</v>
      </c>
      <c r="Q468" t="n">
        <v>1</v>
      </c>
      <c r="R468" s="2" t="inlineStr">
        <is>
          <t>Nattviol</t>
        </is>
      </c>
      <c r="S468">
        <f>HYPERLINK("https://klasma.github.io/Logging_1780/artfynd/A 66274-2021 artfynd.xlsx", "A 66274-2021")</f>
        <v/>
      </c>
      <c r="T468">
        <f>HYPERLINK("https://klasma.github.io/Logging_1780/kartor/A 66274-2021 karta.png", "A 66274-2021")</f>
        <v/>
      </c>
      <c r="V468">
        <f>HYPERLINK("https://klasma.github.io/Logging_1780/klagomål/A 66274-2021 FSC-klagomål.docx", "A 66274-2021")</f>
        <v/>
      </c>
      <c r="W468">
        <f>HYPERLINK("https://klasma.github.io/Logging_1780/klagomålsmail/A 66274-2021 FSC-klagomål mail.docx", "A 66274-2021")</f>
        <v/>
      </c>
      <c r="X468">
        <f>HYPERLINK("https://klasma.github.io/Logging_1780/tillsyn/A 66274-2021 tillsynsbegäran.docx", "A 66274-2021")</f>
        <v/>
      </c>
      <c r="Y468">
        <f>HYPERLINK("https://klasma.github.io/Logging_1780/tillsynsmail/A 66274-2021 tillsynsbegäran mail.docx", "A 66274-2021")</f>
        <v/>
      </c>
    </row>
    <row r="469" ht="15" customHeight="1">
      <c r="A469" t="inlineStr">
        <is>
          <t>A 68490-2021</t>
        </is>
      </c>
      <c r="B469" s="1" t="n">
        <v>44525</v>
      </c>
      <c r="C469" s="1" t="n">
        <v>45736</v>
      </c>
      <c r="D469" t="inlineStr">
        <is>
          <t>VÄRMLANDS LÄN</t>
        </is>
      </c>
      <c r="E469" t="inlineStr">
        <is>
          <t>KRISTINEHAMN</t>
        </is>
      </c>
      <c r="G469" t="n">
        <v>1.8</v>
      </c>
      <c r="H469" t="n">
        <v>0</v>
      </c>
      <c r="I469" t="n">
        <v>0</v>
      </c>
      <c r="J469" t="n">
        <v>1</v>
      </c>
      <c r="K469" t="n">
        <v>0</v>
      </c>
      <c r="L469" t="n">
        <v>0</v>
      </c>
      <c r="M469" t="n">
        <v>0</v>
      </c>
      <c r="N469" t="n">
        <v>0</v>
      </c>
      <c r="O469" t="n">
        <v>1</v>
      </c>
      <c r="P469" t="n">
        <v>0</v>
      </c>
      <c r="Q469" t="n">
        <v>1</v>
      </c>
      <c r="R469" s="2" t="inlineStr">
        <is>
          <t>Igelkott</t>
        </is>
      </c>
      <c r="S469">
        <f>HYPERLINK("https://klasma.github.io/Logging_1781/artfynd/A 68490-2021 artfynd.xlsx", "A 68490-2021")</f>
        <v/>
      </c>
      <c r="T469">
        <f>HYPERLINK("https://klasma.github.io/Logging_1781/kartor/A 68490-2021 karta.png", "A 68490-2021")</f>
        <v/>
      </c>
      <c r="V469">
        <f>HYPERLINK("https://klasma.github.io/Logging_1781/klagomål/A 68490-2021 FSC-klagomål.docx", "A 68490-2021")</f>
        <v/>
      </c>
      <c r="W469">
        <f>HYPERLINK("https://klasma.github.io/Logging_1781/klagomålsmail/A 68490-2021 FSC-klagomål mail.docx", "A 68490-2021")</f>
        <v/>
      </c>
      <c r="X469">
        <f>HYPERLINK("https://klasma.github.io/Logging_1781/tillsyn/A 68490-2021 tillsynsbegäran.docx", "A 68490-2021")</f>
        <v/>
      </c>
      <c r="Y469">
        <f>HYPERLINK("https://klasma.github.io/Logging_1781/tillsynsmail/A 68490-2021 tillsynsbegäran mail.docx", "A 68490-2021")</f>
        <v/>
      </c>
    </row>
    <row r="470" ht="15" customHeight="1">
      <c r="A470" t="inlineStr">
        <is>
          <t>A 69709-2021</t>
        </is>
      </c>
      <c r="B470" s="1" t="n">
        <v>44532</v>
      </c>
      <c r="C470" s="1" t="n">
        <v>45736</v>
      </c>
      <c r="D470" t="inlineStr">
        <is>
          <t>VÄRMLANDS LÄN</t>
        </is>
      </c>
      <c r="E470" t="inlineStr">
        <is>
          <t>HAGFORS</t>
        </is>
      </c>
      <c r="F470" t="inlineStr">
        <is>
          <t>Bergvik skog väst AB</t>
        </is>
      </c>
      <c r="G470" t="n">
        <v>8.9</v>
      </c>
      <c r="H470" t="n">
        <v>0</v>
      </c>
      <c r="I470" t="n">
        <v>0</v>
      </c>
      <c r="J470" t="n">
        <v>1</v>
      </c>
      <c r="K470" t="n">
        <v>0</v>
      </c>
      <c r="L470" t="n">
        <v>0</v>
      </c>
      <c r="M470" t="n">
        <v>0</v>
      </c>
      <c r="N470" t="n">
        <v>0</v>
      </c>
      <c r="O470" t="n">
        <v>1</v>
      </c>
      <c r="P470" t="n">
        <v>0</v>
      </c>
      <c r="Q470" t="n">
        <v>1</v>
      </c>
      <c r="R470" s="2" t="inlineStr">
        <is>
          <t>Svartvit taggsvamp</t>
        </is>
      </c>
      <c r="S470">
        <f>HYPERLINK("https://klasma.github.io/Logging_1783/artfynd/A 69709-2021 artfynd.xlsx", "A 69709-2021")</f>
        <v/>
      </c>
      <c r="T470">
        <f>HYPERLINK("https://klasma.github.io/Logging_1783/kartor/A 69709-2021 karta.png", "A 69709-2021")</f>
        <v/>
      </c>
      <c r="V470">
        <f>HYPERLINK("https://klasma.github.io/Logging_1783/klagomål/A 69709-2021 FSC-klagomål.docx", "A 69709-2021")</f>
        <v/>
      </c>
      <c r="W470">
        <f>HYPERLINK("https://klasma.github.io/Logging_1783/klagomålsmail/A 69709-2021 FSC-klagomål mail.docx", "A 69709-2021")</f>
        <v/>
      </c>
      <c r="X470">
        <f>HYPERLINK("https://klasma.github.io/Logging_1783/tillsyn/A 69709-2021 tillsynsbegäran.docx", "A 69709-2021")</f>
        <v/>
      </c>
      <c r="Y470">
        <f>HYPERLINK("https://klasma.github.io/Logging_1783/tillsynsmail/A 69709-2021 tillsynsbegäran mail.docx", "A 69709-2021")</f>
        <v/>
      </c>
    </row>
    <row r="471" ht="15" customHeight="1">
      <c r="A471" t="inlineStr">
        <is>
          <t>A 71594-2021</t>
        </is>
      </c>
      <c r="B471" s="1" t="n">
        <v>44541</v>
      </c>
      <c r="C471" s="1" t="n">
        <v>45736</v>
      </c>
      <c r="D471" t="inlineStr">
        <is>
          <t>VÄRMLANDS LÄN</t>
        </is>
      </c>
      <c r="E471" t="inlineStr">
        <is>
          <t>TORSBY</t>
        </is>
      </c>
      <c r="G471" t="n">
        <v>13.1</v>
      </c>
      <c r="H471" t="n">
        <v>0</v>
      </c>
      <c r="I471" t="n">
        <v>0</v>
      </c>
      <c r="J471" t="n">
        <v>1</v>
      </c>
      <c r="K471" t="n">
        <v>0</v>
      </c>
      <c r="L471" t="n">
        <v>0</v>
      </c>
      <c r="M471" t="n">
        <v>0</v>
      </c>
      <c r="N471" t="n">
        <v>0</v>
      </c>
      <c r="O471" t="n">
        <v>1</v>
      </c>
      <c r="P471" t="n">
        <v>0</v>
      </c>
      <c r="Q471" t="n">
        <v>1</v>
      </c>
      <c r="R471" s="2" t="inlineStr">
        <is>
          <t>Garnlav</t>
        </is>
      </c>
      <c r="S471">
        <f>HYPERLINK("https://klasma.github.io/Logging_1737/artfynd/A 71594-2021 artfynd.xlsx", "A 71594-2021")</f>
        <v/>
      </c>
      <c r="T471">
        <f>HYPERLINK("https://klasma.github.io/Logging_1737/kartor/A 71594-2021 karta.png", "A 71594-2021")</f>
        <v/>
      </c>
      <c r="V471">
        <f>HYPERLINK("https://klasma.github.io/Logging_1737/klagomål/A 71594-2021 FSC-klagomål.docx", "A 71594-2021")</f>
        <v/>
      </c>
      <c r="W471">
        <f>HYPERLINK("https://klasma.github.io/Logging_1737/klagomålsmail/A 71594-2021 FSC-klagomål mail.docx", "A 71594-2021")</f>
        <v/>
      </c>
      <c r="X471">
        <f>HYPERLINK("https://klasma.github.io/Logging_1737/tillsyn/A 71594-2021 tillsynsbegäran.docx", "A 71594-2021")</f>
        <v/>
      </c>
      <c r="Y471">
        <f>HYPERLINK("https://klasma.github.io/Logging_1737/tillsynsmail/A 71594-2021 tillsynsbegäran mail.docx", "A 71594-2021")</f>
        <v/>
      </c>
    </row>
    <row r="472" ht="15" customHeight="1">
      <c r="A472" t="inlineStr">
        <is>
          <t>A 72045-2021</t>
        </is>
      </c>
      <c r="B472" s="1" t="n">
        <v>44544</v>
      </c>
      <c r="C472" s="1" t="n">
        <v>45736</v>
      </c>
      <c r="D472" t="inlineStr">
        <is>
          <t>VÄRMLANDS LÄN</t>
        </is>
      </c>
      <c r="E472" t="inlineStr">
        <is>
          <t>KARLSTAD</t>
        </is>
      </c>
      <c r="F472" t="inlineStr">
        <is>
          <t>Kommuner</t>
        </is>
      </c>
      <c r="G472" t="n">
        <v>9.6</v>
      </c>
      <c r="H472" t="n">
        <v>1</v>
      </c>
      <c r="I472" t="n">
        <v>0</v>
      </c>
      <c r="J472" t="n">
        <v>0</v>
      </c>
      <c r="K472" t="n">
        <v>0</v>
      </c>
      <c r="L472" t="n">
        <v>0</v>
      </c>
      <c r="M472" t="n">
        <v>0</v>
      </c>
      <c r="N472" t="n">
        <v>0</v>
      </c>
      <c r="O472" t="n">
        <v>0</v>
      </c>
      <c r="P472" t="n">
        <v>0</v>
      </c>
      <c r="Q472" t="n">
        <v>1</v>
      </c>
      <c r="R472" s="2" t="inlineStr">
        <is>
          <t>Åkergroda</t>
        </is>
      </c>
      <c r="S472">
        <f>HYPERLINK("https://klasma.github.io/Logging_1780/artfynd/A 72045-2021 artfynd.xlsx", "A 72045-2021")</f>
        <v/>
      </c>
      <c r="T472">
        <f>HYPERLINK("https://klasma.github.io/Logging_1780/kartor/A 72045-2021 karta.png", "A 72045-2021")</f>
        <v/>
      </c>
      <c r="V472">
        <f>HYPERLINK("https://klasma.github.io/Logging_1780/klagomål/A 72045-2021 FSC-klagomål.docx", "A 72045-2021")</f>
        <v/>
      </c>
      <c r="W472">
        <f>HYPERLINK("https://klasma.github.io/Logging_1780/klagomålsmail/A 72045-2021 FSC-klagomål mail.docx", "A 72045-2021")</f>
        <v/>
      </c>
      <c r="X472">
        <f>HYPERLINK("https://klasma.github.io/Logging_1780/tillsyn/A 72045-2021 tillsynsbegäran.docx", "A 72045-2021")</f>
        <v/>
      </c>
      <c r="Y472">
        <f>HYPERLINK("https://klasma.github.io/Logging_1780/tillsynsmail/A 72045-2021 tillsynsbegäran mail.docx", "A 72045-2021")</f>
        <v/>
      </c>
    </row>
    <row r="473" ht="15" customHeight="1">
      <c r="A473" t="inlineStr">
        <is>
          <t>A 72222-2021</t>
        </is>
      </c>
      <c r="B473" s="1" t="n">
        <v>44544</v>
      </c>
      <c r="C473" s="1" t="n">
        <v>45736</v>
      </c>
      <c r="D473" t="inlineStr">
        <is>
          <t>VÄRMLANDS LÄN</t>
        </is>
      </c>
      <c r="E473" t="inlineStr">
        <is>
          <t>ARVIKA</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HYPERLINK("https://klasma.github.io/Logging_1784/artfynd/A 72222-2021 artfynd.xlsx", "A 72222-2021")</f>
        <v/>
      </c>
      <c r="T473">
        <f>HYPERLINK("https://klasma.github.io/Logging_1784/kartor/A 72222-2021 karta.png", "A 72222-2021")</f>
        <v/>
      </c>
      <c r="U473">
        <f>HYPERLINK("https://klasma.github.io/Logging_1784/knärot/A 72222-2021 karta knärot.png", "A 72222-2021")</f>
        <v/>
      </c>
      <c r="V473">
        <f>HYPERLINK("https://klasma.github.io/Logging_1784/klagomål/A 72222-2021 FSC-klagomål.docx", "A 72222-2021")</f>
        <v/>
      </c>
      <c r="W473">
        <f>HYPERLINK("https://klasma.github.io/Logging_1784/klagomålsmail/A 72222-2021 FSC-klagomål mail.docx", "A 72222-2021")</f>
        <v/>
      </c>
      <c r="X473">
        <f>HYPERLINK("https://klasma.github.io/Logging_1784/tillsyn/A 72222-2021 tillsynsbegäran.docx", "A 72222-2021")</f>
        <v/>
      </c>
      <c r="Y473">
        <f>HYPERLINK("https://klasma.github.io/Logging_1784/tillsynsmail/A 72222-2021 tillsynsbegäran mail.docx", "A 72222-2021")</f>
        <v/>
      </c>
    </row>
    <row r="474" ht="15" customHeight="1">
      <c r="A474" t="inlineStr">
        <is>
          <t>A 72829-2021</t>
        </is>
      </c>
      <c r="B474" s="1" t="n">
        <v>44547</v>
      </c>
      <c r="C474" s="1" t="n">
        <v>45736</v>
      </c>
      <c r="D474" t="inlineStr">
        <is>
          <t>VÄRMLANDS LÄN</t>
        </is>
      </c>
      <c r="E474" t="inlineStr">
        <is>
          <t>ARVIKA</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HYPERLINK("https://klasma.github.io/Logging_1784/artfynd/A 72829-2021 artfynd.xlsx", "A 72829-2021")</f>
        <v/>
      </c>
      <c r="T474">
        <f>HYPERLINK("https://klasma.github.io/Logging_1784/kartor/A 72829-2021 karta.png", "A 72829-2021")</f>
        <v/>
      </c>
      <c r="U474">
        <f>HYPERLINK("https://klasma.github.io/Logging_1784/knärot/A 72829-2021 karta knärot.png", "A 72829-2021")</f>
        <v/>
      </c>
      <c r="V474">
        <f>HYPERLINK("https://klasma.github.io/Logging_1784/klagomål/A 72829-2021 FSC-klagomål.docx", "A 72829-2021")</f>
        <v/>
      </c>
      <c r="W474">
        <f>HYPERLINK("https://klasma.github.io/Logging_1784/klagomålsmail/A 72829-2021 FSC-klagomål mail.docx", "A 72829-2021")</f>
        <v/>
      </c>
      <c r="X474">
        <f>HYPERLINK("https://klasma.github.io/Logging_1784/tillsyn/A 72829-2021 tillsynsbegäran.docx", "A 72829-2021")</f>
        <v/>
      </c>
      <c r="Y474">
        <f>HYPERLINK("https://klasma.github.io/Logging_1784/tillsynsmail/A 72829-2021 tillsynsbegäran mail.docx", "A 72829-2021")</f>
        <v/>
      </c>
    </row>
    <row r="475" ht="15" customHeight="1">
      <c r="A475" t="inlineStr">
        <is>
          <t>A 73999-2021</t>
        </is>
      </c>
      <c r="B475" s="1" t="n">
        <v>44557</v>
      </c>
      <c r="C475" s="1" t="n">
        <v>45736</v>
      </c>
      <c r="D475" t="inlineStr">
        <is>
          <t>VÄRMLANDS LÄN</t>
        </is>
      </c>
      <c r="E475" t="inlineStr">
        <is>
          <t>ARVIKA</t>
        </is>
      </c>
      <c r="G475" t="n">
        <v>2.2</v>
      </c>
      <c r="H475" t="n">
        <v>1</v>
      </c>
      <c r="I475" t="n">
        <v>0</v>
      </c>
      <c r="J475" t="n">
        <v>0</v>
      </c>
      <c r="K475" t="n">
        <v>1</v>
      </c>
      <c r="L475" t="n">
        <v>0</v>
      </c>
      <c r="M475" t="n">
        <v>0</v>
      </c>
      <c r="N475" t="n">
        <v>0</v>
      </c>
      <c r="O475" t="n">
        <v>1</v>
      </c>
      <c r="P475" t="n">
        <v>1</v>
      </c>
      <c r="Q475" t="n">
        <v>1</v>
      </c>
      <c r="R475" s="2" t="inlineStr">
        <is>
          <t>Knärot</t>
        </is>
      </c>
      <c r="S475">
        <f>HYPERLINK("https://klasma.github.io/Logging_1784/artfynd/A 73999-2021 artfynd.xlsx", "A 73999-2021")</f>
        <v/>
      </c>
      <c r="T475">
        <f>HYPERLINK("https://klasma.github.io/Logging_1784/kartor/A 73999-2021 karta.png", "A 73999-2021")</f>
        <v/>
      </c>
      <c r="U475">
        <f>HYPERLINK("https://klasma.github.io/Logging_1784/knärot/A 73999-2021 karta knärot.png", "A 73999-2021")</f>
        <v/>
      </c>
      <c r="V475">
        <f>HYPERLINK("https://klasma.github.io/Logging_1784/klagomål/A 73999-2021 FSC-klagomål.docx", "A 73999-2021")</f>
        <v/>
      </c>
      <c r="W475">
        <f>HYPERLINK("https://klasma.github.io/Logging_1784/klagomålsmail/A 73999-2021 FSC-klagomål mail.docx", "A 73999-2021")</f>
        <v/>
      </c>
      <c r="X475">
        <f>HYPERLINK("https://klasma.github.io/Logging_1784/tillsyn/A 73999-2021 tillsynsbegäran.docx", "A 73999-2021")</f>
        <v/>
      </c>
      <c r="Y475">
        <f>HYPERLINK("https://klasma.github.io/Logging_1784/tillsynsmail/A 73999-2021 tillsynsbegäran mail.docx", "A 73999-2021")</f>
        <v/>
      </c>
    </row>
    <row r="476" ht="15" customHeight="1">
      <c r="A476" t="inlineStr">
        <is>
          <t>A 1734-2022</t>
        </is>
      </c>
      <c r="B476" s="1" t="n">
        <v>44574</v>
      </c>
      <c r="C476" s="1" t="n">
        <v>45736</v>
      </c>
      <c r="D476" t="inlineStr">
        <is>
          <t>VÄRMLANDS LÄN</t>
        </is>
      </c>
      <c r="E476" t="inlineStr">
        <is>
          <t>KRISTINEHAMN</t>
        </is>
      </c>
      <c r="G476" t="n">
        <v>4</v>
      </c>
      <c r="H476" t="n">
        <v>1</v>
      </c>
      <c r="I476" t="n">
        <v>0</v>
      </c>
      <c r="J476" t="n">
        <v>0</v>
      </c>
      <c r="K476" t="n">
        <v>0</v>
      </c>
      <c r="L476" t="n">
        <v>0</v>
      </c>
      <c r="M476" t="n">
        <v>0</v>
      </c>
      <c r="N476" t="n">
        <v>0</v>
      </c>
      <c r="O476" t="n">
        <v>0</v>
      </c>
      <c r="P476" t="n">
        <v>0</v>
      </c>
      <c r="Q476" t="n">
        <v>1</v>
      </c>
      <c r="R476" s="2" t="inlineStr">
        <is>
          <t>Hasselmus</t>
        </is>
      </c>
      <c r="S476">
        <f>HYPERLINK("https://klasma.github.io/Logging_1781/artfynd/A 1734-2022 artfynd.xlsx", "A 1734-2022")</f>
        <v/>
      </c>
      <c r="T476">
        <f>HYPERLINK("https://klasma.github.io/Logging_1781/kartor/A 1734-2022 karta.png", "A 1734-2022")</f>
        <v/>
      </c>
      <c r="V476">
        <f>HYPERLINK("https://klasma.github.io/Logging_1781/klagomål/A 1734-2022 FSC-klagomål.docx", "A 1734-2022")</f>
        <v/>
      </c>
      <c r="W476">
        <f>HYPERLINK("https://klasma.github.io/Logging_1781/klagomålsmail/A 1734-2022 FSC-klagomål mail.docx", "A 1734-2022")</f>
        <v/>
      </c>
      <c r="X476">
        <f>HYPERLINK("https://klasma.github.io/Logging_1781/tillsyn/A 1734-2022 tillsynsbegäran.docx", "A 1734-2022")</f>
        <v/>
      </c>
      <c r="Y476">
        <f>HYPERLINK("https://klasma.github.io/Logging_1781/tillsynsmail/A 1734-2022 tillsynsbegäran mail.docx", "A 1734-2022")</f>
        <v/>
      </c>
    </row>
    <row r="477" ht="15" customHeight="1">
      <c r="A477" t="inlineStr">
        <is>
          <t>A 3404-2022</t>
        </is>
      </c>
      <c r="B477" s="1" t="n">
        <v>44585</v>
      </c>
      <c r="C477" s="1" t="n">
        <v>45736</v>
      </c>
      <c r="D477" t="inlineStr">
        <is>
          <t>VÄRMLANDS LÄN</t>
        </is>
      </c>
      <c r="E477" t="inlineStr">
        <is>
          <t>TORSBY</t>
        </is>
      </c>
      <c r="G477" t="n">
        <v>1</v>
      </c>
      <c r="H477" t="n">
        <v>0</v>
      </c>
      <c r="I477" t="n">
        <v>0</v>
      </c>
      <c r="J477" t="n">
        <v>1</v>
      </c>
      <c r="K477" t="n">
        <v>0</v>
      </c>
      <c r="L477" t="n">
        <v>0</v>
      </c>
      <c r="M477" t="n">
        <v>0</v>
      </c>
      <c r="N477" t="n">
        <v>0</v>
      </c>
      <c r="O477" t="n">
        <v>1</v>
      </c>
      <c r="P477" t="n">
        <v>0</v>
      </c>
      <c r="Q477" t="n">
        <v>1</v>
      </c>
      <c r="R477" s="2" t="inlineStr">
        <is>
          <t>Vedtrappmossa</t>
        </is>
      </c>
      <c r="S477">
        <f>HYPERLINK("https://klasma.github.io/Logging_1737/artfynd/A 3404-2022 artfynd.xlsx", "A 3404-2022")</f>
        <v/>
      </c>
      <c r="T477">
        <f>HYPERLINK("https://klasma.github.io/Logging_1737/kartor/A 3404-2022 karta.png", "A 3404-2022")</f>
        <v/>
      </c>
      <c r="V477">
        <f>HYPERLINK("https://klasma.github.io/Logging_1737/klagomål/A 3404-2022 FSC-klagomål.docx", "A 3404-2022")</f>
        <v/>
      </c>
      <c r="W477">
        <f>HYPERLINK("https://klasma.github.io/Logging_1737/klagomålsmail/A 3404-2022 FSC-klagomål mail.docx", "A 3404-2022")</f>
        <v/>
      </c>
      <c r="X477">
        <f>HYPERLINK("https://klasma.github.io/Logging_1737/tillsyn/A 3404-2022 tillsynsbegäran.docx", "A 3404-2022")</f>
        <v/>
      </c>
      <c r="Y477">
        <f>HYPERLINK("https://klasma.github.io/Logging_1737/tillsynsmail/A 3404-2022 tillsynsbegäran mail.docx", "A 3404-2022")</f>
        <v/>
      </c>
    </row>
    <row r="478" ht="15" customHeight="1">
      <c r="A478" t="inlineStr">
        <is>
          <t>A 4394-2022</t>
        </is>
      </c>
      <c r="B478" s="1" t="n">
        <v>44589</v>
      </c>
      <c r="C478" s="1" t="n">
        <v>45736</v>
      </c>
      <c r="D478" t="inlineStr">
        <is>
          <t>VÄRMLANDS LÄN</t>
        </is>
      </c>
      <c r="E478" t="inlineStr">
        <is>
          <t>SÄFFLE</t>
        </is>
      </c>
      <c r="G478" t="n">
        <v>2.2</v>
      </c>
      <c r="H478" t="n">
        <v>0</v>
      </c>
      <c r="I478" t="n">
        <v>1</v>
      </c>
      <c r="J478" t="n">
        <v>0</v>
      </c>
      <c r="K478" t="n">
        <v>0</v>
      </c>
      <c r="L478" t="n">
        <v>0</v>
      </c>
      <c r="M478" t="n">
        <v>0</v>
      </c>
      <c r="N478" t="n">
        <v>0</v>
      </c>
      <c r="O478" t="n">
        <v>0</v>
      </c>
      <c r="P478" t="n">
        <v>0</v>
      </c>
      <c r="Q478" t="n">
        <v>1</v>
      </c>
      <c r="R478" s="2" t="inlineStr">
        <is>
          <t>Vätteros</t>
        </is>
      </c>
      <c r="S478">
        <f>HYPERLINK("https://klasma.github.io/Logging_1785/artfynd/A 4394-2022 artfynd.xlsx", "A 4394-2022")</f>
        <v/>
      </c>
      <c r="T478">
        <f>HYPERLINK("https://klasma.github.io/Logging_1785/kartor/A 4394-2022 karta.png", "A 4394-2022")</f>
        <v/>
      </c>
      <c r="V478">
        <f>HYPERLINK("https://klasma.github.io/Logging_1785/klagomål/A 4394-2022 FSC-klagomål.docx", "A 4394-2022")</f>
        <v/>
      </c>
      <c r="W478">
        <f>HYPERLINK("https://klasma.github.io/Logging_1785/klagomålsmail/A 4394-2022 FSC-klagomål mail.docx", "A 4394-2022")</f>
        <v/>
      </c>
      <c r="X478">
        <f>HYPERLINK("https://klasma.github.io/Logging_1785/tillsyn/A 4394-2022 tillsynsbegäran.docx", "A 4394-2022")</f>
        <v/>
      </c>
      <c r="Y478">
        <f>HYPERLINK("https://klasma.github.io/Logging_1785/tillsynsmail/A 4394-2022 tillsynsbegäran mail.docx", "A 4394-2022")</f>
        <v/>
      </c>
    </row>
    <row r="479" ht="15" customHeight="1">
      <c r="A479" t="inlineStr">
        <is>
          <t>A 4664-2022</t>
        </is>
      </c>
      <c r="B479" s="1" t="n">
        <v>44592</v>
      </c>
      <c r="C479" s="1" t="n">
        <v>45736</v>
      </c>
      <c r="D479" t="inlineStr">
        <is>
          <t>VÄRMLANDS LÄN</t>
        </is>
      </c>
      <c r="E479" t="inlineStr">
        <is>
          <t>KARLSTAD</t>
        </is>
      </c>
      <c r="F479" t="inlineStr">
        <is>
          <t>Kommuner</t>
        </is>
      </c>
      <c r="G479" t="n">
        <v>2.3</v>
      </c>
      <c r="H479" t="n">
        <v>0</v>
      </c>
      <c r="I479" t="n">
        <v>0</v>
      </c>
      <c r="J479" t="n">
        <v>1</v>
      </c>
      <c r="K479" t="n">
        <v>0</v>
      </c>
      <c r="L479" t="n">
        <v>0</v>
      </c>
      <c r="M479" t="n">
        <v>0</v>
      </c>
      <c r="N479" t="n">
        <v>0</v>
      </c>
      <c r="O479" t="n">
        <v>1</v>
      </c>
      <c r="P479" t="n">
        <v>0</v>
      </c>
      <c r="Q479" t="n">
        <v>1</v>
      </c>
      <c r="R479" s="2" t="inlineStr">
        <is>
          <t>Vedskivlav</t>
        </is>
      </c>
      <c r="S479">
        <f>HYPERLINK("https://klasma.github.io/Logging_1780/artfynd/A 4664-2022 artfynd.xlsx", "A 4664-2022")</f>
        <v/>
      </c>
      <c r="T479">
        <f>HYPERLINK("https://klasma.github.io/Logging_1780/kartor/A 4664-2022 karta.png", "A 4664-2022")</f>
        <v/>
      </c>
      <c r="V479">
        <f>HYPERLINK("https://klasma.github.io/Logging_1780/klagomål/A 4664-2022 FSC-klagomål.docx", "A 4664-2022")</f>
        <v/>
      </c>
      <c r="W479">
        <f>HYPERLINK("https://klasma.github.io/Logging_1780/klagomålsmail/A 4664-2022 FSC-klagomål mail.docx", "A 4664-2022")</f>
        <v/>
      </c>
      <c r="X479">
        <f>HYPERLINK("https://klasma.github.io/Logging_1780/tillsyn/A 4664-2022 tillsynsbegäran.docx", "A 4664-2022")</f>
        <v/>
      </c>
      <c r="Y479">
        <f>HYPERLINK("https://klasma.github.io/Logging_1780/tillsynsmail/A 4664-2022 tillsynsbegäran mail.docx", "A 4664-2022")</f>
        <v/>
      </c>
    </row>
    <row r="480" ht="15" customHeight="1">
      <c r="A480" t="inlineStr">
        <is>
          <t>A 6294-2022</t>
        </is>
      </c>
      <c r="B480" s="1" t="n">
        <v>44601</v>
      </c>
      <c r="C480" s="1" t="n">
        <v>45736</v>
      </c>
      <c r="D480" t="inlineStr">
        <is>
          <t>VÄRMLANDS LÄN</t>
        </is>
      </c>
      <c r="E480" t="inlineStr">
        <is>
          <t>FORSHAGA</t>
        </is>
      </c>
      <c r="G480" t="n">
        <v>3.2</v>
      </c>
      <c r="H480" t="n">
        <v>1</v>
      </c>
      <c r="I480" t="n">
        <v>0</v>
      </c>
      <c r="J480" t="n">
        <v>1</v>
      </c>
      <c r="K480" t="n">
        <v>0</v>
      </c>
      <c r="L480" t="n">
        <v>0</v>
      </c>
      <c r="M480" t="n">
        <v>0</v>
      </c>
      <c r="N480" t="n">
        <v>0</v>
      </c>
      <c r="O480" t="n">
        <v>1</v>
      </c>
      <c r="P480" t="n">
        <v>0</v>
      </c>
      <c r="Q480" t="n">
        <v>1</v>
      </c>
      <c r="R480" s="2" t="inlineStr">
        <is>
          <t>Spillkråka</t>
        </is>
      </c>
      <c r="S480">
        <f>HYPERLINK("https://klasma.github.io/Logging_1763/artfynd/A 6294-2022 artfynd.xlsx", "A 6294-2022")</f>
        <v/>
      </c>
      <c r="T480">
        <f>HYPERLINK("https://klasma.github.io/Logging_1763/kartor/A 6294-2022 karta.png", "A 6294-2022")</f>
        <v/>
      </c>
      <c r="V480">
        <f>HYPERLINK("https://klasma.github.io/Logging_1763/klagomål/A 6294-2022 FSC-klagomål.docx", "A 6294-2022")</f>
        <v/>
      </c>
      <c r="W480">
        <f>HYPERLINK("https://klasma.github.io/Logging_1763/klagomålsmail/A 6294-2022 FSC-klagomål mail.docx", "A 6294-2022")</f>
        <v/>
      </c>
      <c r="X480">
        <f>HYPERLINK("https://klasma.github.io/Logging_1763/tillsyn/A 6294-2022 tillsynsbegäran.docx", "A 6294-2022")</f>
        <v/>
      </c>
      <c r="Y480">
        <f>HYPERLINK("https://klasma.github.io/Logging_1763/tillsynsmail/A 6294-2022 tillsynsbegäran mail.docx", "A 6294-2022")</f>
        <v/>
      </c>
      <c r="Z480">
        <f>HYPERLINK("https://klasma.github.io/Logging_1763/fåglar/A 6294-2022 prioriterade fågelarter.docx", "A 6294-2022")</f>
        <v/>
      </c>
    </row>
    <row r="481" ht="15" customHeight="1">
      <c r="A481" t="inlineStr">
        <is>
          <t>A 6814-2022</t>
        </is>
      </c>
      <c r="B481" s="1" t="n">
        <v>44602</v>
      </c>
      <c r="C481" s="1" t="n">
        <v>45736</v>
      </c>
      <c r="D481" t="inlineStr">
        <is>
          <t>VÄRMLANDS LÄN</t>
        </is>
      </c>
      <c r="E481" t="inlineStr">
        <is>
          <t>ARVIKA</t>
        </is>
      </c>
      <c r="F481" t="inlineStr">
        <is>
          <t>Bergvik skog väst AB</t>
        </is>
      </c>
      <c r="G481" t="n">
        <v>12.2</v>
      </c>
      <c r="H481" t="n">
        <v>0</v>
      </c>
      <c r="I481" t="n">
        <v>0</v>
      </c>
      <c r="J481" t="n">
        <v>1</v>
      </c>
      <c r="K481" t="n">
        <v>0</v>
      </c>
      <c r="L481" t="n">
        <v>0</v>
      </c>
      <c r="M481" t="n">
        <v>0</v>
      </c>
      <c r="N481" t="n">
        <v>0</v>
      </c>
      <c r="O481" t="n">
        <v>1</v>
      </c>
      <c r="P481" t="n">
        <v>0</v>
      </c>
      <c r="Q481" t="n">
        <v>1</v>
      </c>
      <c r="R481" s="2" t="inlineStr">
        <is>
          <t>Skogsklocka</t>
        </is>
      </c>
      <c r="S481">
        <f>HYPERLINK("https://klasma.github.io/Logging_1784/artfynd/A 6814-2022 artfynd.xlsx", "A 6814-2022")</f>
        <v/>
      </c>
      <c r="T481">
        <f>HYPERLINK("https://klasma.github.io/Logging_1784/kartor/A 6814-2022 karta.png", "A 6814-2022")</f>
        <v/>
      </c>
      <c r="V481">
        <f>HYPERLINK("https://klasma.github.io/Logging_1784/klagomål/A 6814-2022 FSC-klagomål.docx", "A 6814-2022")</f>
        <v/>
      </c>
      <c r="W481">
        <f>HYPERLINK("https://klasma.github.io/Logging_1784/klagomålsmail/A 6814-2022 FSC-klagomål mail.docx", "A 6814-2022")</f>
        <v/>
      </c>
      <c r="X481">
        <f>HYPERLINK("https://klasma.github.io/Logging_1784/tillsyn/A 6814-2022 tillsynsbegäran.docx", "A 6814-2022")</f>
        <v/>
      </c>
      <c r="Y481">
        <f>HYPERLINK("https://klasma.github.io/Logging_1784/tillsynsmail/A 6814-2022 tillsynsbegäran mail.docx", "A 6814-2022")</f>
        <v/>
      </c>
    </row>
    <row r="482" ht="15" customHeight="1">
      <c r="A482" t="inlineStr">
        <is>
          <t>A 6986-2022</t>
        </is>
      </c>
      <c r="B482" s="1" t="n">
        <v>44603</v>
      </c>
      <c r="C482" s="1" t="n">
        <v>45736</v>
      </c>
      <c r="D482" t="inlineStr">
        <is>
          <t>VÄRMLANDS LÄN</t>
        </is>
      </c>
      <c r="E482" t="inlineStr">
        <is>
          <t>HAGFORS</t>
        </is>
      </c>
      <c r="G482" t="n">
        <v>2</v>
      </c>
      <c r="H482" t="n">
        <v>0</v>
      </c>
      <c r="I482" t="n">
        <v>1</v>
      </c>
      <c r="J482" t="n">
        <v>0</v>
      </c>
      <c r="K482" t="n">
        <v>0</v>
      </c>
      <c r="L482" t="n">
        <v>0</v>
      </c>
      <c r="M482" t="n">
        <v>0</v>
      </c>
      <c r="N482" t="n">
        <v>0</v>
      </c>
      <c r="O482" t="n">
        <v>0</v>
      </c>
      <c r="P482" t="n">
        <v>0</v>
      </c>
      <c r="Q482" t="n">
        <v>1</v>
      </c>
      <c r="R482" s="2" t="inlineStr">
        <is>
          <t>Vedticka</t>
        </is>
      </c>
      <c r="S482">
        <f>HYPERLINK("https://klasma.github.io/Logging_1783/artfynd/A 6986-2022 artfynd.xlsx", "A 6986-2022")</f>
        <v/>
      </c>
      <c r="T482">
        <f>HYPERLINK("https://klasma.github.io/Logging_1783/kartor/A 6986-2022 karta.png", "A 6986-2022")</f>
        <v/>
      </c>
      <c r="V482">
        <f>HYPERLINK("https://klasma.github.io/Logging_1783/klagomål/A 6986-2022 FSC-klagomål.docx", "A 6986-2022")</f>
        <v/>
      </c>
      <c r="W482">
        <f>HYPERLINK("https://klasma.github.io/Logging_1783/klagomålsmail/A 6986-2022 FSC-klagomål mail.docx", "A 6986-2022")</f>
        <v/>
      </c>
      <c r="X482">
        <f>HYPERLINK("https://klasma.github.io/Logging_1783/tillsyn/A 6986-2022 tillsynsbegäran.docx", "A 6986-2022")</f>
        <v/>
      </c>
      <c r="Y482">
        <f>HYPERLINK("https://klasma.github.io/Logging_1783/tillsynsmail/A 6986-2022 tillsynsbegäran mail.docx", "A 6986-2022")</f>
        <v/>
      </c>
    </row>
    <row r="483" ht="15" customHeight="1">
      <c r="A483" t="inlineStr">
        <is>
          <t>A 8846-2022</t>
        </is>
      </c>
      <c r="B483" s="1" t="n">
        <v>44614</v>
      </c>
      <c r="C483" s="1" t="n">
        <v>45736</v>
      </c>
      <c r="D483" t="inlineStr">
        <is>
          <t>VÄRMLANDS LÄN</t>
        </is>
      </c>
      <c r="E483" t="inlineStr">
        <is>
          <t>ARVIKA</t>
        </is>
      </c>
      <c r="G483" t="n">
        <v>8.6</v>
      </c>
      <c r="H483" t="n">
        <v>0</v>
      </c>
      <c r="I483" t="n">
        <v>1</v>
      </c>
      <c r="J483" t="n">
        <v>0</v>
      </c>
      <c r="K483" t="n">
        <v>0</v>
      </c>
      <c r="L483" t="n">
        <v>0</v>
      </c>
      <c r="M483" t="n">
        <v>0</v>
      </c>
      <c r="N483" t="n">
        <v>0</v>
      </c>
      <c r="O483" t="n">
        <v>0</v>
      </c>
      <c r="P483" t="n">
        <v>0</v>
      </c>
      <c r="Q483" t="n">
        <v>1</v>
      </c>
      <c r="R483" s="2" t="inlineStr">
        <is>
          <t>Tibast</t>
        </is>
      </c>
      <c r="S483">
        <f>HYPERLINK("https://klasma.github.io/Logging_1784/artfynd/A 8846-2022 artfynd.xlsx", "A 8846-2022")</f>
        <v/>
      </c>
      <c r="T483">
        <f>HYPERLINK("https://klasma.github.io/Logging_1784/kartor/A 8846-2022 karta.png", "A 8846-2022")</f>
        <v/>
      </c>
      <c r="V483">
        <f>HYPERLINK("https://klasma.github.io/Logging_1784/klagomål/A 8846-2022 FSC-klagomål.docx", "A 8846-2022")</f>
        <v/>
      </c>
      <c r="W483">
        <f>HYPERLINK("https://klasma.github.io/Logging_1784/klagomålsmail/A 8846-2022 FSC-klagomål mail.docx", "A 8846-2022")</f>
        <v/>
      </c>
      <c r="X483">
        <f>HYPERLINK("https://klasma.github.io/Logging_1784/tillsyn/A 8846-2022 tillsynsbegäran.docx", "A 8846-2022")</f>
        <v/>
      </c>
      <c r="Y483">
        <f>HYPERLINK("https://klasma.github.io/Logging_1784/tillsynsmail/A 8846-2022 tillsynsbegäran mail.docx", "A 8846-2022")</f>
        <v/>
      </c>
    </row>
    <row r="484" ht="15" customHeight="1">
      <c r="A484" t="inlineStr">
        <is>
          <t>A 11682-2022</t>
        </is>
      </c>
      <c r="B484" s="1" t="n">
        <v>44631</v>
      </c>
      <c r="C484" s="1" t="n">
        <v>45736</v>
      </c>
      <c r="D484" t="inlineStr">
        <is>
          <t>VÄRMLANDS LÄN</t>
        </is>
      </c>
      <c r="E484" t="inlineStr">
        <is>
          <t>ÅRJÄNG</t>
        </is>
      </c>
      <c r="G484" t="n">
        <v>19.9</v>
      </c>
      <c r="H484" t="n">
        <v>0</v>
      </c>
      <c r="I484" t="n">
        <v>0</v>
      </c>
      <c r="J484" t="n">
        <v>1</v>
      </c>
      <c r="K484" t="n">
        <v>0</v>
      </c>
      <c r="L484" t="n">
        <v>0</v>
      </c>
      <c r="M484" t="n">
        <v>0</v>
      </c>
      <c r="N484" t="n">
        <v>0</v>
      </c>
      <c r="O484" t="n">
        <v>1</v>
      </c>
      <c r="P484" t="n">
        <v>0</v>
      </c>
      <c r="Q484" t="n">
        <v>1</v>
      </c>
      <c r="R484" s="2" t="inlineStr">
        <is>
          <t>Skogsklocka</t>
        </is>
      </c>
      <c r="S484">
        <f>HYPERLINK("https://klasma.github.io/Logging_1765/artfynd/A 11682-2022 artfynd.xlsx", "A 11682-2022")</f>
        <v/>
      </c>
      <c r="T484">
        <f>HYPERLINK("https://klasma.github.io/Logging_1765/kartor/A 11682-2022 karta.png", "A 11682-2022")</f>
        <v/>
      </c>
      <c r="V484">
        <f>HYPERLINK("https://klasma.github.io/Logging_1765/klagomål/A 11682-2022 FSC-klagomål.docx", "A 11682-2022")</f>
        <v/>
      </c>
      <c r="W484">
        <f>HYPERLINK("https://klasma.github.io/Logging_1765/klagomålsmail/A 11682-2022 FSC-klagomål mail.docx", "A 11682-2022")</f>
        <v/>
      </c>
      <c r="X484">
        <f>HYPERLINK("https://klasma.github.io/Logging_1765/tillsyn/A 11682-2022 tillsynsbegäran.docx", "A 11682-2022")</f>
        <v/>
      </c>
      <c r="Y484">
        <f>HYPERLINK("https://klasma.github.io/Logging_1765/tillsynsmail/A 11682-2022 tillsynsbegäran mail.docx", "A 11682-2022")</f>
        <v/>
      </c>
    </row>
    <row r="485" ht="15" customHeight="1">
      <c r="A485" t="inlineStr">
        <is>
          <t>A 14002-2022</t>
        </is>
      </c>
      <c r="B485" s="1" t="n">
        <v>44650</v>
      </c>
      <c r="C485" s="1" t="n">
        <v>45736</v>
      </c>
      <c r="D485" t="inlineStr">
        <is>
          <t>VÄRMLANDS LÄN</t>
        </is>
      </c>
      <c r="E485" t="inlineStr">
        <is>
          <t>KARLSTAD</t>
        </is>
      </c>
      <c r="G485" t="n">
        <v>2.3</v>
      </c>
      <c r="H485" t="n">
        <v>1</v>
      </c>
      <c r="I485" t="n">
        <v>0</v>
      </c>
      <c r="J485" t="n">
        <v>0</v>
      </c>
      <c r="K485" t="n">
        <v>1</v>
      </c>
      <c r="L485" t="n">
        <v>0</v>
      </c>
      <c r="M485" t="n">
        <v>0</v>
      </c>
      <c r="N485" t="n">
        <v>0</v>
      </c>
      <c r="O485" t="n">
        <v>1</v>
      </c>
      <c r="P485" t="n">
        <v>1</v>
      </c>
      <c r="Q485" t="n">
        <v>1</v>
      </c>
      <c r="R485" s="2" t="inlineStr">
        <is>
          <t>Knärot</t>
        </is>
      </c>
      <c r="S485">
        <f>HYPERLINK("https://klasma.github.io/Logging_1780/artfynd/A 14002-2022 artfynd.xlsx", "A 14002-2022")</f>
        <v/>
      </c>
      <c r="T485">
        <f>HYPERLINK("https://klasma.github.io/Logging_1780/kartor/A 14002-2022 karta.png", "A 14002-2022")</f>
        <v/>
      </c>
      <c r="U485">
        <f>HYPERLINK("https://klasma.github.io/Logging_1780/knärot/A 14002-2022 karta knärot.png", "A 14002-2022")</f>
        <v/>
      </c>
      <c r="V485">
        <f>HYPERLINK("https://klasma.github.io/Logging_1780/klagomål/A 14002-2022 FSC-klagomål.docx", "A 14002-2022")</f>
        <v/>
      </c>
      <c r="W485">
        <f>HYPERLINK("https://klasma.github.io/Logging_1780/klagomålsmail/A 14002-2022 FSC-klagomål mail.docx", "A 14002-2022")</f>
        <v/>
      </c>
      <c r="X485">
        <f>HYPERLINK("https://klasma.github.io/Logging_1780/tillsyn/A 14002-2022 tillsynsbegäran.docx", "A 14002-2022")</f>
        <v/>
      </c>
      <c r="Y485">
        <f>HYPERLINK("https://klasma.github.io/Logging_1780/tillsynsmail/A 14002-2022 tillsynsbegäran mail.docx", "A 14002-2022")</f>
        <v/>
      </c>
    </row>
    <row r="486" ht="15" customHeight="1">
      <c r="A486" t="inlineStr">
        <is>
          <t>A 14114-2022</t>
        </is>
      </c>
      <c r="B486" s="1" t="n">
        <v>44651</v>
      </c>
      <c r="C486" s="1" t="n">
        <v>45736</v>
      </c>
      <c r="D486" t="inlineStr">
        <is>
          <t>VÄRMLANDS LÄN</t>
        </is>
      </c>
      <c r="E486" t="inlineStr">
        <is>
          <t>FORSHAGA</t>
        </is>
      </c>
      <c r="F486" t="inlineStr">
        <is>
          <t>Bergvik skog väst AB</t>
        </is>
      </c>
      <c r="G486" t="n">
        <v>25.1</v>
      </c>
      <c r="H486" t="n">
        <v>0</v>
      </c>
      <c r="I486" t="n">
        <v>0</v>
      </c>
      <c r="J486" t="n">
        <v>1</v>
      </c>
      <c r="K486" t="n">
        <v>0</v>
      </c>
      <c r="L486" t="n">
        <v>0</v>
      </c>
      <c r="M486" t="n">
        <v>0</v>
      </c>
      <c r="N486" t="n">
        <v>0</v>
      </c>
      <c r="O486" t="n">
        <v>1</v>
      </c>
      <c r="P486" t="n">
        <v>0</v>
      </c>
      <c r="Q486" t="n">
        <v>1</v>
      </c>
      <c r="R486" s="2" t="inlineStr">
        <is>
          <t>Sotnätfjäril</t>
        </is>
      </c>
      <c r="S486">
        <f>HYPERLINK("https://klasma.github.io/Logging_1763/artfynd/A 14114-2022 artfynd.xlsx", "A 14114-2022")</f>
        <v/>
      </c>
      <c r="T486">
        <f>HYPERLINK("https://klasma.github.io/Logging_1763/kartor/A 14114-2022 karta.png", "A 14114-2022")</f>
        <v/>
      </c>
      <c r="V486">
        <f>HYPERLINK("https://klasma.github.io/Logging_1763/klagomål/A 14114-2022 FSC-klagomål.docx", "A 14114-2022")</f>
        <v/>
      </c>
      <c r="W486">
        <f>HYPERLINK("https://klasma.github.io/Logging_1763/klagomålsmail/A 14114-2022 FSC-klagomål mail.docx", "A 14114-2022")</f>
        <v/>
      </c>
      <c r="X486">
        <f>HYPERLINK("https://klasma.github.io/Logging_1763/tillsyn/A 14114-2022 tillsynsbegäran.docx", "A 14114-2022")</f>
        <v/>
      </c>
      <c r="Y486">
        <f>HYPERLINK("https://klasma.github.io/Logging_1763/tillsynsmail/A 14114-2022 tillsynsbegäran mail.docx", "A 14114-2022")</f>
        <v/>
      </c>
    </row>
    <row r="487" ht="15" customHeight="1">
      <c r="A487" t="inlineStr">
        <is>
          <t>A 14594-2022</t>
        </is>
      </c>
      <c r="B487" s="1" t="n">
        <v>44655</v>
      </c>
      <c r="C487" s="1" t="n">
        <v>45736</v>
      </c>
      <c r="D487" t="inlineStr">
        <is>
          <t>VÄRMLANDS LÄN</t>
        </is>
      </c>
      <c r="E487" t="inlineStr">
        <is>
          <t>KARLSTAD</t>
        </is>
      </c>
      <c r="F487" t="inlineStr">
        <is>
          <t>Kommuner</t>
        </is>
      </c>
      <c r="G487" t="n">
        <v>11.2</v>
      </c>
      <c r="H487" t="n">
        <v>1</v>
      </c>
      <c r="I487" t="n">
        <v>0</v>
      </c>
      <c r="J487" t="n">
        <v>1</v>
      </c>
      <c r="K487" t="n">
        <v>0</v>
      </c>
      <c r="L487" t="n">
        <v>0</v>
      </c>
      <c r="M487" t="n">
        <v>0</v>
      </c>
      <c r="N487" t="n">
        <v>0</v>
      </c>
      <c r="O487" t="n">
        <v>1</v>
      </c>
      <c r="P487" t="n">
        <v>0</v>
      </c>
      <c r="Q487" t="n">
        <v>1</v>
      </c>
      <c r="R487" s="2" t="inlineStr">
        <is>
          <t>Mindre hackspett</t>
        </is>
      </c>
      <c r="S487">
        <f>HYPERLINK("https://klasma.github.io/Logging_1780/artfynd/A 14594-2022 artfynd.xlsx", "A 14594-2022")</f>
        <v/>
      </c>
      <c r="T487">
        <f>HYPERLINK("https://klasma.github.io/Logging_1780/kartor/A 14594-2022 karta.png", "A 14594-2022")</f>
        <v/>
      </c>
      <c r="V487">
        <f>HYPERLINK("https://klasma.github.io/Logging_1780/klagomål/A 14594-2022 FSC-klagomål.docx", "A 14594-2022")</f>
        <v/>
      </c>
      <c r="W487">
        <f>HYPERLINK("https://klasma.github.io/Logging_1780/klagomålsmail/A 14594-2022 FSC-klagomål mail.docx", "A 14594-2022")</f>
        <v/>
      </c>
      <c r="X487">
        <f>HYPERLINK("https://klasma.github.io/Logging_1780/tillsyn/A 14594-2022 tillsynsbegäran.docx", "A 14594-2022")</f>
        <v/>
      </c>
      <c r="Y487">
        <f>HYPERLINK("https://klasma.github.io/Logging_1780/tillsynsmail/A 14594-2022 tillsynsbegäran mail.docx", "A 14594-2022")</f>
        <v/>
      </c>
      <c r="Z487">
        <f>HYPERLINK("https://klasma.github.io/Logging_1780/fåglar/A 14594-2022 prioriterade fågelarter.docx", "A 14594-2022")</f>
        <v/>
      </c>
    </row>
    <row r="488" ht="15" customHeight="1">
      <c r="A488" t="inlineStr">
        <is>
          <t>A 16572-2022</t>
        </is>
      </c>
      <c r="B488" s="1" t="n">
        <v>44672</v>
      </c>
      <c r="C488" s="1" t="n">
        <v>45736</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17504-2022</t>
        </is>
      </c>
      <c r="B489" s="1" t="n">
        <v>44679</v>
      </c>
      <c r="C489" s="1" t="n">
        <v>45736</v>
      </c>
      <c r="D489" t="inlineStr">
        <is>
          <t>VÄRMLANDS LÄN</t>
        </is>
      </c>
      <c r="E489" t="inlineStr">
        <is>
          <t>HAGFORS</t>
        </is>
      </c>
      <c r="F489" t="inlineStr">
        <is>
          <t>Bergvik skog väst AB</t>
        </is>
      </c>
      <c r="G489" t="n">
        <v>4.4</v>
      </c>
      <c r="H489" t="n">
        <v>1</v>
      </c>
      <c r="I489" t="n">
        <v>0</v>
      </c>
      <c r="J489" t="n">
        <v>0</v>
      </c>
      <c r="K489" t="n">
        <v>0</v>
      </c>
      <c r="L489" t="n">
        <v>0</v>
      </c>
      <c r="M489" t="n">
        <v>0</v>
      </c>
      <c r="N489" t="n">
        <v>0</v>
      </c>
      <c r="O489" t="n">
        <v>0</v>
      </c>
      <c r="P489" t="n">
        <v>0</v>
      </c>
      <c r="Q489" t="n">
        <v>1</v>
      </c>
      <c r="R489" s="2" t="inlineStr">
        <is>
          <t>Trädlärka</t>
        </is>
      </c>
      <c r="S489">
        <f>HYPERLINK("https://klasma.github.io/Logging_1783/artfynd/A 17504-2022 artfynd.xlsx", "A 17504-2022")</f>
        <v/>
      </c>
      <c r="T489">
        <f>HYPERLINK("https://klasma.github.io/Logging_1783/kartor/A 17504-2022 karta.png", "A 17504-2022")</f>
        <v/>
      </c>
      <c r="V489">
        <f>HYPERLINK("https://klasma.github.io/Logging_1783/klagomål/A 17504-2022 FSC-klagomål.docx", "A 17504-2022")</f>
        <v/>
      </c>
      <c r="W489">
        <f>HYPERLINK("https://klasma.github.io/Logging_1783/klagomålsmail/A 17504-2022 FSC-klagomål mail.docx", "A 17504-2022")</f>
        <v/>
      </c>
      <c r="X489">
        <f>HYPERLINK("https://klasma.github.io/Logging_1783/tillsyn/A 17504-2022 tillsynsbegäran.docx", "A 17504-2022")</f>
        <v/>
      </c>
      <c r="Y489">
        <f>HYPERLINK("https://klasma.github.io/Logging_1783/tillsynsmail/A 17504-2022 tillsynsbegäran mail.docx", "A 17504-2022")</f>
        <v/>
      </c>
      <c r="Z489">
        <f>HYPERLINK("https://klasma.github.io/Logging_1783/fåglar/A 17504-2022 prioriterade fågelarter.docx", "A 17504-2022")</f>
        <v/>
      </c>
    </row>
    <row r="490" ht="15" customHeight="1">
      <c r="A490" t="inlineStr">
        <is>
          <t>A 19831-2022</t>
        </is>
      </c>
      <c r="B490" s="1" t="n">
        <v>44695</v>
      </c>
      <c r="C490" s="1" t="n">
        <v>45736</v>
      </c>
      <c r="D490" t="inlineStr">
        <is>
          <t>VÄRMLANDS LÄN</t>
        </is>
      </c>
      <c r="E490" t="inlineStr">
        <is>
          <t>SUNNE</t>
        </is>
      </c>
      <c r="G490" t="n">
        <v>0.7</v>
      </c>
      <c r="H490" t="n">
        <v>0</v>
      </c>
      <c r="I490" t="n">
        <v>1</v>
      </c>
      <c r="J490" t="n">
        <v>0</v>
      </c>
      <c r="K490" t="n">
        <v>0</v>
      </c>
      <c r="L490" t="n">
        <v>0</v>
      </c>
      <c r="M490" t="n">
        <v>0</v>
      </c>
      <c r="N490" t="n">
        <v>0</v>
      </c>
      <c r="O490" t="n">
        <v>0</v>
      </c>
      <c r="P490" t="n">
        <v>0</v>
      </c>
      <c r="Q490" t="n">
        <v>1</v>
      </c>
      <c r="R490" s="2" t="inlineStr">
        <is>
          <t>Vågbandad barkbock</t>
        </is>
      </c>
      <c r="S490">
        <f>HYPERLINK("https://klasma.github.io/Logging_1766/artfynd/A 19831-2022 artfynd.xlsx", "A 19831-2022")</f>
        <v/>
      </c>
      <c r="T490">
        <f>HYPERLINK("https://klasma.github.io/Logging_1766/kartor/A 19831-2022 karta.png", "A 19831-2022")</f>
        <v/>
      </c>
      <c r="V490">
        <f>HYPERLINK("https://klasma.github.io/Logging_1766/klagomål/A 19831-2022 FSC-klagomål.docx", "A 19831-2022")</f>
        <v/>
      </c>
      <c r="W490">
        <f>HYPERLINK("https://klasma.github.io/Logging_1766/klagomålsmail/A 19831-2022 FSC-klagomål mail.docx", "A 19831-2022")</f>
        <v/>
      </c>
      <c r="X490">
        <f>HYPERLINK("https://klasma.github.io/Logging_1766/tillsyn/A 19831-2022 tillsynsbegäran.docx", "A 19831-2022")</f>
        <v/>
      </c>
      <c r="Y490">
        <f>HYPERLINK("https://klasma.github.io/Logging_1766/tillsynsmail/A 19831-2022 tillsynsbegäran mail.docx", "A 19831-2022")</f>
        <v/>
      </c>
    </row>
    <row r="491" ht="15" customHeight="1">
      <c r="A491" t="inlineStr">
        <is>
          <t>A 20754-2022</t>
        </is>
      </c>
      <c r="B491" s="1" t="n">
        <v>44701</v>
      </c>
      <c r="C491" s="1" t="n">
        <v>45736</v>
      </c>
      <c r="D491" t="inlineStr">
        <is>
          <t>VÄRMLANDS LÄN</t>
        </is>
      </c>
      <c r="E491" t="inlineStr">
        <is>
          <t>FILIPSTAD</t>
        </is>
      </c>
      <c r="F491" t="inlineStr">
        <is>
          <t>Bergvik skog väst AB</t>
        </is>
      </c>
      <c r="G491" t="n">
        <v>13.6</v>
      </c>
      <c r="H491" t="n">
        <v>1</v>
      </c>
      <c r="I491" t="n">
        <v>0</v>
      </c>
      <c r="J491" t="n">
        <v>0</v>
      </c>
      <c r="K491" t="n">
        <v>0</v>
      </c>
      <c r="L491" t="n">
        <v>0</v>
      </c>
      <c r="M491" t="n">
        <v>0</v>
      </c>
      <c r="N491" t="n">
        <v>0</v>
      </c>
      <c r="O491" t="n">
        <v>0</v>
      </c>
      <c r="P491" t="n">
        <v>0</v>
      </c>
      <c r="Q491" t="n">
        <v>1</v>
      </c>
      <c r="R491" s="2" t="inlineStr">
        <is>
          <t>Mattlummer</t>
        </is>
      </c>
      <c r="S491">
        <f>HYPERLINK("https://klasma.github.io/Logging_1782/artfynd/A 20754-2022 artfynd.xlsx", "A 20754-2022")</f>
        <v/>
      </c>
      <c r="T491">
        <f>HYPERLINK("https://klasma.github.io/Logging_1782/kartor/A 20754-2022 karta.png", "A 20754-2022")</f>
        <v/>
      </c>
      <c r="V491">
        <f>HYPERLINK("https://klasma.github.io/Logging_1782/klagomål/A 20754-2022 FSC-klagomål.docx", "A 20754-2022")</f>
        <v/>
      </c>
      <c r="W491">
        <f>HYPERLINK("https://klasma.github.io/Logging_1782/klagomålsmail/A 20754-2022 FSC-klagomål mail.docx", "A 20754-2022")</f>
        <v/>
      </c>
      <c r="X491">
        <f>HYPERLINK("https://klasma.github.io/Logging_1782/tillsyn/A 20754-2022 tillsynsbegäran.docx", "A 20754-2022")</f>
        <v/>
      </c>
      <c r="Y491">
        <f>HYPERLINK("https://klasma.github.io/Logging_1782/tillsynsmail/A 20754-2022 tillsynsbegäran mail.docx", "A 20754-2022")</f>
        <v/>
      </c>
    </row>
    <row r="492" ht="15" customHeight="1">
      <c r="A492" t="inlineStr">
        <is>
          <t>A 23486-2022</t>
        </is>
      </c>
      <c r="B492" s="1" t="n">
        <v>44721</v>
      </c>
      <c r="C492" s="1" t="n">
        <v>45736</v>
      </c>
      <c r="D492" t="inlineStr">
        <is>
          <t>VÄRMLANDS LÄN</t>
        </is>
      </c>
      <c r="E492" t="inlineStr">
        <is>
          <t>TORSBY</t>
        </is>
      </c>
      <c r="G492" t="n">
        <v>1</v>
      </c>
      <c r="H492" t="n">
        <v>0</v>
      </c>
      <c r="I492" t="n">
        <v>0</v>
      </c>
      <c r="J492" t="n">
        <v>1</v>
      </c>
      <c r="K492" t="n">
        <v>0</v>
      </c>
      <c r="L492" t="n">
        <v>0</v>
      </c>
      <c r="M492" t="n">
        <v>0</v>
      </c>
      <c r="N492" t="n">
        <v>0</v>
      </c>
      <c r="O492" t="n">
        <v>1</v>
      </c>
      <c r="P492" t="n">
        <v>0</v>
      </c>
      <c r="Q492" t="n">
        <v>1</v>
      </c>
      <c r="R492" s="2" t="inlineStr">
        <is>
          <t>Tallriska</t>
        </is>
      </c>
      <c r="S492">
        <f>HYPERLINK("https://klasma.github.io/Logging_1737/artfynd/A 23486-2022 artfynd.xlsx", "A 23486-2022")</f>
        <v/>
      </c>
      <c r="T492">
        <f>HYPERLINK("https://klasma.github.io/Logging_1737/kartor/A 23486-2022 karta.png", "A 23486-2022")</f>
        <v/>
      </c>
      <c r="V492">
        <f>HYPERLINK("https://klasma.github.io/Logging_1737/klagomål/A 23486-2022 FSC-klagomål.docx", "A 23486-2022")</f>
        <v/>
      </c>
      <c r="W492">
        <f>HYPERLINK("https://klasma.github.io/Logging_1737/klagomålsmail/A 23486-2022 FSC-klagomål mail.docx", "A 23486-2022")</f>
        <v/>
      </c>
      <c r="X492">
        <f>HYPERLINK("https://klasma.github.io/Logging_1737/tillsyn/A 23486-2022 tillsynsbegäran.docx", "A 23486-2022")</f>
        <v/>
      </c>
      <c r="Y492">
        <f>HYPERLINK("https://klasma.github.io/Logging_1737/tillsynsmail/A 23486-2022 tillsynsbegäran mail.docx", "A 23486-2022")</f>
        <v/>
      </c>
    </row>
    <row r="493" ht="15" customHeight="1">
      <c r="A493" t="inlineStr">
        <is>
          <t>A 24618-2022</t>
        </is>
      </c>
      <c r="B493" s="1" t="n">
        <v>44727</v>
      </c>
      <c r="C493" s="1" t="n">
        <v>45736</v>
      </c>
      <c r="D493" t="inlineStr">
        <is>
          <t>VÄRMLANDS LÄN</t>
        </is>
      </c>
      <c r="E493" t="inlineStr">
        <is>
          <t>HAMMARÖ</t>
        </is>
      </c>
      <c r="F493" t="inlineStr">
        <is>
          <t>Kommuner</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HYPERLINK("https://klasma.github.io/Logging_1761/artfynd/A 24618-2022 artfynd.xlsx", "A 24618-2022")</f>
        <v/>
      </c>
      <c r="T493">
        <f>HYPERLINK("https://klasma.github.io/Logging_1761/kartor/A 24618-2022 karta.png", "A 24618-2022")</f>
        <v/>
      </c>
      <c r="U493">
        <f>HYPERLINK("https://klasma.github.io/Logging_1761/knärot/A 24618-2022 karta knärot.png", "A 24618-2022")</f>
        <v/>
      </c>
      <c r="V493">
        <f>HYPERLINK("https://klasma.github.io/Logging_1761/klagomål/A 24618-2022 FSC-klagomål.docx", "A 24618-2022")</f>
        <v/>
      </c>
      <c r="W493">
        <f>HYPERLINK("https://klasma.github.io/Logging_1761/klagomålsmail/A 24618-2022 FSC-klagomål mail.docx", "A 24618-2022")</f>
        <v/>
      </c>
      <c r="X493">
        <f>HYPERLINK("https://klasma.github.io/Logging_1761/tillsyn/A 24618-2022 tillsynsbegäran.docx", "A 24618-2022")</f>
        <v/>
      </c>
      <c r="Y493">
        <f>HYPERLINK("https://klasma.github.io/Logging_1761/tillsynsmail/A 24618-2022 tillsynsbegäran mail.docx", "A 24618-2022")</f>
        <v/>
      </c>
    </row>
    <row r="494" ht="15" customHeight="1">
      <c r="A494" t="inlineStr">
        <is>
          <t>A 24756-2022</t>
        </is>
      </c>
      <c r="B494" s="1" t="n">
        <v>44728</v>
      </c>
      <c r="C494" s="1" t="n">
        <v>45736</v>
      </c>
      <c r="D494" t="inlineStr">
        <is>
          <t>VÄRMLANDS LÄN</t>
        </is>
      </c>
      <c r="E494" t="inlineStr">
        <is>
          <t>ARVIKA</t>
        </is>
      </c>
      <c r="F494" t="inlineStr">
        <is>
          <t>Bergvik skog väst AB</t>
        </is>
      </c>
      <c r="G494" t="n">
        <v>18.2</v>
      </c>
      <c r="H494" t="n">
        <v>1</v>
      </c>
      <c r="I494" t="n">
        <v>0</v>
      </c>
      <c r="J494" t="n">
        <v>1</v>
      </c>
      <c r="K494" t="n">
        <v>0</v>
      </c>
      <c r="L494" t="n">
        <v>0</v>
      </c>
      <c r="M494" t="n">
        <v>0</v>
      </c>
      <c r="N494" t="n">
        <v>0</v>
      </c>
      <c r="O494" t="n">
        <v>1</v>
      </c>
      <c r="P494" t="n">
        <v>0</v>
      </c>
      <c r="Q494" t="n">
        <v>1</v>
      </c>
      <c r="R494" s="2" t="inlineStr">
        <is>
          <t>Havsörn</t>
        </is>
      </c>
      <c r="S494">
        <f>HYPERLINK("https://klasma.github.io/Logging_1784/artfynd/A 24756-2022 artfynd.xlsx", "A 24756-2022")</f>
        <v/>
      </c>
      <c r="T494">
        <f>HYPERLINK("https://klasma.github.io/Logging_1784/kartor/A 24756-2022 karta.png", "A 24756-2022")</f>
        <v/>
      </c>
      <c r="V494">
        <f>HYPERLINK("https://klasma.github.io/Logging_1784/klagomål/A 24756-2022 FSC-klagomål.docx", "A 24756-2022")</f>
        <v/>
      </c>
      <c r="W494">
        <f>HYPERLINK("https://klasma.github.io/Logging_1784/klagomålsmail/A 24756-2022 FSC-klagomål mail.docx", "A 24756-2022")</f>
        <v/>
      </c>
      <c r="X494">
        <f>HYPERLINK("https://klasma.github.io/Logging_1784/tillsyn/A 24756-2022 tillsynsbegäran.docx", "A 24756-2022")</f>
        <v/>
      </c>
      <c r="Y494">
        <f>HYPERLINK("https://klasma.github.io/Logging_1784/tillsynsmail/A 24756-2022 tillsynsbegäran mail.docx", "A 24756-2022")</f>
        <v/>
      </c>
      <c r="Z494">
        <f>HYPERLINK("https://klasma.github.io/Logging_1784/fåglar/A 24756-2022 prioriterade fågelarter.docx", "A 24756-2022")</f>
        <v/>
      </c>
    </row>
    <row r="495" ht="15" customHeight="1">
      <c r="A495" t="inlineStr">
        <is>
          <t>A 25999-2022</t>
        </is>
      </c>
      <c r="B495" s="1" t="n">
        <v>44734</v>
      </c>
      <c r="C495" s="1" t="n">
        <v>45736</v>
      </c>
      <c r="D495" t="inlineStr">
        <is>
          <t>VÄRMLANDS LÄN</t>
        </is>
      </c>
      <c r="E495" t="inlineStr">
        <is>
          <t>TORSBY</t>
        </is>
      </c>
      <c r="G495" t="n">
        <v>0.6</v>
      </c>
      <c r="H495" t="n">
        <v>0</v>
      </c>
      <c r="I495" t="n">
        <v>1</v>
      </c>
      <c r="J495" t="n">
        <v>0</v>
      </c>
      <c r="K495" t="n">
        <v>0</v>
      </c>
      <c r="L495" t="n">
        <v>0</v>
      </c>
      <c r="M495" t="n">
        <v>0</v>
      </c>
      <c r="N495" t="n">
        <v>0</v>
      </c>
      <c r="O495" t="n">
        <v>0</v>
      </c>
      <c r="P495" t="n">
        <v>0</v>
      </c>
      <c r="Q495" t="n">
        <v>1</v>
      </c>
      <c r="R495" s="2" t="inlineStr">
        <is>
          <t>Korallblylav</t>
        </is>
      </c>
      <c r="S495">
        <f>HYPERLINK("https://klasma.github.io/Logging_1737/artfynd/A 25999-2022 artfynd.xlsx", "A 25999-2022")</f>
        <v/>
      </c>
      <c r="T495">
        <f>HYPERLINK("https://klasma.github.io/Logging_1737/kartor/A 25999-2022 karta.png", "A 25999-2022")</f>
        <v/>
      </c>
      <c r="V495">
        <f>HYPERLINK("https://klasma.github.io/Logging_1737/klagomål/A 25999-2022 FSC-klagomål.docx", "A 25999-2022")</f>
        <v/>
      </c>
      <c r="W495">
        <f>HYPERLINK("https://klasma.github.io/Logging_1737/klagomålsmail/A 25999-2022 FSC-klagomål mail.docx", "A 25999-2022")</f>
        <v/>
      </c>
      <c r="X495">
        <f>HYPERLINK("https://klasma.github.io/Logging_1737/tillsyn/A 25999-2022 tillsynsbegäran.docx", "A 25999-2022")</f>
        <v/>
      </c>
      <c r="Y495">
        <f>HYPERLINK("https://klasma.github.io/Logging_1737/tillsynsmail/A 25999-2022 tillsynsbegäran mail.docx", "A 25999-2022")</f>
        <v/>
      </c>
    </row>
    <row r="496" ht="15" customHeight="1">
      <c r="A496" t="inlineStr">
        <is>
          <t>A 26233-2022</t>
        </is>
      </c>
      <c r="B496" s="1" t="n">
        <v>44735</v>
      </c>
      <c r="C496" s="1" t="n">
        <v>45736</v>
      </c>
      <c r="D496" t="inlineStr">
        <is>
          <t>VÄRMLANDS LÄN</t>
        </is>
      </c>
      <c r="E496" t="inlineStr">
        <is>
          <t>FORSHAGA</t>
        </is>
      </c>
      <c r="F496" t="inlineStr">
        <is>
          <t>Bergvik skog väst AB</t>
        </is>
      </c>
      <c r="G496" t="n">
        <v>9.6</v>
      </c>
      <c r="H496" t="n">
        <v>1</v>
      </c>
      <c r="I496" t="n">
        <v>0</v>
      </c>
      <c r="J496" t="n">
        <v>0</v>
      </c>
      <c r="K496" t="n">
        <v>0</v>
      </c>
      <c r="L496" t="n">
        <v>0</v>
      </c>
      <c r="M496" t="n">
        <v>0</v>
      </c>
      <c r="N496" t="n">
        <v>0</v>
      </c>
      <c r="O496" t="n">
        <v>0</v>
      </c>
      <c r="P496" t="n">
        <v>0</v>
      </c>
      <c r="Q496" t="n">
        <v>1</v>
      </c>
      <c r="R496" s="2" t="inlineStr">
        <is>
          <t>Buskmus</t>
        </is>
      </c>
      <c r="S496">
        <f>HYPERLINK("https://klasma.github.io/Logging_1763/artfynd/A 26233-2022 artfynd.xlsx", "A 26233-2022")</f>
        <v/>
      </c>
      <c r="T496">
        <f>HYPERLINK("https://klasma.github.io/Logging_1763/kartor/A 26233-2022 karta.png", "A 26233-2022")</f>
        <v/>
      </c>
      <c r="V496">
        <f>HYPERLINK("https://klasma.github.io/Logging_1763/klagomål/A 26233-2022 FSC-klagomål.docx", "A 26233-2022")</f>
        <v/>
      </c>
      <c r="W496">
        <f>HYPERLINK("https://klasma.github.io/Logging_1763/klagomålsmail/A 26233-2022 FSC-klagomål mail.docx", "A 26233-2022")</f>
        <v/>
      </c>
      <c r="X496">
        <f>HYPERLINK("https://klasma.github.io/Logging_1763/tillsyn/A 26233-2022 tillsynsbegäran.docx", "A 26233-2022")</f>
        <v/>
      </c>
      <c r="Y496">
        <f>HYPERLINK("https://klasma.github.io/Logging_1763/tillsynsmail/A 26233-2022 tillsynsbegäran mail.docx", "A 26233-2022")</f>
        <v/>
      </c>
    </row>
    <row r="497" ht="15" customHeight="1">
      <c r="A497" t="inlineStr">
        <is>
          <t>A 27105-2022</t>
        </is>
      </c>
      <c r="B497" s="1" t="n">
        <v>44741</v>
      </c>
      <c r="C497" s="1" t="n">
        <v>45736</v>
      </c>
      <c r="D497" t="inlineStr">
        <is>
          <t>VÄRMLANDS LÄN</t>
        </is>
      </c>
      <c r="E497" t="inlineStr">
        <is>
          <t>FILIPSTAD</t>
        </is>
      </c>
      <c r="F497" t="inlineStr">
        <is>
          <t>Bergvik skog väst AB</t>
        </is>
      </c>
      <c r="G497" t="n">
        <v>7</v>
      </c>
      <c r="H497" t="n">
        <v>1</v>
      </c>
      <c r="I497" t="n">
        <v>0</v>
      </c>
      <c r="J497" t="n">
        <v>0</v>
      </c>
      <c r="K497" t="n">
        <v>0</v>
      </c>
      <c r="L497" t="n">
        <v>0</v>
      </c>
      <c r="M497" t="n">
        <v>0</v>
      </c>
      <c r="N497" t="n">
        <v>0</v>
      </c>
      <c r="O497" t="n">
        <v>0</v>
      </c>
      <c r="P497" t="n">
        <v>0</v>
      </c>
      <c r="Q497" t="n">
        <v>1</v>
      </c>
      <c r="R497" s="2" t="inlineStr">
        <is>
          <t>Mattlummer</t>
        </is>
      </c>
      <c r="S497">
        <f>HYPERLINK("https://klasma.github.io/Logging_1782/artfynd/A 27105-2022 artfynd.xlsx", "A 27105-2022")</f>
        <v/>
      </c>
      <c r="T497">
        <f>HYPERLINK("https://klasma.github.io/Logging_1782/kartor/A 27105-2022 karta.png", "A 27105-2022")</f>
        <v/>
      </c>
      <c r="V497">
        <f>HYPERLINK("https://klasma.github.io/Logging_1782/klagomål/A 27105-2022 FSC-klagomål.docx", "A 27105-2022")</f>
        <v/>
      </c>
      <c r="W497">
        <f>HYPERLINK("https://klasma.github.io/Logging_1782/klagomålsmail/A 27105-2022 FSC-klagomål mail.docx", "A 27105-2022")</f>
        <v/>
      </c>
      <c r="X497">
        <f>HYPERLINK("https://klasma.github.io/Logging_1782/tillsyn/A 27105-2022 tillsynsbegäran.docx", "A 27105-2022")</f>
        <v/>
      </c>
      <c r="Y497">
        <f>HYPERLINK("https://klasma.github.io/Logging_1782/tillsynsmail/A 27105-2022 tillsynsbegäran mail.docx", "A 27105-2022")</f>
        <v/>
      </c>
    </row>
    <row r="498" ht="15" customHeight="1">
      <c r="A498" t="inlineStr">
        <is>
          <t>A 29742-2022</t>
        </is>
      </c>
      <c r="B498" s="1" t="n">
        <v>44755</v>
      </c>
      <c r="C498" s="1" t="n">
        <v>45736</v>
      </c>
      <c r="D498" t="inlineStr">
        <is>
          <t>VÄRMLANDS LÄN</t>
        </is>
      </c>
      <c r="E498" t="inlineStr">
        <is>
          <t>SÄFFLE</t>
        </is>
      </c>
      <c r="F498" t="inlineStr">
        <is>
          <t>Bergvik skog väst AB</t>
        </is>
      </c>
      <c r="G498" t="n">
        <v>7.9</v>
      </c>
      <c r="H498" t="n">
        <v>0</v>
      </c>
      <c r="I498" t="n">
        <v>1</v>
      </c>
      <c r="J498" t="n">
        <v>0</v>
      </c>
      <c r="K498" t="n">
        <v>0</v>
      </c>
      <c r="L498" t="n">
        <v>0</v>
      </c>
      <c r="M498" t="n">
        <v>0</v>
      </c>
      <c r="N498" t="n">
        <v>0</v>
      </c>
      <c r="O498" t="n">
        <v>0</v>
      </c>
      <c r="P498" t="n">
        <v>0</v>
      </c>
      <c r="Q498" t="n">
        <v>1</v>
      </c>
      <c r="R498" s="2" t="inlineStr">
        <is>
          <t>Vätteros</t>
        </is>
      </c>
      <c r="S498">
        <f>HYPERLINK("https://klasma.github.io/Logging_1785/artfynd/A 29742-2022 artfynd.xlsx", "A 29742-2022")</f>
        <v/>
      </c>
      <c r="T498">
        <f>HYPERLINK("https://klasma.github.io/Logging_1785/kartor/A 29742-2022 karta.png", "A 29742-2022")</f>
        <v/>
      </c>
      <c r="V498">
        <f>HYPERLINK("https://klasma.github.io/Logging_1785/klagomål/A 29742-2022 FSC-klagomål.docx", "A 29742-2022")</f>
        <v/>
      </c>
      <c r="W498">
        <f>HYPERLINK("https://klasma.github.io/Logging_1785/klagomålsmail/A 29742-2022 FSC-klagomål mail.docx", "A 29742-2022")</f>
        <v/>
      </c>
      <c r="X498">
        <f>HYPERLINK("https://klasma.github.io/Logging_1785/tillsyn/A 29742-2022 tillsynsbegäran.docx", "A 29742-2022")</f>
        <v/>
      </c>
      <c r="Y498">
        <f>HYPERLINK("https://klasma.github.io/Logging_1785/tillsynsmail/A 29742-2022 tillsynsbegäran mail.docx", "A 29742-2022")</f>
        <v/>
      </c>
    </row>
    <row r="499" ht="15" customHeight="1">
      <c r="A499" t="inlineStr">
        <is>
          <t>A 30596-2022</t>
        </is>
      </c>
      <c r="B499" s="1" t="n">
        <v>44762</v>
      </c>
      <c r="C499" s="1" t="n">
        <v>45736</v>
      </c>
      <c r="D499" t="inlineStr">
        <is>
          <t>VÄRMLANDS LÄN</t>
        </is>
      </c>
      <c r="E499" t="inlineStr">
        <is>
          <t>SÄFFLE</t>
        </is>
      </c>
      <c r="G499" t="n">
        <v>2.1</v>
      </c>
      <c r="H499" t="n">
        <v>0</v>
      </c>
      <c r="I499" t="n">
        <v>0</v>
      </c>
      <c r="J499" t="n">
        <v>1</v>
      </c>
      <c r="K499" t="n">
        <v>0</v>
      </c>
      <c r="L499" t="n">
        <v>0</v>
      </c>
      <c r="M499" t="n">
        <v>0</v>
      </c>
      <c r="N499" t="n">
        <v>0</v>
      </c>
      <c r="O499" t="n">
        <v>1</v>
      </c>
      <c r="P499" t="n">
        <v>0</v>
      </c>
      <c r="Q499" t="n">
        <v>1</v>
      </c>
      <c r="R499" s="2" t="inlineStr">
        <is>
          <t>Skogsklocka</t>
        </is>
      </c>
      <c r="S499">
        <f>HYPERLINK("https://klasma.github.io/Logging_1785/artfynd/A 30596-2022 artfynd.xlsx", "A 30596-2022")</f>
        <v/>
      </c>
      <c r="T499">
        <f>HYPERLINK("https://klasma.github.io/Logging_1785/kartor/A 30596-2022 karta.png", "A 30596-2022")</f>
        <v/>
      </c>
      <c r="V499">
        <f>HYPERLINK("https://klasma.github.io/Logging_1785/klagomål/A 30596-2022 FSC-klagomål.docx", "A 30596-2022")</f>
        <v/>
      </c>
      <c r="W499">
        <f>HYPERLINK("https://klasma.github.io/Logging_1785/klagomålsmail/A 30596-2022 FSC-klagomål mail.docx", "A 30596-2022")</f>
        <v/>
      </c>
      <c r="X499">
        <f>HYPERLINK("https://klasma.github.io/Logging_1785/tillsyn/A 30596-2022 tillsynsbegäran.docx", "A 30596-2022")</f>
        <v/>
      </c>
      <c r="Y499">
        <f>HYPERLINK("https://klasma.github.io/Logging_1785/tillsynsmail/A 30596-2022 tillsynsbegäran mail.docx", "A 30596-2022")</f>
        <v/>
      </c>
    </row>
    <row r="500" ht="15" customHeight="1">
      <c r="A500" t="inlineStr">
        <is>
          <t>A 34357-2022</t>
        </is>
      </c>
      <c r="B500" s="1" t="n">
        <v>44792</v>
      </c>
      <c r="C500" s="1" t="n">
        <v>45736</v>
      </c>
      <c r="D500" t="inlineStr">
        <is>
          <t>VÄRMLANDS LÄN</t>
        </is>
      </c>
      <c r="E500" t="inlineStr">
        <is>
          <t>GRUMS</t>
        </is>
      </c>
      <c r="G500" t="n">
        <v>15.3</v>
      </c>
      <c r="H500" t="n">
        <v>0</v>
      </c>
      <c r="I500" t="n">
        <v>0</v>
      </c>
      <c r="J500" t="n">
        <v>1</v>
      </c>
      <c r="K500" t="n">
        <v>0</v>
      </c>
      <c r="L500" t="n">
        <v>0</v>
      </c>
      <c r="M500" t="n">
        <v>0</v>
      </c>
      <c r="N500" t="n">
        <v>0</v>
      </c>
      <c r="O500" t="n">
        <v>1</v>
      </c>
      <c r="P500" t="n">
        <v>0</v>
      </c>
      <c r="Q500" t="n">
        <v>1</v>
      </c>
      <c r="R500" s="2" t="inlineStr">
        <is>
          <t>Skogsklocka</t>
        </is>
      </c>
      <c r="S500">
        <f>HYPERLINK("https://klasma.github.io/Logging_1764/artfynd/A 34357-2022 artfynd.xlsx", "A 34357-2022")</f>
        <v/>
      </c>
      <c r="T500">
        <f>HYPERLINK("https://klasma.github.io/Logging_1764/kartor/A 34357-2022 karta.png", "A 34357-2022")</f>
        <v/>
      </c>
      <c r="V500">
        <f>HYPERLINK("https://klasma.github.io/Logging_1764/klagomål/A 34357-2022 FSC-klagomål.docx", "A 34357-2022")</f>
        <v/>
      </c>
      <c r="W500">
        <f>HYPERLINK("https://klasma.github.io/Logging_1764/klagomålsmail/A 34357-2022 FSC-klagomål mail.docx", "A 34357-2022")</f>
        <v/>
      </c>
      <c r="X500">
        <f>HYPERLINK("https://klasma.github.io/Logging_1764/tillsyn/A 34357-2022 tillsynsbegäran.docx", "A 34357-2022")</f>
        <v/>
      </c>
      <c r="Y500">
        <f>HYPERLINK("https://klasma.github.io/Logging_1764/tillsynsmail/A 34357-2022 tillsynsbegäran mail.docx", "A 34357-2022")</f>
        <v/>
      </c>
    </row>
    <row r="501" ht="15" customHeight="1">
      <c r="A501" t="inlineStr">
        <is>
          <t>A 35709-2022</t>
        </is>
      </c>
      <c r="B501" s="1" t="n">
        <v>44799</v>
      </c>
      <c r="C501" s="1" t="n">
        <v>45736</v>
      </c>
      <c r="D501" t="inlineStr">
        <is>
          <t>VÄRMLANDS LÄN</t>
        </is>
      </c>
      <c r="E501" t="inlineStr">
        <is>
          <t>TORSBY</t>
        </is>
      </c>
      <c r="G501" t="n">
        <v>4.4</v>
      </c>
      <c r="H501" t="n">
        <v>0</v>
      </c>
      <c r="I501" t="n">
        <v>1</v>
      </c>
      <c r="J501" t="n">
        <v>0</v>
      </c>
      <c r="K501" t="n">
        <v>0</v>
      </c>
      <c r="L501" t="n">
        <v>0</v>
      </c>
      <c r="M501" t="n">
        <v>0</v>
      </c>
      <c r="N501" t="n">
        <v>0</v>
      </c>
      <c r="O501" t="n">
        <v>0</v>
      </c>
      <c r="P501" t="n">
        <v>0</v>
      </c>
      <c r="Q501" t="n">
        <v>1</v>
      </c>
      <c r="R501" s="2" t="inlineStr">
        <is>
          <t>Dropptaggsvamp</t>
        </is>
      </c>
      <c r="S501">
        <f>HYPERLINK("https://klasma.github.io/Logging_1737/artfynd/A 35709-2022 artfynd.xlsx", "A 35709-2022")</f>
        <v/>
      </c>
      <c r="T501">
        <f>HYPERLINK("https://klasma.github.io/Logging_1737/kartor/A 35709-2022 karta.png", "A 35709-2022")</f>
        <v/>
      </c>
      <c r="V501">
        <f>HYPERLINK("https://klasma.github.io/Logging_1737/klagomål/A 35709-2022 FSC-klagomål.docx", "A 35709-2022")</f>
        <v/>
      </c>
      <c r="W501">
        <f>HYPERLINK("https://klasma.github.io/Logging_1737/klagomålsmail/A 35709-2022 FSC-klagomål mail.docx", "A 35709-2022")</f>
        <v/>
      </c>
      <c r="X501">
        <f>HYPERLINK("https://klasma.github.io/Logging_1737/tillsyn/A 35709-2022 tillsynsbegäran.docx", "A 35709-2022")</f>
        <v/>
      </c>
      <c r="Y501">
        <f>HYPERLINK("https://klasma.github.io/Logging_1737/tillsynsmail/A 35709-2022 tillsynsbegäran mail.docx", "A 35709-2022")</f>
        <v/>
      </c>
    </row>
    <row r="502" ht="15" customHeight="1">
      <c r="A502" t="inlineStr">
        <is>
          <t>A 36885-2022</t>
        </is>
      </c>
      <c r="B502" s="1" t="n">
        <v>44805</v>
      </c>
      <c r="C502" s="1" t="n">
        <v>45736</v>
      </c>
      <c r="D502" t="inlineStr">
        <is>
          <t>VÄRMLANDS LÄN</t>
        </is>
      </c>
      <c r="E502" t="inlineStr">
        <is>
          <t>SÄFFLE</t>
        </is>
      </c>
      <c r="F502" t="inlineStr">
        <is>
          <t>Kyrkan</t>
        </is>
      </c>
      <c r="G502" t="n">
        <v>5.1</v>
      </c>
      <c r="H502" t="n">
        <v>0</v>
      </c>
      <c r="I502" t="n">
        <v>0</v>
      </c>
      <c r="J502" t="n">
        <v>0</v>
      </c>
      <c r="K502" t="n">
        <v>1</v>
      </c>
      <c r="L502" t="n">
        <v>0</v>
      </c>
      <c r="M502" t="n">
        <v>0</v>
      </c>
      <c r="N502" t="n">
        <v>0</v>
      </c>
      <c r="O502" t="n">
        <v>1</v>
      </c>
      <c r="P502" t="n">
        <v>1</v>
      </c>
      <c r="Q502" t="n">
        <v>1</v>
      </c>
      <c r="R502" s="2" t="inlineStr">
        <is>
          <t>Grangråticka</t>
        </is>
      </c>
      <c r="S502">
        <f>HYPERLINK("https://klasma.github.io/Logging_1785/artfynd/A 36885-2022 artfynd.xlsx", "A 36885-2022")</f>
        <v/>
      </c>
      <c r="T502">
        <f>HYPERLINK("https://klasma.github.io/Logging_1785/kartor/A 36885-2022 karta.png", "A 36885-2022")</f>
        <v/>
      </c>
      <c r="V502">
        <f>HYPERLINK("https://klasma.github.io/Logging_1785/klagomål/A 36885-2022 FSC-klagomål.docx", "A 36885-2022")</f>
        <v/>
      </c>
      <c r="W502">
        <f>HYPERLINK("https://klasma.github.io/Logging_1785/klagomålsmail/A 36885-2022 FSC-klagomål mail.docx", "A 36885-2022")</f>
        <v/>
      </c>
      <c r="X502">
        <f>HYPERLINK("https://klasma.github.io/Logging_1785/tillsyn/A 36885-2022 tillsynsbegäran.docx", "A 36885-2022")</f>
        <v/>
      </c>
      <c r="Y502">
        <f>HYPERLINK("https://klasma.github.io/Logging_1785/tillsynsmail/A 36885-2022 tillsynsbegäran mail.docx", "A 36885-2022")</f>
        <v/>
      </c>
    </row>
    <row r="503" ht="15" customHeight="1">
      <c r="A503" t="inlineStr">
        <is>
          <t>A 37408-2022</t>
        </is>
      </c>
      <c r="B503" s="1" t="n">
        <v>44809</v>
      </c>
      <c r="C503" s="1" t="n">
        <v>45736</v>
      </c>
      <c r="D503" t="inlineStr">
        <is>
          <t>VÄRMLANDS LÄN</t>
        </is>
      </c>
      <c r="E503" t="inlineStr">
        <is>
          <t>KIL</t>
        </is>
      </c>
      <c r="G503" t="n">
        <v>2.6</v>
      </c>
      <c r="H503" t="n">
        <v>0</v>
      </c>
      <c r="I503" t="n">
        <v>1</v>
      </c>
      <c r="J503" t="n">
        <v>0</v>
      </c>
      <c r="K503" t="n">
        <v>0</v>
      </c>
      <c r="L503" t="n">
        <v>0</v>
      </c>
      <c r="M503" t="n">
        <v>0</v>
      </c>
      <c r="N503" t="n">
        <v>0</v>
      </c>
      <c r="O503" t="n">
        <v>0</v>
      </c>
      <c r="P503" t="n">
        <v>0</v>
      </c>
      <c r="Q503" t="n">
        <v>1</v>
      </c>
      <c r="R503" s="2" t="inlineStr">
        <is>
          <t>Dropptaggsvamp</t>
        </is>
      </c>
      <c r="S503">
        <f>HYPERLINK("https://klasma.github.io/Logging_1715/artfynd/A 37408-2022 artfynd.xlsx", "A 37408-2022")</f>
        <v/>
      </c>
      <c r="T503">
        <f>HYPERLINK("https://klasma.github.io/Logging_1715/kartor/A 37408-2022 karta.png", "A 37408-2022")</f>
        <v/>
      </c>
      <c r="V503">
        <f>HYPERLINK("https://klasma.github.io/Logging_1715/klagomål/A 37408-2022 FSC-klagomål.docx", "A 37408-2022")</f>
        <v/>
      </c>
      <c r="W503">
        <f>HYPERLINK("https://klasma.github.io/Logging_1715/klagomålsmail/A 37408-2022 FSC-klagomål mail.docx", "A 37408-2022")</f>
        <v/>
      </c>
      <c r="X503">
        <f>HYPERLINK("https://klasma.github.io/Logging_1715/tillsyn/A 37408-2022 tillsynsbegäran.docx", "A 37408-2022")</f>
        <v/>
      </c>
      <c r="Y503">
        <f>HYPERLINK("https://klasma.github.io/Logging_1715/tillsynsmail/A 37408-2022 tillsynsbegäran mail.docx", "A 37408-2022")</f>
        <v/>
      </c>
    </row>
    <row r="504" ht="15" customHeight="1">
      <c r="A504" t="inlineStr">
        <is>
          <t>A 38477-2022</t>
        </is>
      </c>
      <c r="B504" s="1" t="n">
        <v>44813</v>
      </c>
      <c r="C504" s="1" t="n">
        <v>45736</v>
      </c>
      <c r="D504" t="inlineStr">
        <is>
          <t>VÄRMLANDS LÄN</t>
        </is>
      </c>
      <c r="E504" t="inlineStr">
        <is>
          <t>SÄFFLE</t>
        </is>
      </c>
      <c r="G504" t="n">
        <v>2.6</v>
      </c>
      <c r="H504" t="n">
        <v>0</v>
      </c>
      <c r="I504" t="n">
        <v>0</v>
      </c>
      <c r="J504" t="n">
        <v>1</v>
      </c>
      <c r="K504" t="n">
        <v>0</v>
      </c>
      <c r="L504" t="n">
        <v>0</v>
      </c>
      <c r="M504" t="n">
        <v>0</v>
      </c>
      <c r="N504" t="n">
        <v>0</v>
      </c>
      <c r="O504" t="n">
        <v>1</v>
      </c>
      <c r="P504" t="n">
        <v>0</v>
      </c>
      <c r="Q504" t="n">
        <v>1</v>
      </c>
      <c r="R504" s="2" t="inlineStr">
        <is>
          <t>Dofttaggsvamp</t>
        </is>
      </c>
      <c r="S504">
        <f>HYPERLINK("https://klasma.github.io/Logging_1785/artfynd/A 38477-2022 artfynd.xlsx", "A 38477-2022")</f>
        <v/>
      </c>
      <c r="T504">
        <f>HYPERLINK("https://klasma.github.io/Logging_1785/kartor/A 38477-2022 karta.png", "A 38477-2022")</f>
        <v/>
      </c>
      <c r="V504">
        <f>HYPERLINK("https://klasma.github.io/Logging_1785/klagomål/A 38477-2022 FSC-klagomål.docx", "A 38477-2022")</f>
        <v/>
      </c>
      <c r="W504">
        <f>HYPERLINK("https://klasma.github.io/Logging_1785/klagomålsmail/A 38477-2022 FSC-klagomål mail.docx", "A 38477-2022")</f>
        <v/>
      </c>
      <c r="X504">
        <f>HYPERLINK("https://klasma.github.io/Logging_1785/tillsyn/A 38477-2022 tillsynsbegäran.docx", "A 38477-2022")</f>
        <v/>
      </c>
      <c r="Y504">
        <f>HYPERLINK("https://klasma.github.io/Logging_1785/tillsynsmail/A 38477-2022 tillsynsbegäran mail.docx", "A 38477-2022")</f>
        <v/>
      </c>
    </row>
    <row r="505" ht="15" customHeight="1">
      <c r="A505" t="inlineStr">
        <is>
          <t>A 42500-2022</t>
        </is>
      </c>
      <c r="B505" s="1" t="n">
        <v>44831</v>
      </c>
      <c r="C505" s="1" t="n">
        <v>45736</v>
      </c>
      <c r="D505" t="inlineStr">
        <is>
          <t>VÄRMLANDS LÄN</t>
        </is>
      </c>
      <c r="E505" t="inlineStr">
        <is>
          <t>TORSBY</t>
        </is>
      </c>
      <c r="F505" t="inlineStr">
        <is>
          <t>Kommuner</t>
        </is>
      </c>
      <c r="G505" t="n">
        <v>2.3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42500-2022 artfynd.xlsx", "A 42500-2022")</f>
        <v/>
      </c>
      <c r="T505">
        <f>HYPERLINK("https://klasma.github.io/Logging_1737/kartor/A 42500-2022 karta.png", "A 42500-2022")</f>
        <v/>
      </c>
      <c r="U505">
        <f>HYPERLINK("https://klasma.github.io/Logging_1737/knärot/A 42500-2022 karta knärot.png", "A 42500-2022")</f>
        <v/>
      </c>
      <c r="V505">
        <f>HYPERLINK("https://klasma.github.io/Logging_1737/klagomål/A 42500-2022 FSC-klagomål.docx", "A 42500-2022")</f>
        <v/>
      </c>
      <c r="W505">
        <f>HYPERLINK("https://klasma.github.io/Logging_1737/klagomålsmail/A 42500-2022 FSC-klagomål mail.docx", "A 42500-2022")</f>
        <v/>
      </c>
      <c r="X505">
        <f>HYPERLINK("https://klasma.github.io/Logging_1737/tillsyn/A 42500-2022 tillsynsbegäran.docx", "A 42500-2022")</f>
        <v/>
      </c>
      <c r="Y505">
        <f>HYPERLINK("https://klasma.github.io/Logging_1737/tillsynsmail/A 42500-2022 tillsynsbegäran mail.docx", "A 42500-2022")</f>
        <v/>
      </c>
    </row>
    <row r="506" ht="15" customHeight="1">
      <c r="A506" t="inlineStr">
        <is>
          <t>A 44007-2022</t>
        </is>
      </c>
      <c r="B506" s="1" t="n">
        <v>44838</v>
      </c>
      <c r="C506" s="1" t="n">
        <v>45736</v>
      </c>
      <c r="D506" t="inlineStr">
        <is>
          <t>VÄRMLANDS LÄN</t>
        </is>
      </c>
      <c r="E506" t="inlineStr">
        <is>
          <t>TORSBY</t>
        </is>
      </c>
      <c r="F506" t="inlineStr">
        <is>
          <t>Bergvik skog väst AB</t>
        </is>
      </c>
      <c r="G506" t="n">
        <v>8</v>
      </c>
      <c r="H506" t="n">
        <v>1</v>
      </c>
      <c r="I506" t="n">
        <v>0</v>
      </c>
      <c r="J506" t="n">
        <v>1</v>
      </c>
      <c r="K506" t="n">
        <v>0</v>
      </c>
      <c r="L506" t="n">
        <v>0</v>
      </c>
      <c r="M506" t="n">
        <v>0</v>
      </c>
      <c r="N506" t="n">
        <v>0</v>
      </c>
      <c r="O506" t="n">
        <v>1</v>
      </c>
      <c r="P506" t="n">
        <v>0</v>
      </c>
      <c r="Q506" t="n">
        <v>1</v>
      </c>
      <c r="R506" s="2" t="inlineStr">
        <is>
          <t>Utter</t>
        </is>
      </c>
      <c r="S506">
        <f>HYPERLINK("https://klasma.github.io/Logging_1737/artfynd/A 44007-2022 artfynd.xlsx", "A 44007-2022")</f>
        <v/>
      </c>
      <c r="T506">
        <f>HYPERLINK("https://klasma.github.io/Logging_1737/kartor/A 44007-2022 karta.png", "A 44007-2022")</f>
        <v/>
      </c>
      <c r="V506">
        <f>HYPERLINK("https://klasma.github.io/Logging_1737/klagomål/A 44007-2022 FSC-klagomål.docx", "A 44007-2022")</f>
        <v/>
      </c>
      <c r="W506">
        <f>HYPERLINK("https://klasma.github.io/Logging_1737/klagomålsmail/A 44007-2022 FSC-klagomål mail.docx", "A 44007-2022")</f>
        <v/>
      </c>
      <c r="X506">
        <f>HYPERLINK("https://klasma.github.io/Logging_1737/tillsyn/A 44007-2022 tillsynsbegäran.docx", "A 44007-2022")</f>
        <v/>
      </c>
      <c r="Y506">
        <f>HYPERLINK("https://klasma.github.io/Logging_1737/tillsynsmail/A 44007-2022 tillsynsbegäran mail.docx", "A 44007-2022")</f>
        <v/>
      </c>
    </row>
    <row r="507" ht="15" customHeight="1">
      <c r="A507" t="inlineStr">
        <is>
          <t>A 45293-2022</t>
        </is>
      </c>
      <c r="B507" s="1" t="n">
        <v>44840</v>
      </c>
      <c r="C507" s="1" t="n">
        <v>45736</v>
      </c>
      <c r="D507" t="inlineStr">
        <is>
          <t>VÄRMLANDS LÄN</t>
        </is>
      </c>
      <c r="E507" t="inlineStr">
        <is>
          <t>SUNNE</t>
        </is>
      </c>
      <c r="G507" t="n">
        <v>1.4</v>
      </c>
      <c r="H507" t="n">
        <v>0</v>
      </c>
      <c r="I507" t="n">
        <v>1</v>
      </c>
      <c r="J507" t="n">
        <v>0</v>
      </c>
      <c r="K507" t="n">
        <v>0</v>
      </c>
      <c r="L507" t="n">
        <v>0</v>
      </c>
      <c r="M507" t="n">
        <v>0</v>
      </c>
      <c r="N507" t="n">
        <v>0</v>
      </c>
      <c r="O507" t="n">
        <v>0</v>
      </c>
      <c r="P507" t="n">
        <v>0</v>
      </c>
      <c r="Q507" t="n">
        <v>1</v>
      </c>
      <c r="R507" s="2" t="inlineStr">
        <is>
          <t>Bronshjon</t>
        </is>
      </c>
      <c r="S507">
        <f>HYPERLINK("https://klasma.github.io/Logging_1766/artfynd/A 45293-2022 artfynd.xlsx", "A 45293-2022")</f>
        <v/>
      </c>
      <c r="T507">
        <f>HYPERLINK("https://klasma.github.io/Logging_1766/kartor/A 45293-2022 karta.png", "A 45293-2022")</f>
        <v/>
      </c>
      <c r="V507">
        <f>HYPERLINK("https://klasma.github.io/Logging_1766/klagomål/A 45293-2022 FSC-klagomål.docx", "A 45293-2022")</f>
        <v/>
      </c>
      <c r="W507">
        <f>HYPERLINK("https://klasma.github.io/Logging_1766/klagomålsmail/A 45293-2022 FSC-klagomål mail.docx", "A 45293-2022")</f>
        <v/>
      </c>
      <c r="X507">
        <f>HYPERLINK("https://klasma.github.io/Logging_1766/tillsyn/A 45293-2022 tillsynsbegäran.docx", "A 45293-2022")</f>
        <v/>
      </c>
      <c r="Y507">
        <f>HYPERLINK("https://klasma.github.io/Logging_1766/tillsynsmail/A 45293-2022 tillsynsbegäran mail.docx", "A 45293-2022")</f>
        <v/>
      </c>
    </row>
    <row r="508" ht="15" customHeight="1">
      <c r="A508" t="inlineStr">
        <is>
          <t>A 45938-2022</t>
        </is>
      </c>
      <c r="B508" s="1" t="n">
        <v>44846</v>
      </c>
      <c r="C508" s="1" t="n">
        <v>45736</v>
      </c>
      <c r="D508" t="inlineStr">
        <is>
          <t>VÄRMLANDS LÄN</t>
        </is>
      </c>
      <c r="E508" t="inlineStr">
        <is>
          <t>ÅRJÄNG</t>
        </is>
      </c>
      <c r="G508" t="n">
        <v>4.4</v>
      </c>
      <c r="H508" t="n">
        <v>1</v>
      </c>
      <c r="I508" t="n">
        <v>0</v>
      </c>
      <c r="J508" t="n">
        <v>0</v>
      </c>
      <c r="K508" t="n">
        <v>1</v>
      </c>
      <c r="L508" t="n">
        <v>0</v>
      </c>
      <c r="M508" t="n">
        <v>0</v>
      </c>
      <c r="N508" t="n">
        <v>0</v>
      </c>
      <c r="O508" t="n">
        <v>1</v>
      </c>
      <c r="P508" t="n">
        <v>1</v>
      </c>
      <c r="Q508" t="n">
        <v>1</v>
      </c>
      <c r="R508" s="2" t="inlineStr">
        <is>
          <t>Knärot</t>
        </is>
      </c>
      <c r="S508">
        <f>HYPERLINK("https://klasma.github.io/Logging_1765/artfynd/A 45938-2022 artfynd.xlsx", "A 45938-2022")</f>
        <v/>
      </c>
      <c r="T508">
        <f>HYPERLINK("https://klasma.github.io/Logging_1765/kartor/A 45938-2022 karta.png", "A 45938-2022")</f>
        <v/>
      </c>
      <c r="U508">
        <f>HYPERLINK("https://klasma.github.io/Logging_1765/knärot/A 45938-2022 karta knärot.png", "A 45938-2022")</f>
        <v/>
      </c>
      <c r="V508">
        <f>HYPERLINK("https://klasma.github.io/Logging_1765/klagomål/A 45938-2022 FSC-klagomål.docx", "A 45938-2022")</f>
        <v/>
      </c>
      <c r="W508">
        <f>HYPERLINK("https://klasma.github.io/Logging_1765/klagomålsmail/A 45938-2022 FSC-klagomål mail.docx", "A 45938-2022")</f>
        <v/>
      </c>
      <c r="X508">
        <f>HYPERLINK("https://klasma.github.io/Logging_1765/tillsyn/A 45938-2022 tillsynsbegäran.docx", "A 45938-2022")</f>
        <v/>
      </c>
      <c r="Y508">
        <f>HYPERLINK("https://klasma.github.io/Logging_1765/tillsynsmail/A 45938-2022 tillsynsbegäran mail.docx", "A 45938-2022")</f>
        <v/>
      </c>
    </row>
    <row r="509" ht="15" customHeight="1">
      <c r="A509" t="inlineStr">
        <is>
          <t>A 46927-2022</t>
        </is>
      </c>
      <c r="B509" s="1" t="n">
        <v>44851</v>
      </c>
      <c r="C509" s="1" t="n">
        <v>45736</v>
      </c>
      <c r="D509" t="inlineStr">
        <is>
          <t>VÄRMLANDS LÄN</t>
        </is>
      </c>
      <c r="E509" t="inlineStr">
        <is>
          <t>ARVIKA</t>
        </is>
      </c>
      <c r="G509" t="n">
        <v>9.800000000000001</v>
      </c>
      <c r="H509" t="n">
        <v>1</v>
      </c>
      <c r="I509" t="n">
        <v>0</v>
      </c>
      <c r="J509" t="n">
        <v>0</v>
      </c>
      <c r="K509" t="n">
        <v>1</v>
      </c>
      <c r="L509" t="n">
        <v>0</v>
      </c>
      <c r="M509" t="n">
        <v>0</v>
      </c>
      <c r="N509" t="n">
        <v>0</v>
      </c>
      <c r="O509" t="n">
        <v>1</v>
      </c>
      <c r="P509" t="n">
        <v>1</v>
      </c>
      <c r="Q509" t="n">
        <v>1</v>
      </c>
      <c r="R509" s="2" t="inlineStr">
        <is>
          <t>Knärot</t>
        </is>
      </c>
      <c r="S509">
        <f>HYPERLINK("https://klasma.github.io/Logging_1784/artfynd/A 46927-2022 artfynd.xlsx", "A 46927-2022")</f>
        <v/>
      </c>
      <c r="T509">
        <f>HYPERLINK("https://klasma.github.io/Logging_1784/kartor/A 46927-2022 karta.png", "A 46927-2022")</f>
        <v/>
      </c>
      <c r="U509">
        <f>HYPERLINK("https://klasma.github.io/Logging_1784/knärot/A 46927-2022 karta knärot.png", "A 46927-2022")</f>
        <v/>
      </c>
      <c r="V509">
        <f>HYPERLINK("https://klasma.github.io/Logging_1784/klagomål/A 46927-2022 FSC-klagomål.docx", "A 46927-2022")</f>
        <v/>
      </c>
      <c r="W509">
        <f>HYPERLINK("https://klasma.github.io/Logging_1784/klagomålsmail/A 46927-2022 FSC-klagomål mail.docx", "A 46927-2022")</f>
        <v/>
      </c>
      <c r="X509">
        <f>HYPERLINK("https://klasma.github.io/Logging_1784/tillsyn/A 46927-2022 tillsynsbegäran.docx", "A 46927-2022")</f>
        <v/>
      </c>
      <c r="Y509">
        <f>HYPERLINK("https://klasma.github.io/Logging_1784/tillsynsmail/A 46927-2022 tillsynsbegäran mail.docx", "A 46927-2022")</f>
        <v/>
      </c>
    </row>
    <row r="510" ht="15" customHeight="1">
      <c r="A510" t="inlineStr">
        <is>
          <t>A 47699-2022</t>
        </is>
      </c>
      <c r="B510" s="1" t="n">
        <v>44854</v>
      </c>
      <c r="C510" s="1" t="n">
        <v>45736</v>
      </c>
      <c r="D510" t="inlineStr">
        <is>
          <t>VÄRMLANDS LÄN</t>
        </is>
      </c>
      <c r="E510" t="inlineStr">
        <is>
          <t>ARVIKA</t>
        </is>
      </c>
      <c r="G510" t="n">
        <v>20</v>
      </c>
      <c r="H510" t="n">
        <v>1</v>
      </c>
      <c r="I510" t="n">
        <v>0</v>
      </c>
      <c r="J510" t="n">
        <v>0</v>
      </c>
      <c r="K510" t="n">
        <v>0</v>
      </c>
      <c r="L510" t="n">
        <v>0</v>
      </c>
      <c r="M510" t="n">
        <v>0</v>
      </c>
      <c r="N510" t="n">
        <v>0</v>
      </c>
      <c r="O510" t="n">
        <v>0</v>
      </c>
      <c r="P510" t="n">
        <v>0</v>
      </c>
      <c r="Q510" t="n">
        <v>1</v>
      </c>
      <c r="R510" s="2" t="inlineStr">
        <is>
          <t>Blåsippa</t>
        </is>
      </c>
      <c r="S510">
        <f>HYPERLINK("https://klasma.github.io/Logging_1784/artfynd/A 47699-2022 artfynd.xlsx", "A 47699-2022")</f>
        <v/>
      </c>
      <c r="T510">
        <f>HYPERLINK("https://klasma.github.io/Logging_1784/kartor/A 47699-2022 karta.png", "A 47699-2022")</f>
        <v/>
      </c>
      <c r="V510">
        <f>HYPERLINK("https://klasma.github.io/Logging_1784/klagomål/A 47699-2022 FSC-klagomål.docx", "A 47699-2022")</f>
        <v/>
      </c>
      <c r="W510">
        <f>HYPERLINK("https://klasma.github.io/Logging_1784/klagomålsmail/A 47699-2022 FSC-klagomål mail.docx", "A 47699-2022")</f>
        <v/>
      </c>
      <c r="X510">
        <f>HYPERLINK("https://klasma.github.io/Logging_1784/tillsyn/A 47699-2022 tillsynsbegäran.docx", "A 47699-2022")</f>
        <v/>
      </c>
      <c r="Y510">
        <f>HYPERLINK("https://klasma.github.io/Logging_1784/tillsynsmail/A 47699-2022 tillsynsbegäran mail.docx", "A 47699-2022")</f>
        <v/>
      </c>
    </row>
    <row r="511" ht="15" customHeight="1">
      <c r="A511" t="inlineStr">
        <is>
          <t>A 48243-2022</t>
        </is>
      </c>
      <c r="B511" s="1" t="n">
        <v>44858</v>
      </c>
      <c r="C511" s="1" t="n">
        <v>45736</v>
      </c>
      <c r="D511" t="inlineStr">
        <is>
          <t>VÄRMLANDS LÄN</t>
        </is>
      </c>
      <c r="E511" t="inlineStr">
        <is>
          <t>STORFORS</t>
        </is>
      </c>
      <c r="F511" t="inlineStr">
        <is>
          <t>Kyrkan</t>
        </is>
      </c>
      <c r="G511" t="n">
        <v>20.9</v>
      </c>
      <c r="H511" t="n">
        <v>0</v>
      </c>
      <c r="I511" t="n">
        <v>1</v>
      </c>
      <c r="J511" t="n">
        <v>0</v>
      </c>
      <c r="K511" t="n">
        <v>0</v>
      </c>
      <c r="L511" t="n">
        <v>0</v>
      </c>
      <c r="M511" t="n">
        <v>0</v>
      </c>
      <c r="N511" t="n">
        <v>0</v>
      </c>
      <c r="O511" t="n">
        <v>0</v>
      </c>
      <c r="P511" t="n">
        <v>0</v>
      </c>
      <c r="Q511" t="n">
        <v>1</v>
      </c>
      <c r="R511" s="2" t="inlineStr">
        <is>
          <t>Svart trolldruva</t>
        </is>
      </c>
      <c r="S511">
        <f>HYPERLINK("https://klasma.github.io/Logging_1760/artfynd/A 48243-2022 artfynd.xlsx", "A 48243-2022")</f>
        <v/>
      </c>
      <c r="T511">
        <f>HYPERLINK("https://klasma.github.io/Logging_1760/kartor/A 48243-2022 karta.png", "A 48243-2022")</f>
        <v/>
      </c>
      <c r="V511">
        <f>HYPERLINK("https://klasma.github.io/Logging_1760/klagomål/A 48243-2022 FSC-klagomål.docx", "A 48243-2022")</f>
        <v/>
      </c>
      <c r="W511">
        <f>HYPERLINK("https://klasma.github.io/Logging_1760/klagomålsmail/A 48243-2022 FSC-klagomål mail.docx", "A 48243-2022")</f>
        <v/>
      </c>
      <c r="X511">
        <f>HYPERLINK("https://klasma.github.io/Logging_1760/tillsyn/A 48243-2022 tillsynsbegäran.docx", "A 48243-2022")</f>
        <v/>
      </c>
      <c r="Y511">
        <f>HYPERLINK("https://klasma.github.io/Logging_1760/tillsynsmail/A 48243-2022 tillsynsbegäran mail.docx", "A 48243-2022")</f>
        <v/>
      </c>
    </row>
    <row r="512" ht="15" customHeight="1">
      <c r="A512" t="inlineStr">
        <is>
          <t>A 50236-2022</t>
        </is>
      </c>
      <c r="B512" s="1" t="n">
        <v>44865</v>
      </c>
      <c r="C512" s="1" t="n">
        <v>45736</v>
      </c>
      <c r="D512" t="inlineStr">
        <is>
          <t>VÄRMLANDS LÄN</t>
        </is>
      </c>
      <c r="E512" t="inlineStr">
        <is>
          <t>TORSBY</t>
        </is>
      </c>
      <c r="G512" t="n">
        <v>2.3</v>
      </c>
      <c r="H512" t="n">
        <v>0</v>
      </c>
      <c r="I512" t="n">
        <v>0</v>
      </c>
      <c r="J512" t="n">
        <v>1</v>
      </c>
      <c r="K512" t="n">
        <v>0</v>
      </c>
      <c r="L512" t="n">
        <v>0</v>
      </c>
      <c r="M512" t="n">
        <v>0</v>
      </c>
      <c r="N512" t="n">
        <v>0</v>
      </c>
      <c r="O512" t="n">
        <v>1</v>
      </c>
      <c r="P512" t="n">
        <v>0</v>
      </c>
      <c r="Q512" t="n">
        <v>1</v>
      </c>
      <c r="R512" s="2" t="inlineStr">
        <is>
          <t>Garnlav</t>
        </is>
      </c>
      <c r="S512">
        <f>HYPERLINK("https://klasma.github.io/Logging_1737/artfynd/A 50236-2022 artfynd.xlsx", "A 50236-2022")</f>
        <v/>
      </c>
      <c r="T512">
        <f>HYPERLINK("https://klasma.github.io/Logging_1737/kartor/A 50236-2022 karta.png", "A 50236-2022")</f>
        <v/>
      </c>
      <c r="V512">
        <f>HYPERLINK("https://klasma.github.io/Logging_1737/klagomål/A 50236-2022 FSC-klagomål.docx", "A 50236-2022")</f>
        <v/>
      </c>
      <c r="W512">
        <f>HYPERLINK("https://klasma.github.io/Logging_1737/klagomålsmail/A 50236-2022 FSC-klagomål mail.docx", "A 50236-2022")</f>
        <v/>
      </c>
      <c r="X512">
        <f>HYPERLINK("https://klasma.github.io/Logging_1737/tillsyn/A 50236-2022 tillsynsbegäran.docx", "A 50236-2022")</f>
        <v/>
      </c>
      <c r="Y512">
        <f>HYPERLINK("https://klasma.github.io/Logging_1737/tillsynsmail/A 50236-2022 tillsynsbegäran mail.docx", "A 50236-2022")</f>
        <v/>
      </c>
    </row>
    <row r="513" ht="15" customHeight="1">
      <c r="A513" t="inlineStr">
        <is>
          <t>A 51288-2022</t>
        </is>
      </c>
      <c r="B513" s="1" t="n">
        <v>44868</v>
      </c>
      <c r="C513" s="1" t="n">
        <v>45736</v>
      </c>
      <c r="D513" t="inlineStr">
        <is>
          <t>VÄRMLANDS LÄN</t>
        </is>
      </c>
      <c r="E513" t="inlineStr">
        <is>
          <t>TORSBY</t>
        </is>
      </c>
      <c r="G513" t="n">
        <v>1.9</v>
      </c>
      <c r="H513" t="n">
        <v>1</v>
      </c>
      <c r="I513" t="n">
        <v>0</v>
      </c>
      <c r="J513" t="n">
        <v>0</v>
      </c>
      <c r="K513" t="n">
        <v>1</v>
      </c>
      <c r="L513" t="n">
        <v>0</v>
      </c>
      <c r="M513" t="n">
        <v>0</v>
      </c>
      <c r="N513" t="n">
        <v>0</v>
      </c>
      <c r="O513" t="n">
        <v>1</v>
      </c>
      <c r="P513" t="n">
        <v>1</v>
      </c>
      <c r="Q513" t="n">
        <v>1</v>
      </c>
      <c r="R513" s="2" t="inlineStr">
        <is>
          <t>Bombmurkla</t>
        </is>
      </c>
      <c r="S513">
        <f>HYPERLINK("https://klasma.github.io/Logging_1737/artfynd/A 51288-2022 artfynd.xlsx", "A 51288-2022")</f>
        <v/>
      </c>
      <c r="T513">
        <f>HYPERLINK("https://klasma.github.io/Logging_1737/kartor/A 51288-2022 karta.png", "A 51288-2022")</f>
        <v/>
      </c>
      <c r="V513">
        <f>HYPERLINK("https://klasma.github.io/Logging_1737/klagomål/A 51288-2022 FSC-klagomål.docx", "A 51288-2022")</f>
        <v/>
      </c>
      <c r="W513">
        <f>HYPERLINK("https://klasma.github.io/Logging_1737/klagomålsmail/A 51288-2022 FSC-klagomål mail.docx", "A 51288-2022")</f>
        <v/>
      </c>
      <c r="X513">
        <f>HYPERLINK("https://klasma.github.io/Logging_1737/tillsyn/A 51288-2022 tillsynsbegäran.docx", "A 51288-2022")</f>
        <v/>
      </c>
      <c r="Y513">
        <f>HYPERLINK("https://klasma.github.io/Logging_1737/tillsynsmail/A 51288-2022 tillsynsbegäran mail.docx", "A 51288-2022")</f>
        <v/>
      </c>
    </row>
    <row r="514" ht="15" customHeight="1">
      <c r="A514" t="inlineStr">
        <is>
          <t>A 51522-2022</t>
        </is>
      </c>
      <c r="B514" s="1" t="n">
        <v>44869</v>
      </c>
      <c r="C514" s="1" t="n">
        <v>45736</v>
      </c>
      <c r="D514" t="inlineStr">
        <is>
          <t>VÄRMLANDS LÄN</t>
        </is>
      </c>
      <c r="E514" t="inlineStr">
        <is>
          <t>FILIPSTAD</t>
        </is>
      </c>
      <c r="G514" t="n">
        <v>4.1</v>
      </c>
      <c r="H514" t="n">
        <v>0</v>
      </c>
      <c r="I514" t="n">
        <v>1</v>
      </c>
      <c r="J514" t="n">
        <v>0</v>
      </c>
      <c r="K514" t="n">
        <v>0</v>
      </c>
      <c r="L514" t="n">
        <v>0</v>
      </c>
      <c r="M514" t="n">
        <v>0</v>
      </c>
      <c r="N514" t="n">
        <v>0</v>
      </c>
      <c r="O514" t="n">
        <v>0</v>
      </c>
      <c r="P514" t="n">
        <v>0</v>
      </c>
      <c r="Q514" t="n">
        <v>1</v>
      </c>
      <c r="R514" s="2" t="inlineStr">
        <is>
          <t>Tibast</t>
        </is>
      </c>
      <c r="S514">
        <f>HYPERLINK("https://klasma.github.io/Logging_1782/artfynd/A 51522-2022 artfynd.xlsx", "A 51522-2022")</f>
        <v/>
      </c>
      <c r="T514">
        <f>HYPERLINK("https://klasma.github.io/Logging_1782/kartor/A 51522-2022 karta.png", "A 51522-2022")</f>
        <v/>
      </c>
      <c r="V514">
        <f>HYPERLINK("https://klasma.github.io/Logging_1782/klagomål/A 51522-2022 FSC-klagomål.docx", "A 51522-2022")</f>
        <v/>
      </c>
      <c r="W514">
        <f>HYPERLINK("https://klasma.github.io/Logging_1782/klagomålsmail/A 51522-2022 FSC-klagomål mail.docx", "A 51522-2022")</f>
        <v/>
      </c>
      <c r="X514">
        <f>HYPERLINK("https://klasma.github.io/Logging_1782/tillsyn/A 51522-2022 tillsynsbegäran.docx", "A 51522-2022")</f>
        <v/>
      </c>
      <c r="Y514">
        <f>HYPERLINK("https://klasma.github.io/Logging_1782/tillsynsmail/A 51522-2022 tillsynsbegäran mail.docx", "A 51522-2022")</f>
        <v/>
      </c>
    </row>
    <row r="515" ht="15" customHeight="1">
      <c r="A515" t="inlineStr">
        <is>
          <t>A 52166-2022</t>
        </is>
      </c>
      <c r="B515" s="1" t="n">
        <v>44873</v>
      </c>
      <c r="C515" s="1" t="n">
        <v>45736</v>
      </c>
      <c r="D515" t="inlineStr">
        <is>
          <t>VÄRMLANDS LÄN</t>
        </is>
      </c>
      <c r="E515" t="inlineStr">
        <is>
          <t>ÅRJÄNG</t>
        </is>
      </c>
      <c r="G515" t="n">
        <v>12.9</v>
      </c>
      <c r="H515" t="n">
        <v>1</v>
      </c>
      <c r="I515" t="n">
        <v>0</v>
      </c>
      <c r="J515" t="n">
        <v>0</v>
      </c>
      <c r="K515" t="n">
        <v>0</v>
      </c>
      <c r="L515" t="n">
        <v>0</v>
      </c>
      <c r="M515" t="n">
        <v>0</v>
      </c>
      <c r="N515" t="n">
        <v>0</v>
      </c>
      <c r="O515" t="n">
        <v>0</v>
      </c>
      <c r="P515" t="n">
        <v>0</v>
      </c>
      <c r="Q515" t="n">
        <v>1</v>
      </c>
      <c r="R515" s="2" t="inlineStr">
        <is>
          <t>Blåsippa</t>
        </is>
      </c>
      <c r="S515">
        <f>HYPERLINK("https://klasma.github.io/Logging_1765/artfynd/A 52166-2022 artfynd.xlsx", "A 52166-2022")</f>
        <v/>
      </c>
      <c r="T515">
        <f>HYPERLINK("https://klasma.github.io/Logging_1765/kartor/A 52166-2022 karta.png", "A 52166-2022")</f>
        <v/>
      </c>
      <c r="V515">
        <f>HYPERLINK("https://klasma.github.io/Logging_1765/klagomål/A 52166-2022 FSC-klagomål.docx", "A 52166-2022")</f>
        <v/>
      </c>
      <c r="W515">
        <f>HYPERLINK("https://klasma.github.io/Logging_1765/klagomålsmail/A 52166-2022 FSC-klagomål mail.docx", "A 52166-2022")</f>
        <v/>
      </c>
      <c r="X515">
        <f>HYPERLINK("https://klasma.github.io/Logging_1765/tillsyn/A 52166-2022 tillsynsbegäran.docx", "A 52166-2022")</f>
        <v/>
      </c>
      <c r="Y515">
        <f>HYPERLINK("https://klasma.github.io/Logging_1765/tillsynsmail/A 52166-2022 tillsynsbegäran mail.docx", "A 52166-2022")</f>
        <v/>
      </c>
    </row>
    <row r="516" ht="15" customHeight="1">
      <c r="A516" t="inlineStr">
        <is>
          <t>A 54957-2022</t>
        </is>
      </c>
      <c r="B516" s="1" t="n">
        <v>44886</v>
      </c>
      <c r="C516" s="1" t="n">
        <v>45736</v>
      </c>
      <c r="D516" t="inlineStr">
        <is>
          <t>VÄRMLANDS LÄN</t>
        </is>
      </c>
      <c r="E516" t="inlineStr">
        <is>
          <t>SÄFFLE</t>
        </is>
      </c>
      <c r="G516" t="n">
        <v>3.6</v>
      </c>
      <c r="H516" t="n">
        <v>0</v>
      </c>
      <c r="I516" t="n">
        <v>1</v>
      </c>
      <c r="J516" t="n">
        <v>0</v>
      </c>
      <c r="K516" t="n">
        <v>0</v>
      </c>
      <c r="L516" t="n">
        <v>0</v>
      </c>
      <c r="M516" t="n">
        <v>0</v>
      </c>
      <c r="N516" t="n">
        <v>0</v>
      </c>
      <c r="O516" t="n">
        <v>0</v>
      </c>
      <c r="P516" t="n">
        <v>0</v>
      </c>
      <c r="Q516" t="n">
        <v>1</v>
      </c>
      <c r="R516" s="2" t="inlineStr">
        <is>
          <t>Vätteros</t>
        </is>
      </c>
      <c r="S516">
        <f>HYPERLINK("https://klasma.github.io/Logging_1785/artfynd/A 54957-2022 artfynd.xlsx", "A 54957-2022")</f>
        <v/>
      </c>
      <c r="T516">
        <f>HYPERLINK("https://klasma.github.io/Logging_1785/kartor/A 54957-2022 karta.png", "A 54957-2022")</f>
        <v/>
      </c>
      <c r="V516">
        <f>HYPERLINK("https://klasma.github.io/Logging_1785/klagomål/A 54957-2022 FSC-klagomål.docx", "A 54957-2022")</f>
        <v/>
      </c>
      <c r="W516">
        <f>HYPERLINK("https://klasma.github.io/Logging_1785/klagomålsmail/A 54957-2022 FSC-klagomål mail.docx", "A 54957-2022")</f>
        <v/>
      </c>
      <c r="X516">
        <f>HYPERLINK("https://klasma.github.io/Logging_1785/tillsyn/A 54957-2022 tillsynsbegäran.docx", "A 54957-2022")</f>
        <v/>
      </c>
      <c r="Y516">
        <f>HYPERLINK("https://klasma.github.io/Logging_1785/tillsynsmail/A 54957-2022 tillsynsbegäran mail.docx", "A 54957-2022")</f>
        <v/>
      </c>
    </row>
    <row r="517" ht="15" customHeight="1">
      <c r="A517" t="inlineStr">
        <is>
          <t>A 56083-2022</t>
        </is>
      </c>
      <c r="B517" s="1" t="n">
        <v>44889</v>
      </c>
      <c r="C517" s="1" t="n">
        <v>45736</v>
      </c>
      <c r="D517" t="inlineStr">
        <is>
          <t>VÄRMLANDS LÄN</t>
        </is>
      </c>
      <c r="E517" t="inlineStr">
        <is>
          <t>HAGFORS</t>
        </is>
      </c>
      <c r="F517" t="inlineStr">
        <is>
          <t>Bergvik skog väst AB</t>
        </is>
      </c>
      <c r="G517" t="n">
        <v>19.1</v>
      </c>
      <c r="H517" t="n">
        <v>0</v>
      </c>
      <c r="I517" t="n">
        <v>1</v>
      </c>
      <c r="J517" t="n">
        <v>0</v>
      </c>
      <c r="K517" t="n">
        <v>0</v>
      </c>
      <c r="L517" t="n">
        <v>0</v>
      </c>
      <c r="M517" t="n">
        <v>0</v>
      </c>
      <c r="N517" t="n">
        <v>0</v>
      </c>
      <c r="O517" t="n">
        <v>0</v>
      </c>
      <c r="P517" t="n">
        <v>0</v>
      </c>
      <c r="Q517" t="n">
        <v>1</v>
      </c>
      <c r="R517" s="2" t="inlineStr">
        <is>
          <t>Dropptaggsvamp</t>
        </is>
      </c>
      <c r="S517">
        <f>HYPERLINK("https://klasma.github.io/Logging_1783/artfynd/A 56083-2022 artfynd.xlsx", "A 56083-2022")</f>
        <v/>
      </c>
      <c r="T517">
        <f>HYPERLINK("https://klasma.github.io/Logging_1783/kartor/A 56083-2022 karta.png", "A 56083-2022")</f>
        <v/>
      </c>
      <c r="V517">
        <f>HYPERLINK("https://klasma.github.io/Logging_1783/klagomål/A 56083-2022 FSC-klagomål.docx", "A 56083-2022")</f>
        <v/>
      </c>
      <c r="W517">
        <f>HYPERLINK("https://klasma.github.io/Logging_1783/klagomålsmail/A 56083-2022 FSC-klagomål mail.docx", "A 56083-2022")</f>
        <v/>
      </c>
      <c r="X517">
        <f>HYPERLINK("https://klasma.github.io/Logging_1783/tillsyn/A 56083-2022 tillsynsbegäran.docx", "A 56083-2022")</f>
        <v/>
      </c>
      <c r="Y517">
        <f>HYPERLINK("https://klasma.github.io/Logging_1783/tillsynsmail/A 56083-2022 tillsynsbegäran mail.docx", "A 56083-2022")</f>
        <v/>
      </c>
    </row>
    <row r="518" ht="15" customHeight="1">
      <c r="A518" t="inlineStr">
        <is>
          <t>A 56676-2022</t>
        </is>
      </c>
      <c r="B518" s="1" t="n">
        <v>44893</v>
      </c>
      <c r="C518" s="1" t="n">
        <v>45736</v>
      </c>
      <c r="D518" t="inlineStr">
        <is>
          <t>VÄRMLANDS LÄN</t>
        </is>
      </c>
      <c r="E518" t="inlineStr">
        <is>
          <t>ARVIKA</t>
        </is>
      </c>
      <c r="F518" t="inlineStr">
        <is>
          <t>Övriga Aktiebolag</t>
        </is>
      </c>
      <c r="G518" t="n">
        <v>5.2</v>
      </c>
      <c r="H518" t="n">
        <v>1</v>
      </c>
      <c r="I518" t="n">
        <v>0</v>
      </c>
      <c r="J518" t="n">
        <v>0</v>
      </c>
      <c r="K518" t="n">
        <v>1</v>
      </c>
      <c r="L518" t="n">
        <v>0</v>
      </c>
      <c r="M518" t="n">
        <v>0</v>
      </c>
      <c r="N518" t="n">
        <v>0</v>
      </c>
      <c r="O518" t="n">
        <v>1</v>
      </c>
      <c r="P518" t="n">
        <v>1</v>
      </c>
      <c r="Q518" t="n">
        <v>1</v>
      </c>
      <c r="R518" s="2" t="inlineStr">
        <is>
          <t>Knärot</t>
        </is>
      </c>
      <c r="S518">
        <f>HYPERLINK("https://klasma.github.io/Logging_1784/artfynd/A 56676-2022 artfynd.xlsx", "A 56676-2022")</f>
        <v/>
      </c>
      <c r="T518">
        <f>HYPERLINK("https://klasma.github.io/Logging_1784/kartor/A 56676-2022 karta.png", "A 56676-2022")</f>
        <v/>
      </c>
      <c r="U518">
        <f>HYPERLINK("https://klasma.github.io/Logging_1784/knärot/A 56676-2022 karta knärot.png", "A 56676-2022")</f>
        <v/>
      </c>
      <c r="V518">
        <f>HYPERLINK("https://klasma.github.io/Logging_1784/klagomål/A 56676-2022 FSC-klagomål.docx", "A 56676-2022")</f>
        <v/>
      </c>
      <c r="W518">
        <f>HYPERLINK("https://klasma.github.io/Logging_1784/klagomålsmail/A 56676-2022 FSC-klagomål mail.docx", "A 56676-2022")</f>
        <v/>
      </c>
      <c r="X518">
        <f>HYPERLINK("https://klasma.github.io/Logging_1784/tillsyn/A 56676-2022 tillsynsbegäran.docx", "A 56676-2022")</f>
        <v/>
      </c>
      <c r="Y518">
        <f>HYPERLINK("https://klasma.github.io/Logging_1784/tillsynsmail/A 56676-2022 tillsynsbegäran mail.docx", "A 56676-2022")</f>
        <v/>
      </c>
    </row>
    <row r="519" ht="15" customHeight="1">
      <c r="A519" t="inlineStr">
        <is>
          <t>A 56590-2022</t>
        </is>
      </c>
      <c r="B519" s="1" t="n">
        <v>44893</v>
      </c>
      <c r="C519" s="1" t="n">
        <v>45736</v>
      </c>
      <c r="D519" t="inlineStr">
        <is>
          <t>VÄRMLANDS LÄN</t>
        </is>
      </c>
      <c r="E519" t="inlineStr">
        <is>
          <t>KRISTINEHAMN</t>
        </is>
      </c>
      <c r="F519" t="inlineStr">
        <is>
          <t>Sveaskog</t>
        </is>
      </c>
      <c r="G519" t="n">
        <v>3.6</v>
      </c>
      <c r="H519" t="n">
        <v>1</v>
      </c>
      <c r="I519" t="n">
        <v>0</v>
      </c>
      <c r="J519" t="n">
        <v>0</v>
      </c>
      <c r="K519" t="n">
        <v>0</v>
      </c>
      <c r="L519" t="n">
        <v>0</v>
      </c>
      <c r="M519" t="n">
        <v>0</v>
      </c>
      <c r="N519" t="n">
        <v>0</v>
      </c>
      <c r="O519" t="n">
        <v>0</v>
      </c>
      <c r="P519" t="n">
        <v>0</v>
      </c>
      <c r="Q519" t="n">
        <v>1</v>
      </c>
      <c r="R519" s="2" t="inlineStr">
        <is>
          <t>Kopparödla</t>
        </is>
      </c>
      <c r="S519">
        <f>HYPERLINK("https://klasma.github.io/Logging_1781/artfynd/A 56590-2022 artfynd.xlsx", "A 56590-2022")</f>
        <v/>
      </c>
      <c r="T519">
        <f>HYPERLINK("https://klasma.github.io/Logging_1781/kartor/A 56590-2022 karta.png", "A 56590-2022")</f>
        <v/>
      </c>
      <c r="V519">
        <f>HYPERLINK("https://klasma.github.io/Logging_1781/klagomål/A 56590-2022 FSC-klagomål.docx", "A 56590-2022")</f>
        <v/>
      </c>
      <c r="W519">
        <f>HYPERLINK("https://klasma.github.io/Logging_1781/klagomålsmail/A 56590-2022 FSC-klagomål mail.docx", "A 56590-2022")</f>
        <v/>
      </c>
      <c r="X519">
        <f>HYPERLINK("https://klasma.github.io/Logging_1781/tillsyn/A 56590-2022 tillsynsbegäran.docx", "A 56590-2022")</f>
        <v/>
      </c>
      <c r="Y519">
        <f>HYPERLINK("https://klasma.github.io/Logging_1781/tillsynsmail/A 56590-2022 tillsynsbegäran mail.docx", "A 56590-2022")</f>
        <v/>
      </c>
    </row>
    <row r="520" ht="15" customHeight="1">
      <c r="A520" t="inlineStr">
        <is>
          <t>A 56642-2022</t>
        </is>
      </c>
      <c r="B520" s="1" t="n">
        <v>44893</v>
      </c>
      <c r="C520" s="1" t="n">
        <v>45736</v>
      </c>
      <c r="D520" t="inlineStr">
        <is>
          <t>VÄRMLANDS LÄN</t>
        </is>
      </c>
      <c r="E520" t="inlineStr">
        <is>
          <t>KIL</t>
        </is>
      </c>
      <c r="F520" t="inlineStr">
        <is>
          <t>Bergvik skog väst AB</t>
        </is>
      </c>
      <c r="G520" t="n">
        <v>2.5</v>
      </c>
      <c r="H520" t="n">
        <v>0</v>
      </c>
      <c r="I520" t="n">
        <v>1</v>
      </c>
      <c r="J520" t="n">
        <v>0</v>
      </c>
      <c r="K520" t="n">
        <v>0</v>
      </c>
      <c r="L520" t="n">
        <v>0</v>
      </c>
      <c r="M520" t="n">
        <v>0</v>
      </c>
      <c r="N520" t="n">
        <v>0</v>
      </c>
      <c r="O520" t="n">
        <v>0</v>
      </c>
      <c r="P520" t="n">
        <v>0</v>
      </c>
      <c r="Q520" t="n">
        <v>1</v>
      </c>
      <c r="R520" s="2" t="inlineStr">
        <is>
          <t>Svart trolldruva</t>
        </is>
      </c>
      <c r="S520">
        <f>HYPERLINK("https://klasma.github.io/Logging_1715/artfynd/A 56642-2022 artfynd.xlsx", "A 56642-2022")</f>
        <v/>
      </c>
      <c r="T520">
        <f>HYPERLINK("https://klasma.github.io/Logging_1715/kartor/A 56642-2022 karta.png", "A 56642-2022")</f>
        <v/>
      </c>
      <c r="V520">
        <f>HYPERLINK("https://klasma.github.io/Logging_1715/klagomål/A 56642-2022 FSC-klagomål.docx", "A 56642-2022")</f>
        <v/>
      </c>
      <c r="W520">
        <f>HYPERLINK("https://klasma.github.io/Logging_1715/klagomålsmail/A 56642-2022 FSC-klagomål mail.docx", "A 56642-2022")</f>
        <v/>
      </c>
      <c r="X520">
        <f>HYPERLINK("https://klasma.github.io/Logging_1715/tillsyn/A 56642-2022 tillsynsbegäran.docx", "A 56642-2022")</f>
        <v/>
      </c>
      <c r="Y520">
        <f>HYPERLINK("https://klasma.github.io/Logging_1715/tillsynsmail/A 56642-2022 tillsynsbegäran mail.docx", "A 56642-2022")</f>
        <v/>
      </c>
    </row>
    <row r="521" ht="15" customHeight="1">
      <c r="A521" t="inlineStr">
        <is>
          <t>A 56794-2022</t>
        </is>
      </c>
      <c r="B521" s="1" t="n">
        <v>44894</v>
      </c>
      <c r="C521" s="1" t="n">
        <v>45736</v>
      </c>
      <c r="D521" t="inlineStr">
        <is>
          <t>VÄRMLANDS LÄN</t>
        </is>
      </c>
      <c r="E521" t="inlineStr">
        <is>
          <t>SÄFFLE</t>
        </is>
      </c>
      <c r="F521" t="inlineStr">
        <is>
          <t>Bergvik skog väst AB</t>
        </is>
      </c>
      <c r="G521" t="n">
        <v>21.8</v>
      </c>
      <c r="H521" t="n">
        <v>0</v>
      </c>
      <c r="I521" t="n">
        <v>0</v>
      </c>
      <c r="J521" t="n">
        <v>1</v>
      </c>
      <c r="K521" t="n">
        <v>0</v>
      </c>
      <c r="L521" t="n">
        <v>0</v>
      </c>
      <c r="M521" t="n">
        <v>0</v>
      </c>
      <c r="N521" t="n">
        <v>0</v>
      </c>
      <c r="O521" t="n">
        <v>1</v>
      </c>
      <c r="P521" t="n">
        <v>0</v>
      </c>
      <c r="Q521" t="n">
        <v>1</v>
      </c>
      <c r="R521" s="2" t="inlineStr">
        <is>
          <t>Skogsklocka</t>
        </is>
      </c>
      <c r="S521">
        <f>HYPERLINK("https://klasma.github.io/Logging_1785/artfynd/A 56794-2022 artfynd.xlsx", "A 56794-2022")</f>
        <v/>
      </c>
      <c r="T521">
        <f>HYPERLINK("https://klasma.github.io/Logging_1785/kartor/A 56794-2022 karta.png", "A 56794-2022")</f>
        <v/>
      </c>
      <c r="V521">
        <f>HYPERLINK("https://klasma.github.io/Logging_1785/klagomål/A 56794-2022 FSC-klagomål.docx", "A 56794-2022")</f>
        <v/>
      </c>
      <c r="W521">
        <f>HYPERLINK("https://klasma.github.io/Logging_1785/klagomålsmail/A 56794-2022 FSC-klagomål mail.docx", "A 56794-2022")</f>
        <v/>
      </c>
      <c r="X521">
        <f>HYPERLINK("https://klasma.github.io/Logging_1785/tillsyn/A 56794-2022 tillsynsbegäran.docx", "A 56794-2022")</f>
        <v/>
      </c>
      <c r="Y521">
        <f>HYPERLINK("https://klasma.github.io/Logging_1785/tillsynsmail/A 56794-2022 tillsynsbegäran mail.docx", "A 56794-2022")</f>
        <v/>
      </c>
    </row>
    <row r="522" ht="15" customHeight="1">
      <c r="A522" t="inlineStr">
        <is>
          <t>A 59323-2022</t>
        </is>
      </c>
      <c r="B522" s="1" t="n">
        <v>44904</v>
      </c>
      <c r="C522" s="1" t="n">
        <v>45736</v>
      </c>
      <c r="D522" t="inlineStr">
        <is>
          <t>VÄRMLANDS LÄN</t>
        </is>
      </c>
      <c r="E522" t="inlineStr">
        <is>
          <t>SUNNE</t>
        </is>
      </c>
      <c r="G522" t="n">
        <v>1.6</v>
      </c>
      <c r="H522" t="n">
        <v>1</v>
      </c>
      <c r="I522" t="n">
        <v>0</v>
      </c>
      <c r="J522" t="n">
        <v>1</v>
      </c>
      <c r="K522" t="n">
        <v>0</v>
      </c>
      <c r="L522" t="n">
        <v>0</v>
      </c>
      <c r="M522" t="n">
        <v>0</v>
      </c>
      <c r="N522" t="n">
        <v>0</v>
      </c>
      <c r="O522" t="n">
        <v>1</v>
      </c>
      <c r="P522" t="n">
        <v>0</v>
      </c>
      <c r="Q522" t="n">
        <v>1</v>
      </c>
      <c r="R522" s="2" t="inlineStr">
        <is>
          <t>Tretåig hackspett</t>
        </is>
      </c>
      <c r="S522">
        <f>HYPERLINK("https://klasma.github.io/Logging_1766/artfynd/A 59323-2022 artfynd.xlsx", "A 59323-2022")</f>
        <v/>
      </c>
      <c r="T522">
        <f>HYPERLINK("https://klasma.github.io/Logging_1766/kartor/A 59323-2022 karta.png", "A 59323-2022")</f>
        <v/>
      </c>
      <c r="V522">
        <f>HYPERLINK("https://klasma.github.io/Logging_1766/klagomål/A 59323-2022 FSC-klagomål.docx", "A 59323-2022")</f>
        <v/>
      </c>
      <c r="W522">
        <f>HYPERLINK("https://klasma.github.io/Logging_1766/klagomålsmail/A 59323-2022 FSC-klagomål mail.docx", "A 59323-2022")</f>
        <v/>
      </c>
      <c r="X522">
        <f>HYPERLINK("https://klasma.github.io/Logging_1766/tillsyn/A 59323-2022 tillsynsbegäran.docx", "A 59323-2022")</f>
        <v/>
      </c>
      <c r="Y522">
        <f>HYPERLINK("https://klasma.github.io/Logging_1766/tillsynsmail/A 59323-2022 tillsynsbegäran mail.docx", "A 59323-2022")</f>
        <v/>
      </c>
      <c r="Z522">
        <f>HYPERLINK("https://klasma.github.io/Logging_1766/fåglar/A 59323-2022 prioriterade fågelarter.docx", "A 59323-2022")</f>
        <v/>
      </c>
    </row>
    <row r="523" ht="15" customHeight="1">
      <c r="A523" t="inlineStr">
        <is>
          <t>A 60736-2022</t>
        </is>
      </c>
      <c r="B523" s="1" t="n">
        <v>44913</v>
      </c>
      <c r="C523" s="1" t="n">
        <v>45736</v>
      </c>
      <c r="D523" t="inlineStr">
        <is>
          <t>VÄRMLANDS LÄN</t>
        </is>
      </c>
      <c r="E523" t="inlineStr">
        <is>
          <t>FORSHAGA</t>
        </is>
      </c>
      <c r="G523" t="n">
        <v>1.1</v>
      </c>
      <c r="H523" t="n">
        <v>1</v>
      </c>
      <c r="I523" t="n">
        <v>0</v>
      </c>
      <c r="J523" t="n">
        <v>1</v>
      </c>
      <c r="K523" t="n">
        <v>0</v>
      </c>
      <c r="L523" t="n">
        <v>0</v>
      </c>
      <c r="M523" t="n">
        <v>0</v>
      </c>
      <c r="N523" t="n">
        <v>0</v>
      </c>
      <c r="O523" t="n">
        <v>1</v>
      </c>
      <c r="P523" t="n">
        <v>0</v>
      </c>
      <c r="Q523" t="n">
        <v>1</v>
      </c>
      <c r="R523" s="2" t="inlineStr">
        <is>
          <t>Mindre hackspett</t>
        </is>
      </c>
      <c r="S523">
        <f>HYPERLINK("https://klasma.github.io/Logging_1763/artfynd/A 60736-2022 artfynd.xlsx", "A 60736-2022")</f>
        <v/>
      </c>
      <c r="T523">
        <f>HYPERLINK("https://klasma.github.io/Logging_1763/kartor/A 60736-2022 karta.png", "A 60736-2022")</f>
        <v/>
      </c>
      <c r="V523">
        <f>HYPERLINK("https://klasma.github.io/Logging_1763/klagomål/A 60736-2022 FSC-klagomål.docx", "A 60736-2022")</f>
        <v/>
      </c>
      <c r="W523">
        <f>HYPERLINK("https://klasma.github.io/Logging_1763/klagomålsmail/A 60736-2022 FSC-klagomål mail.docx", "A 60736-2022")</f>
        <v/>
      </c>
      <c r="X523">
        <f>HYPERLINK("https://klasma.github.io/Logging_1763/tillsyn/A 60736-2022 tillsynsbegäran.docx", "A 60736-2022")</f>
        <v/>
      </c>
      <c r="Y523">
        <f>HYPERLINK("https://klasma.github.io/Logging_1763/tillsynsmail/A 60736-2022 tillsynsbegäran mail.docx", "A 60736-2022")</f>
        <v/>
      </c>
      <c r="Z523">
        <f>HYPERLINK("https://klasma.github.io/Logging_1763/fåglar/A 60736-2022 prioriterade fågelarter.docx", "A 60736-2022")</f>
        <v/>
      </c>
    </row>
    <row r="524" ht="15" customHeight="1">
      <c r="A524" t="inlineStr">
        <is>
          <t>A 62010-2022</t>
        </is>
      </c>
      <c r="B524" s="1" t="n">
        <v>44914</v>
      </c>
      <c r="C524" s="1" t="n">
        <v>45736</v>
      </c>
      <c r="D524" t="inlineStr">
        <is>
          <t>VÄRMLANDS LÄN</t>
        </is>
      </c>
      <c r="E524" t="inlineStr">
        <is>
          <t>KIL</t>
        </is>
      </c>
      <c r="G524" t="n">
        <v>7.8</v>
      </c>
      <c r="H524" t="n">
        <v>0</v>
      </c>
      <c r="I524" t="n">
        <v>1</v>
      </c>
      <c r="J524" t="n">
        <v>0</v>
      </c>
      <c r="K524" t="n">
        <v>0</v>
      </c>
      <c r="L524" t="n">
        <v>0</v>
      </c>
      <c r="M524" t="n">
        <v>0</v>
      </c>
      <c r="N524" t="n">
        <v>0</v>
      </c>
      <c r="O524" t="n">
        <v>0</v>
      </c>
      <c r="P524" t="n">
        <v>0</v>
      </c>
      <c r="Q524" t="n">
        <v>1</v>
      </c>
      <c r="R524" s="2" t="inlineStr">
        <is>
          <t>Ögonpyrola</t>
        </is>
      </c>
      <c r="S524">
        <f>HYPERLINK("https://klasma.github.io/Logging_1715/artfynd/A 62010-2022 artfynd.xlsx", "A 62010-2022")</f>
        <v/>
      </c>
      <c r="T524">
        <f>HYPERLINK("https://klasma.github.io/Logging_1715/kartor/A 62010-2022 karta.png", "A 62010-2022")</f>
        <v/>
      </c>
      <c r="V524">
        <f>HYPERLINK("https://klasma.github.io/Logging_1715/klagomål/A 62010-2022 FSC-klagomål.docx", "A 62010-2022")</f>
        <v/>
      </c>
      <c r="W524">
        <f>HYPERLINK("https://klasma.github.io/Logging_1715/klagomålsmail/A 62010-2022 FSC-klagomål mail.docx", "A 62010-2022")</f>
        <v/>
      </c>
      <c r="X524">
        <f>HYPERLINK("https://klasma.github.io/Logging_1715/tillsyn/A 62010-2022 tillsynsbegäran.docx", "A 62010-2022")</f>
        <v/>
      </c>
      <c r="Y524">
        <f>HYPERLINK("https://klasma.github.io/Logging_1715/tillsynsmail/A 62010-2022 tillsynsbegäran mail.docx", "A 62010-2022")</f>
        <v/>
      </c>
    </row>
    <row r="525" ht="15" customHeight="1">
      <c r="A525" t="inlineStr">
        <is>
          <t>A 1717-2023</t>
        </is>
      </c>
      <c r="B525" s="1" t="n">
        <v>44936</v>
      </c>
      <c r="C525" s="1" t="n">
        <v>45736</v>
      </c>
      <c r="D525" t="inlineStr">
        <is>
          <t>VÄRMLANDS LÄN</t>
        </is>
      </c>
      <c r="E525" t="inlineStr">
        <is>
          <t>SÄFFLE</t>
        </is>
      </c>
      <c r="G525" t="n">
        <v>0.7</v>
      </c>
      <c r="H525" t="n">
        <v>1</v>
      </c>
      <c r="I525" t="n">
        <v>0</v>
      </c>
      <c r="J525" t="n">
        <v>0</v>
      </c>
      <c r="K525" t="n">
        <v>0</v>
      </c>
      <c r="L525" t="n">
        <v>0</v>
      </c>
      <c r="M525" t="n">
        <v>0</v>
      </c>
      <c r="N525" t="n">
        <v>0</v>
      </c>
      <c r="O525" t="n">
        <v>0</v>
      </c>
      <c r="P525" t="n">
        <v>0</v>
      </c>
      <c r="Q525" t="n">
        <v>1</v>
      </c>
      <c r="R525" s="2" t="inlineStr">
        <is>
          <t>Fläcknycklar</t>
        </is>
      </c>
      <c r="S525">
        <f>HYPERLINK("https://klasma.github.io/Logging_1785/artfynd/A 1717-2023 artfynd.xlsx", "A 1717-2023")</f>
        <v/>
      </c>
      <c r="T525">
        <f>HYPERLINK("https://klasma.github.io/Logging_1785/kartor/A 1717-2023 karta.png", "A 1717-2023")</f>
        <v/>
      </c>
      <c r="V525">
        <f>HYPERLINK("https://klasma.github.io/Logging_1785/klagomål/A 1717-2023 FSC-klagomål.docx", "A 1717-2023")</f>
        <v/>
      </c>
      <c r="W525">
        <f>HYPERLINK("https://klasma.github.io/Logging_1785/klagomålsmail/A 1717-2023 FSC-klagomål mail.docx", "A 1717-2023")</f>
        <v/>
      </c>
      <c r="X525">
        <f>HYPERLINK("https://klasma.github.io/Logging_1785/tillsyn/A 1717-2023 tillsynsbegäran.docx", "A 1717-2023")</f>
        <v/>
      </c>
      <c r="Y525">
        <f>HYPERLINK("https://klasma.github.io/Logging_1785/tillsynsmail/A 1717-2023 tillsynsbegäran mail.docx", "A 1717-2023")</f>
        <v/>
      </c>
    </row>
    <row r="526" ht="15" customHeight="1">
      <c r="A526" t="inlineStr">
        <is>
          <t>A 1823-2023</t>
        </is>
      </c>
      <c r="B526" s="1" t="n">
        <v>44938</v>
      </c>
      <c r="C526" s="1" t="n">
        <v>45736</v>
      </c>
      <c r="D526" t="inlineStr">
        <is>
          <t>VÄRMLANDS LÄN</t>
        </is>
      </c>
      <c r="E526" t="inlineStr">
        <is>
          <t>SÄFFLE</t>
        </is>
      </c>
      <c r="G526" t="n">
        <v>4.4</v>
      </c>
      <c r="H526" t="n">
        <v>0</v>
      </c>
      <c r="I526" t="n">
        <v>0</v>
      </c>
      <c r="J526" t="n">
        <v>1</v>
      </c>
      <c r="K526" t="n">
        <v>0</v>
      </c>
      <c r="L526" t="n">
        <v>0</v>
      </c>
      <c r="M526" t="n">
        <v>0</v>
      </c>
      <c r="N526" t="n">
        <v>0</v>
      </c>
      <c r="O526" t="n">
        <v>1</v>
      </c>
      <c r="P526" t="n">
        <v>0</v>
      </c>
      <c r="Q526" t="n">
        <v>1</v>
      </c>
      <c r="R526" s="2" t="inlineStr">
        <is>
          <t>Skogsklocka</t>
        </is>
      </c>
      <c r="S526">
        <f>HYPERLINK("https://klasma.github.io/Logging_1785/artfynd/A 1823-2023 artfynd.xlsx", "A 1823-2023")</f>
        <v/>
      </c>
      <c r="T526">
        <f>HYPERLINK("https://klasma.github.io/Logging_1785/kartor/A 1823-2023 karta.png", "A 1823-2023")</f>
        <v/>
      </c>
      <c r="V526">
        <f>HYPERLINK("https://klasma.github.io/Logging_1785/klagomål/A 1823-2023 FSC-klagomål.docx", "A 1823-2023")</f>
        <v/>
      </c>
      <c r="W526">
        <f>HYPERLINK("https://klasma.github.io/Logging_1785/klagomålsmail/A 1823-2023 FSC-klagomål mail.docx", "A 1823-2023")</f>
        <v/>
      </c>
      <c r="X526">
        <f>HYPERLINK("https://klasma.github.io/Logging_1785/tillsyn/A 1823-2023 tillsynsbegäran.docx", "A 1823-2023")</f>
        <v/>
      </c>
      <c r="Y526">
        <f>HYPERLINK("https://klasma.github.io/Logging_1785/tillsynsmail/A 1823-2023 tillsynsbegäran mail.docx", "A 1823-2023")</f>
        <v/>
      </c>
    </row>
    <row r="527" ht="15" customHeight="1">
      <c r="A527" t="inlineStr">
        <is>
          <t>A 3127-2023</t>
        </is>
      </c>
      <c r="B527" s="1" t="n">
        <v>44946</v>
      </c>
      <c r="C527" s="1" t="n">
        <v>45736</v>
      </c>
      <c r="D527" t="inlineStr">
        <is>
          <t>VÄRMLANDS LÄN</t>
        </is>
      </c>
      <c r="E527" t="inlineStr">
        <is>
          <t>HAGFORS</t>
        </is>
      </c>
      <c r="F527" t="inlineStr">
        <is>
          <t>Bergvik skog väst AB</t>
        </is>
      </c>
      <c r="G527" t="n">
        <v>14.2</v>
      </c>
      <c r="H527" t="n">
        <v>1</v>
      </c>
      <c r="I527" t="n">
        <v>0</v>
      </c>
      <c r="J527" t="n">
        <v>1</v>
      </c>
      <c r="K527" t="n">
        <v>0</v>
      </c>
      <c r="L527" t="n">
        <v>0</v>
      </c>
      <c r="M527" t="n">
        <v>0</v>
      </c>
      <c r="N527" t="n">
        <v>0</v>
      </c>
      <c r="O527" t="n">
        <v>1</v>
      </c>
      <c r="P527" t="n">
        <v>0</v>
      </c>
      <c r="Q527" t="n">
        <v>1</v>
      </c>
      <c r="R527" s="2" t="inlineStr">
        <is>
          <t>Stenfalk</t>
        </is>
      </c>
      <c r="S527">
        <f>HYPERLINK("https://klasma.github.io/Logging_1783/artfynd/A 3127-2023 artfynd.xlsx", "A 3127-2023")</f>
        <v/>
      </c>
      <c r="T527">
        <f>HYPERLINK("https://klasma.github.io/Logging_1783/kartor/A 3127-2023 karta.png", "A 3127-2023")</f>
        <v/>
      </c>
      <c r="V527">
        <f>HYPERLINK("https://klasma.github.io/Logging_1783/klagomål/A 3127-2023 FSC-klagomål.docx", "A 3127-2023")</f>
        <v/>
      </c>
      <c r="W527">
        <f>HYPERLINK("https://klasma.github.io/Logging_1783/klagomålsmail/A 3127-2023 FSC-klagomål mail.docx", "A 3127-2023")</f>
        <v/>
      </c>
      <c r="X527">
        <f>HYPERLINK("https://klasma.github.io/Logging_1783/tillsyn/A 3127-2023 tillsynsbegäran.docx", "A 3127-2023")</f>
        <v/>
      </c>
      <c r="Y527">
        <f>HYPERLINK("https://klasma.github.io/Logging_1783/tillsynsmail/A 3127-2023 tillsynsbegäran mail.docx", "A 3127-2023")</f>
        <v/>
      </c>
      <c r="Z527">
        <f>HYPERLINK("https://klasma.github.io/Logging_1783/fåglar/A 3127-2023 prioriterade fågelarter.docx", "A 3127-2023")</f>
        <v/>
      </c>
    </row>
    <row r="528" ht="15" customHeight="1">
      <c r="A528" t="inlineStr">
        <is>
          <t>A 6661-2023</t>
        </is>
      </c>
      <c r="B528" s="1" t="n">
        <v>44963</v>
      </c>
      <c r="C528" s="1" t="n">
        <v>45736</v>
      </c>
      <c r="D528" t="inlineStr">
        <is>
          <t>VÄRMLANDS LÄN</t>
        </is>
      </c>
      <c r="E528" t="inlineStr">
        <is>
          <t>SUNNE</t>
        </is>
      </c>
      <c r="G528" t="n">
        <v>8.800000000000001</v>
      </c>
      <c r="H528" t="n">
        <v>0</v>
      </c>
      <c r="I528" t="n">
        <v>1</v>
      </c>
      <c r="J528" t="n">
        <v>0</v>
      </c>
      <c r="K528" t="n">
        <v>0</v>
      </c>
      <c r="L528" t="n">
        <v>0</v>
      </c>
      <c r="M528" t="n">
        <v>0</v>
      </c>
      <c r="N528" t="n">
        <v>0</v>
      </c>
      <c r="O528" t="n">
        <v>0</v>
      </c>
      <c r="P528" t="n">
        <v>0</v>
      </c>
      <c r="Q528" t="n">
        <v>1</v>
      </c>
      <c r="R528" s="2" t="inlineStr">
        <is>
          <t>Bronshjon</t>
        </is>
      </c>
      <c r="S528">
        <f>HYPERLINK("https://klasma.github.io/Logging_1766/artfynd/A 6661-2023 artfynd.xlsx", "A 6661-2023")</f>
        <v/>
      </c>
      <c r="T528">
        <f>HYPERLINK("https://klasma.github.io/Logging_1766/kartor/A 6661-2023 karta.png", "A 6661-2023")</f>
        <v/>
      </c>
      <c r="V528">
        <f>HYPERLINK("https://klasma.github.io/Logging_1766/klagomål/A 6661-2023 FSC-klagomål.docx", "A 6661-2023")</f>
        <v/>
      </c>
      <c r="W528">
        <f>HYPERLINK("https://klasma.github.io/Logging_1766/klagomålsmail/A 6661-2023 FSC-klagomål mail.docx", "A 6661-2023")</f>
        <v/>
      </c>
      <c r="X528">
        <f>HYPERLINK("https://klasma.github.io/Logging_1766/tillsyn/A 6661-2023 tillsynsbegäran.docx", "A 6661-2023")</f>
        <v/>
      </c>
      <c r="Y528">
        <f>HYPERLINK("https://klasma.github.io/Logging_1766/tillsynsmail/A 6661-2023 tillsynsbegäran mail.docx", "A 6661-2023")</f>
        <v/>
      </c>
    </row>
    <row r="529" ht="15" customHeight="1">
      <c r="A529" t="inlineStr">
        <is>
          <t>A 7240-2023</t>
        </is>
      </c>
      <c r="B529" s="1" t="n">
        <v>44970</v>
      </c>
      <c r="C529" s="1" t="n">
        <v>45736</v>
      </c>
      <c r="D529" t="inlineStr">
        <is>
          <t>VÄRMLANDS LÄN</t>
        </is>
      </c>
      <c r="E529" t="inlineStr">
        <is>
          <t>EDA</t>
        </is>
      </c>
      <c r="G529" t="n">
        <v>17.4</v>
      </c>
      <c r="H529" t="n">
        <v>0</v>
      </c>
      <c r="I529" t="n">
        <v>1</v>
      </c>
      <c r="J529" t="n">
        <v>0</v>
      </c>
      <c r="K529" t="n">
        <v>0</v>
      </c>
      <c r="L529" t="n">
        <v>0</v>
      </c>
      <c r="M529" t="n">
        <v>0</v>
      </c>
      <c r="N529" t="n">
        <v>0</v>
      </c>
      <c r="O529" t="n">
        <v>0</v>
      </c>
      <c r="P529" t="n">
        <v>0</v>
      </c>
      <c r="Q529" t="n">
        <v>1</v>
      </c>
      <c r="R529" s="2" t="inlineStr">
        <is>
          <t>Sotriska</t>
        </is>
      </c>
      <c r="S529">
        <f>HYPERLINK("https://klasma.github.io/Logging_1730/artfynd/A 7240-2023 artfynd.xlsx", "A 7240-2023")</f>
        <v/>
      </c>
      <c r="T529">
        <f>HYPERLINK("https://klasma.github.io/Logging_1730/kartor/A 7240-2023 karta.png", "A 7240-2023")</f>
        <v/>
      </c>
      <c r="V529">
        <f>HYPERLINK("https://klasma.github.io/Logging_1730/klagomål/A 7240-2023 FSC-klagomål.docx", "A 7240-2023")</f>
        <v/>
      </c>
      <c r="W529">
        <f>HYPERLINK("https://klasma.github.io/Logging_1730/klagomålsmail/A 7240-2023 FSC-klagomål mail.docx", "A 7240-2023")</f>
        <v/>
      </c>
      <c r="X529">
        <f>HYPERLINK("https://klasma.github.io/Logging_1730/tillsyn/A 7240-2023 tillsynsbegäran.docx", "A 7240-2023")</f>
        <v/>
      </c>
      <c r="Y529">
        <f>HYPERLINK("https://klasma.github.io/Logging_1730/tillsynsmail/A 7240-2023 tillsynsbegäran mail.docx", "A 7240-2023")</f>
        <v/>
      </c>
    </row>
    <row r="530" ht="15" customHeight="1">
      <c r="A530" t="inlineStr">
        <is>
          <t>A 8525-2023</t>
        </is>
      </c>
      <c r="B530" s="1" t="n">
        <v>44977</v>
      </c>
      <c r="C530" s="1" t="n">
        <v>45736</v>
      </c>
      <c r="D530" t="inlineStr">
        <is>
          <t>VÄRMLANDS LÄN</t>
        </is>
      </c>
      <c r="E530" t="inlineStr">
        <is>
          <t>ARVIKA</t>
        </is>
      </c>
      <c r="G530" t="n">
        <v>2.2</v>
      </c>
      <c r="H530" t="n">
        <v>1</v>
      </c>
      <c r="I530" t="n">
        <v>0</v>
      </c>
      <c r="J530" t="n">
        <v>0</v>
      </c>
      <c r="K530" t="n">
        <v>1</v>
      </c>
      <c r="L530" t="n">
        <v>0</v>
      </c>
      <c r="M530" t="n">
        <v>0</v>
      </c>
      <c r="N530" t="n">
        <v>0</v>
      </c>
      <c r="O530" t="n">
        <v>1</v>
      </c>
      <c r="P530" t="n">
        <v>1</v>
      </c>
      <c r="Q530" t="n">
        <v>1</v>
      </c>
      <c r="R530" s="2" t="inlineStr">
        <is>
          <t>Knärot</t>
        </is>
      </c>
      <c r="S530">
        <f>HYPERLINK("https://klasma.github.io/Logging_1784/artfynd/A 8525-2023 artfynd.xlsx", "A 8525-2023")</f>
        <v/>
      </c>
      <c r="T530">
        <f>HYPERLINK("https://klasma.github.io/Logging_1784/kartor/A 8525-2023 karta.png", "A 8525-2023")</f>
        <v/>
      </c>
      <c r="U530">
        <f>HYPERLINK("https://klasma.github.io/Logging_1784/knärot/A 8525-2023 karta knärot.png", "A 8525-2023")</f>
        <v/>
      </c>
      <c r="V530">
        <f>HYPERLINK("https://klasma.github.io/Logging_1784/klagomål/A 8525-2023 FSC-klagomål.docx", "A 8525-2023")</f>
        <v/>
      </c>
      <c r="W530">
        <f>HYPERLINK("https://klasma.github.io/Logging_1784/klagomålsmail/A 8525-2023 FSC-klagomål mail.docx", "A 8525-2023")</f>
        <v/>
      </c>
      <c r="X530">
        <f>HYPERLINK("https://klasma.github.io/Logging_1784/tillsyn/A 8525-2023 tillsynsbegäran.docx", "A 8525-2023")</f>
        <v/>
      </c>
      <c r="Y530">
        <f>HYPERLINK("https://klasma.github.io/Logging_1784/tillsynsmail/A 8525-2023 tillsynsbegäran mail.docx", "A 8525-2023")</f>
        <v/>
      </c>
    </row>
    <row r="531" ht="15" customHeight="1">
      <c r="A531" t="inlineStr">
        <is>
          <t>A 9737-2023</t>
        </is>
      </c>
      <c r="B531" s="1" t="n">
        <v>44984</v>
      </c>
      <c r="C531" s="1" t="n">
        <v>45736</v>
      </c>
      <c r="D531" t="inlineStr">
        <is>
          <t>VÄRMLANDS LÄN</t>
        </is>
      </c>
      <c r="E531" t="inlineStr">
        <is>
          <t>KARLSTAD</t>
        </is>
      </c>
      <c r="G531" t="n">
        <v>2.6</v>
      </c>
      <c r="H531" t="n">
        <v>0</v>
      </c>
      <c r="I531" t="n">
        <v>0</v>
      </c>
      <c r="J531" t="n">
        <v>1</v>
      </c>
      <c r="K531" t="n">
        <v>0</v>
      </c>
      <c r="L531" t="n">
        <v>0</v>
      </c>
      <c r="M531" t="n">
        <v>0</v>
      </c>
      <c r="N531" t="n">
        <v>0</v>
      </c>
      <c r="O531" t="n">
        <v>1</v>
      </c>
      <c r="P531" t="n">
        <v>0</v>
      </c>
      <c r="Q531" t="n">
        <v>1</v>
      </c>
      <c r="R531" s="2" t="inlineStr">
        <is>
          <t>Ullticka</t>
        </is>
      </c>
      <c r="S531">
        <f>HYPERLINK("https://klasma.github.io/Logging_1780/artfynd/A 9737-2023 artfynd.xlsx", "A 9737-2023")</f>
        <v/>
      </c>
      <c r="T531">
        <f>HYPERLINK("https://klasma.github.io/Logging_1780/kartor/A 9737-2023 karta.png", "A 9737-2023")</f>
        <v/>
      </c>
      <c r="V531">
        <f>HYPERLINK("https://klasma.github.io/Logging_1780/klagomål/A 9737-2023 FSC-klagomål.docx", "A 9737-2023")</f>
        <v/>
      </c>
      <c r="W531">
        <f>HYPERLINK("https://klasma.github.io/Logging_1780/klagomålsmail/A 9737-2023 FSC-klagomål mail.docx", "A 9737-2023")</f>
        <v/>
      </c>
      <c r="X531">
        <f>HYPERLINK("https://klasma.github.io/Logging_1780/tillsyn/A 9737-2023 tillsynsbegäran.docx", "A 9737-2023")</f>
        <v/>
      </c>
      <c r="Y531">
        <f>HYPERLINK("https://klasma.github.io/Logging_1780/tillsynsmail/A 9737-2023 tillsynsbegäran mail.docx", "A 9737-2023")</f>
        <v/>
      </c>
    </row>
    <row r="532" ht="15" customHeight="1">
      <c r="A532" t="inlineStr">
        <is>
          <t>A 10279-2023</t>
        </is>
      </c>
      <c r="B532" s="1" t="n">
        <v>44986</v>
      </c>
      <c r="C532" s="1" t="n">
        <v>45736</v>
      </c>
      <c r="D532" t="inlineStr">
        <is>
          <t>VÄRMLANDS LÄN</t>
        </is>
      </c>
      <c r="E532" t="inlineStr">
        <is>
          <t>SUNNE</t>
        </is>
      </c>
      <c r="G532" t="n">
        <v>7.1</v>
      </c>
      <c r="H532" t="n">
        <v>0</v>
      </c>
      <c r="I532" t="n">
        <v>1</v>
      </c>
      <c r="J532" t="n">
        <v>0</v>
      </c>
      <c r="K532" t="n">
        <v>0</v>
      </c>
      <c r="L532" t="n">
        <v>0</v>
      </c>
      <c r="M532" t="n">
        <v>0</v>
      </c>
      <c r="N532" t="n">
        <v>0</v>
      </c>
      <c r="O532" t="n">
        <v>0</v>
      </c>
      <c r="P532" t="n">
        <v>0</v>
      </c>
      <c r="Q532" t="n">
        <v>1</v>
      </c>
      <c r="R532" s="2" t="inlineStr">
        <is>
          <t>Bronshjon</t>
        </is>
      </c>
      <c r="S532">
        <f>HYPERLINK("https://klasma.github.io/Logging_1766/artfynd/A 10279-2023 artfynd.xlsx", "A 10279-2023")</f>
        <v/>
      </c>
      <c r="T532">
        <f>HYPERLINK("https://klasma.github.io/Logging_1766/kartor/A 10279-2023 karta.png", "A 10279-2023")</f>
        <v/>
      </c>
      <c r="V532">
        <f>HYPERLINK("https://klasma.github.io/Logging_1766/klagomål/A 10279-2023 FSC-klagomål.docx", "A 10279-2023")</f>
        <v/>
      </c>
      <c r="W532">
        <f>HYPERLINK("https://klasma.github.io/Logging_1766/klagomålsmail/A 10279-2023 FSC-klagomål mail.docx", "A 10279-2023")</f>
        <v/>
      </c>
      <c r="X532">
        <f>HYPERLINK("https://klasma.github.io/Logging_1766/tillsyn/A 10279-2023 tillsynsbegäran.docx", "A 10279-2023")</f>
        <v/>
      </c>
      <c r="Y532">
        <f>HYPERLINK("https://klasma.github.io/Logging_1766/tillsynsmail/A 10279-2023 tillsynsbegäran mail.docx", "A 10279-2023")</f>
        <v/>
      </c>
    </row>
    <row r="533" ht="15" customHeight="1">
      <c r="A533" t="inlineStr">
        <is>
          <t>A 10814-2023</t>
        </is>
      </c>
      <c r="B533" s="1" t="n">
        <v>44990</v>
      </c>
      <c r="C533" s="1" t="n">
        <v>45736</v>
      </c>
      <c r="D533" t="inlineStr">
        <is>
          <t>VÄRMLANDS LÄN</t>
        </is>
      </c>
      <c r="E533" t="inlineStr">
        <is>
          <t>ARVIKA</t>
        </is>
      </c>
      <c r="G533" t="n">
        <v>5.6</v>
      </c>
      <c r="H533" t="n">
        <v>0</v>
      </c>
      <c r="I533" t="n">
        <v>0</v>
      </c>
      <c r="J533" t="n">
        <v>0</v>
      </c>
      <c r="K533" t="n">
        <v>0</v>
      </c>
      <c r="L533" t="n">
        <v>1</v>
      </c>
      <c r="M533" t="n">
        <v>0</v>
      </c>
      <c r="N533" t="n">
        <v>0</v>
      </c>
      <c r="O533" t="n">
        <v>1</v>
      </c>
      <c r="P533" t="n">
        <v>1</v>
      </c>
      <c r="Q533" t="n">
        <v>1</v>
      </c>
      <c r="R533" s="2" t="inlineStr">
        <is>
          <t>Ryl</t>
        </is>
      </c>
      <c r="S533">
        <f>HYPERLINK("https://klasma.github.io/Logging_1784/artfynd/A 10814-2023 artfynd.xlsx", "A 10814-2023")</f>
        <v/>
      </c>
      <c r="T533">
        <f>HYPERLINK("https://klasma.github.io/Logging_1784/kartor/A 10814-2023 karta.png", "A 10814-2023")</f>
        <v/>
      </c>
      <c r="V533">
        <f>HYPERLINK("https://klasma.github.io/Logging_1784/klagomål/A 10814-2023 FSC-klagomål.docx", "A 10814-2023")</f>
        <v/>
      </c>
      <c r="W533">
        <f>HYPERLINK("https://klasma.github.io/Logging_1784/klagomålsmail/A 10814-2023 FSC-klagomål mail.docx", "A 10814-2023")</f>
        <v/>
      </c>
      <c r="X533">
        <f>HYPERLINK("https://klasma.github.io/Logging_1784/tillsyn/A 10814-2023 tillsynsbegäran.docx", "A 10814-2023")</f>
        <v/>
      </c>
      <c r="Y533">
        <f>HYPERLINK("https://klasma.github.io/Logging_1784/tillsynsmail/A 10814-2023 tillsynsbegäran mail.docx", "A 10814-2023")</f>
        <v/>
      </c>
    </row>
    <row r="534" ht="15" customHeight="1">
      <c r="A534" t="inlineStr">
        <is>
          <t>A 13025-2023</t>
        </is>
      </c>
      <c r="B534" s="1" t="n">
        <v>45002</v>
      </c>
      <c r="C534" s="1" t="n">
        <v>45736</v>
      </c>
      <c r="D534" t="inlineStr">
        <is>
          <t>VÄRMLANDS LÄN</t>
        </is>
      </c>
      <c r="E534" t="inlineStr">
        <is>
          <t>KRISTINEHAMN</t>
        </is>
      </c>
      <c r="G534" t="n">
        <v>5</v>
      </c>
      <c r="H534" t="n">
        <v>0</v>
      </c>
      <c r="I534" t="n">
        <v>1</v>
      </c>
      <c r="J534" t="n">
        <v>0</v>
      </c>
      <c r="K534" t="n">
        <v>0</v>
      </c>
      <c r="L534" t="n">
        <v>0</v>
      </c>
      <c r="M534" t="n">
        <v>0</v>
      </c>
      <c r="N534" t="n">
        <v>0</v>
      </c>
      <c r="O534" t="n">
        <v>0</v>
      </c>
      <c r="P534" t="n">
        <v>0</v>
      </c>
      <c r="Q534" t="n">
        <v>1</v>
      </c>
      <c r="R534" s="2" t="inlineStr">
        <is>
          <t>Kamjordstjärna</t>
        </is>
      </c>
      <c r="S534">
        <f>HYPERLINK("https://klasma.github.io/Logging_1781/artfynd/A 13025-2023 artfynd.xlsx", "A 13025-2023")</f>
        <v/>
      </c>
      <c r="T534">
        <f>HYPERLINK("https://klasma.github.io/Logging_1781/kartor/A 13025-2023 karta.png", "A 13025-2023")</f>
        <v/>
      </c>
      <c r="V534">
        <f>HYPERLINK("https://klasma.github.io/Logging_1781/klagomål/A 13025-2023 FSC-klagomål.docx", "A 13025-2023")</f>
        <v/>
      </c>
      <c r="W534">
        <f>HYPERLINK("https://klasma.github.io/Logging_1781/klagomålsmail/A 13025-2023 FSC-klagomål mail.docx", "A 13025-2023")</f>
        <v/>
      </c>
      <c r="X534">
        <f>HYPERLINK("https://klasma.github.io/Logging_1781/tillsyn/A 13025-2023 tillsynsbegäran.docx", "A 13025-2023")</f>
        <v/>
      </c>
      <c r="Y534">
        <f>HYPERLINK("https://klasma.github.io/Logging_1781/tillsynsmail/A 13025-2023 tillsynsbegäran mail.docx", "A 13025-2023")</f>
        <v/>
      </c>
    </row>
    <row r="535" ht="15" customHeight="1">
      <c r="A535" t="inlineStr">
        <is>
          <t>A 13361-2023</t>
        </is>
      </c>
      <c r="B535" s="1" t="n">
        <v>45005</v>
      </c>
      <c r="C535" s="1" t="n">
        <v>45736</v>
      </c>
      <c r="D535" t="inlineStr">
        <is>
          <t>VÄRMLANDS LÄN</t>
        </is>
      </c>
      <c r="E535" t="inlineStr">
        <is>
          <t>TORSBY</t>
        </is>
      </c>
      <c r="G535" t="n">
        <v>8.5</v>
      </c>
      <c r="H535" t="n">
        <v>0</v>
      </c>
      <c r="I535" t="n">
        <v>1</v>
      </c>
      <c r="J535" t="n">
        <v>0</v>
      </c>
      <c r="K535" t="n">
        <v>0</v>
      </c>
      <c r="L535" t="n">
        <v>0</v>
      </c>
      <c r="M535" t="n">
        <v>0</v>
      </c>
      <c r="N535" t="n">
        <v>0</v>
      </c>
      <c r="O535" t="n">
        <v>0</v>
      </c>
      <c r="P535" t="n">
        <v>0</v>
      </c>
      <c r="Q535" t="n">
        <v>1</v>
      </c>
      <c r="R535" s="2" t="inlineStr">
        <is>
          <t>Dropptaggsvamp</t>
        </is>
      </c>
      <c r="S535">
        <f>HYPERLINK("https://klasma.github.io/Logging_1737/artfynd/A 13361-2023 artfynd.xlsx", "A 13361-2023")</f>
        <v/>
      </c>
      <c r="T535">
        <f>HYPERLINK("https://klasma.github.io/Logging_1737/kartor/A 13361-2023 karta.png", "A 13361-2023")</f>
        <v/>
      </c>
      <c r="V535">
        <f>HYPERLINK("https://klasma.github.io/Logging_1737/klagomål/A 13361-2023 FSC-klagomål.docx", "A 13361-2023")</f>
        <v/>
      </c>
      <c r="W535">
        <f>HYPERLINK("https://klasma.github.io/Logging_1737/klagomålsmail/A 13361-2023 FSC-klagomål mail.docx", "A 13361-2023")</f>
        <v/>
      </c>
      <c r="X535">
        <f>HYPERLINK("https://klasma.github.io/Logging_1737/tillsyn/A 13361-2023 tillsynsbegäran.docx", "A 13361-2023")</f>
        <v/>
      </c>
      <c r="Y535">
        <f>HYPERLINK("https://klasma.github.io/Logging_1737/tillsynsmail/A 13361-2023 tillsynsbegäran mail.docx", "A 13361-2023")</f>
        <v/>
      </c>
    </row>
    <row r="536" ht="15" customHeight="1">
      <c r="A536" t="inlineStr">
        <is>
          <t>A 13359-2023</t>
        </is>
      </c>
      <c r="B536" s="1" t="n">
        <v>45005</v>
      </c>
      <c r="C536" s="1" t="n">
        <v>45736</v>
      </c>
      <c r="D536" t="inlineStr">
        <is>
          <t>VÄRMLANDS LÄN</t>
        </is>
      </c>
      <c r="E536" t="inlineStr">
        <is>
          <t>TORSBY</t>
        </is>
      </c>
      <c r="G536" t="n">
        <v>12.9</v>
      </c>
      <c r="H536" t="n">
        <v>0</v>
      </c>
      <c r="I536" t="n">
        <v>1</v>
      </c>
      <c r="J536" t="n">
        <v>0</v>
      </c>
      <c r="K536" t="n">
        <v>0</v>
      </c>
      <c r="L536" t="n">
        <v>0</v>
      </c>
      <c r="M536" t="n">
        <v>0</v>
      </c>
      <c r="N536" t="n">
        <v>0</v>
      </c>
      <c r="O536" t="n">
        <v>0</v>
      </c>
      <c r="P536" t="n">
        <v>0</v>
      </c>
      <c r="Q536" t="n">
        <v>1</v>
      </c>
      <c r="R536" s="2" t="inlineStr">
        <is>
          <t>Dropptaggsvamp</t>
        </is>
      </c>
      <c r="S536">
        <f>HYPERLINK("https://klasma.github.io/Logging_1737/artfynd/A 13359-2023 artfynd.xlsx", "A 13359-2023")</f>
        <v/>
      </c>
      <c r="T536">
        <f>HYPERLINK("https://klasma.github.io/Logging_1737/kartor/A 13359-2023 karta.png", "A 13359-2023")</f>
        <v/>
      </c>
      <c r="V536">
        <f>HYPERLINK("https://klasma.github.io/Logging_1737/klagomål/A 13359-2023 FSC-klagomål.docx", "A 13359-2023")</f>
        <v/>
      </c>
      <c r="W536">
        <f>HYPERLINK("https://klasma.github.io/Logging_1737/klagomålsmail/A 13359-2023 FSC-klagomål mail.docx", "A 13359-2023")</f>
        <v/>
      </c>
      <c r="X536">
        <f>HYPERLINK("https://klasma.github.io/Logging_1737/tillsyn/A 13359-2023 tillsynsbegäran.docx", "A 13359-2023")</f>
        <v/>
      </c>
      <c r="Y536">
        <f>HYPERLINK("https://klasma.github.io/Logging_1737/tillsynsmail/A 13359-2023 tillsynsbegäran mail.docx", "A 13359-2023")</f>
        <v/>
      </c>
    </row>
    <row r="537" ht="15" customHeight="1">
      <c r="A537" t="inlineStr">
        <is>
          <t>A 15109-2023</t>
        </is>
      </c>
      <c r="B537" s="1" t="n">
        <v>45016</v>
      </c>
      <c r="C537" s="1" t="n">
        <v>45736</v>
      </c>
      <c r="D537" t="inlineStr">
        <is>
          <t>VÄRMLANDS LÄN</t>
        </is>
      </c>
      <c r="E537" t="inlineStr">
        <is>
          <t>SÄFFLE</t>
        </is>
      </c>
      <c r="G537" t="n">
        <v>4.9</v>
      </c>
      <c r="H537" t="n">
        <v>0</v>
      </c>
      <c r="I537" t="n">
        <v>0</v>
      </c>
      <c r="J537" t="n">
        <v>1</v>
      </c>
      <c r="K537" t="n">
        <v>0</v>
      </c>
      <c r="L537" t="n">
        <v>0</v>
      </c>
      <c r="M537" t="n">
        <v>0</v>
      </c>
      <c r="N537" t="n">
        <v>0</v>
      </c>
      <c r="O537" t="n">
        <v>1</v>
      </c>
      <c r="P537" t="n">
        <v>0</v>
      </c>
      <c r="Q537" t="n">
        <v>1</v>
      </c>
      <c r="R537" s="2" t="inlineStr">
        <is>
          <t>Skogsklocka</t>
        </is>
      </c>
      <c r="S537">
        <f>HYPERLINK("https://klasma.github.io/Logging_1785/artfynd/A 15109-2023 artfynd.xlsx", "A 15109-2023")</f>
        <v/>
      </c>
      <c r="T537">
        <f>HYPERLINK("https://klasma.github.io/Logging_1785/kartor/A 15109-2023 karta.png", "A 15109-2023")</f>
        <v/>
      </c>
      <c r="V537">
        <f>HYPERLINK("https://klasma.github.io/Logging_1785/klagomål/A 15109-2023 FSC-klagomål.docx", "A 15109-2023")</f>
        <v/>
      </c>
      <c r="W537">
        <f>HYPERLINK("https://klasma.github.io/Logging_1785/klagomålsmail/A 15109-2023 FSC-klagomål mail.docx", "A 15109-2023")</f>
        <v/>
      </c>
      <c r="X537">
        <f>HYPERLINK("https://klasma.github.io/Logging_1785/tillsyn/A 15109-2023 tillsynsbegäran.docx", "A 15109-2023")</f>
        <v/>
      </c>
      <c r="Y537">
        <f>HYPERLINK("https://klasma.github.io/Logging_1785/tillsynsmail/A 15109-2023 tillsynsbegäran mail.docx", "A 15109-2023")</f>
        <v/>
      </c>
    </row>
    <row r="538" ht="15" customHeight="1">
      <c r="A538" t="inlineStr">
        <is>
          <t>A 15145-2023</t>
        </is>
      </c>
      <c r="B538" s="1" t="n">
        <v>45016</v>
      </c>
      <c r="C538" s="1" t="n">
        <v>45736</v>
      </c>
      <c r="D538" t="inlineStr">
        <is>
          <t>VÄRMLANDS LÄN</t>
        </is>
      </c>
      <c r="E538" t="inlineStr">
        <is>
          <t>ARVIKA</t>
        </is>
      </c>
      <c r="G538" t="n">
        <v>2.9</v>
      </c>
      <c r="H538" t="n">
        <v>1</v>
      </c>
      <c r="I538" t="n">
        <v>0</v>
      </c>
      <c r="J538" t="n">
        <v>0</v>
      </c>
      <c r="K538" t="n">
        <v>1</v>
      </c>
      <c r="L538" t="n">
        <v>0</v>
      </c>
      <c r="M538" t="n">
        <v>0</v>
      </c>
      <c r="N538" t="n">
        <v>0</v>
      </c>
      <c r="O538" t="n">
        <v>1</v>
      </c>
      <c r="P538" t="n">
        <v>1</v>
      </c>
      <c r="Q538" t="n">
        <v>1</v>
      </c>
      <c r="R538" s="2" t="inlineStr">
        <is>
          <t>Knärot</t>
        </is>
      </c>
      <c r="S538">
        <f>HYPERLINK("https://klasma.github.io/Logging_1784/artfynd/A 15145-2023 artfynd.xlsx", "A 15145-2023")</f>
        <v/>
      </c>
      <c r="T538">
        <f>HYPERLINK("https://klasma.github.io/Logging_1784/kartor/A 15145-2023 karta.png", "A 15145-2023")</f>
        <v/>
      </c>
      <c r="U538">
        <f>HYPERLINK("https://klasma.github.io/Logging_1784/knärot/A 15145-2023 karta knärot.png", "A 15145-2023")</f>
        <v/>
      </c>
      <c r="V538">
        <f>HYPERLINK("https://klasma.github.io/Logging_1784/klagomål/A 15145-2023 FSC-klagomål.docx", "A 15145-2023")</f>
        <v/>
      </c>
      <c r="W538">
        <f>HYPERLINK("https://klasma.github.io/Logging_1784/klagomålsmail/A 15145-2023 FSC-klagomål mail.docx", "A 15145-2023")</f>
        <v/>
      </c>
      <c r="X538">
        <f>HYPERLINK("https://klasma.github.io/Logging_1784/tillsyn/A 15145-2023 tillsynsbegäran.docx", "A 15145-2023")</f>
        <v/>
      </c>
      <c r="Y538">
        <f>HYPERLINK("https://klasma.github.io/Logging_1784/tillsynsmail/A 15145-2023 tillsynsbegäran mail.docx", "A 15145-2023")</f>
        <v/>
      </c>
    </row>
    <row r="539" ht="15" customHeight="1">
      <c r="A539" t="inlineStr">
        <is>
          <t>A 15321-2023</t>
        </is>
      </c>
      <c r="B539" s="1" t="n">
        <v>45019</v>
      </c>
      <c r="C539" s="1" t="n">
        <v>45736</v>
      </c>
      <c r="D539" t="inlineStr">
        <is>
          <t>VÄRMLANDS LÄN</t>
        </is>
      </c>
      <c r="E539" t="inlineStr">
        <is>
          <t>GRUMS</t>
        </is>
      </c>
      <c r="G539" t="n">
        <v>5.2</v>
      </c>
      <c r="H539" t="n">
        <v>0</v>
      </c>
      <c r="I539" t="n">
        <v>1</v>
      </c>
      <c r="J539" t="n">
        <v>0</v>
      </c>
      <c r="K539" t="n">
        <v>0</v>
      </c>
      <c r="L539" t="n">
        <v>0</v>
      </c>
      <c r="M539" t="n">
        <v>0</v>
      </c>
      <c r="N539" t="n">
        <v>0</v>
      </c>
      <c r="O539" t="n">
        <v>0</v>
      </c>
      <c r="P539" t="n">
        <v>0</v>
      </c>
      <c r="Q539" t="n">
        <v>1</v>
      </c>
      <c r="R539" s="2" t="inlineStr">
        <is>
          <t>Vätteros</t>
        </is>
      </c>
      <c r="S539">
        <f>HYPERLINK("https://klasma.github.io/Logging_1764/artfynd/A 15321-2023 artfynd.xlsx", "A 15321-2023")</f>
        <v/>
      </c>
      <c r="T539">
        <f>HYPERLINK("https://klasma.github.io/Logging_1764/kartor/A 15321-2023 karta.png", "A 15321-2023")</f>
        <v/>
      </c>
      <c r="V539">
        <f>HYPERLINK("https://klasma.github.io/Logging_1764/klagomål/A 15321-2023 FSC-klagomål.docx", "A 15321-2023")</f>
        <v/>
      </c>
      <c r="W539">
        <f>HYPERLINK("https://klasma.github.io/Logging_1764/klagomålsmail/A 15321-2023 FSC-klagomål mail.docx", "A 15321-2023")</f>
        <v/>
      </c>
      <c r="X539">
        <f>HYPERLINK("https://klasma.github.io/Logging_1764/tillsyn/A 15321-2023 tillsynsbegäran.docx", "A 15321-2023")</f>
        <v/>
      </c>
      <c r="Y539">
        <f>HYPERLINK("https://klasma.github.io/Logging_1764/tillsynsmail/A 15321-2023 tillsynsbegäran mail.docx", "A 15321-2023")</f>
        <v/>
      </c>
    </row>
    <row r="540" ht="15" customHeight="1">
      <c r="A540" t="inlineStr">
        <is>
          <t>A 15548-2023</t>
        </is>
      </c>
      <c r="B540" s="1" t="n">
        <v>45020</v>
      </c>
      <c r="C540" s="1" t="n">
        <v>45736</v>
      </c>
      <c r="D540" t="inlineStr">
        <is>
          <t>VÄRMLANDS LÄN</t>
        </is>
      </c>
      <c r="E540" t="inlineStr">
        <is>
          <t>TORSBY</t>
        </is>
      </c>
      <c r="G540" t="n">
        <v>0.6</v>
      </c>
      <c r="H540" t="n">
        <v>1</v>
      </c>
      <c r="I540" t="n">
        <v>0</v>
      </c>
      <c r="J540" t="n">
        <v>1</v>
      </c>
      <c r="K540" t="n">
        <v>0</v>
      </c>
      <c r="L540" t="n">
        <v>0</v>
      </c>
      <c r="M540" t="n">
        <v>0</v>
      </c>
      <c r="N540" t="n">
        <v>0</v>
      </c>
      <c r="O540" t="n">
        <v>1</v>
      </c>
      <c r="P540" t="n">
        <v>0</v>
      </c>
      <c r="Q540" t="n">
        <v>1</v>
      </c>
      <c r="R540" s="2" t="inlineStr">
        <is>
          <t>Spillkråka</t>
        </is>
      </c>
      <c r="S540">
        <f>HYPERLINK("https://klasma.github.io/Logging_1737/artfynd/A 15548-2023 artfynd.xlsx", "A 15548-2023")</f>
        <v/>
      </c>
      <c r="T540">
        <f>HYPERLINK("https://klasma.github.io/Logging_1737/kartor/A 15548-2023 karta.png", "A 15548-2023")</f>
        <v/>
      </c>
      <c r="V540">
        <f>HYPERLINK("https://klasma.github.io/Logging_1737/klagomål/A 15548-2023 FSC-klagomål.docx", "A 15548-2023")</f>
        <v/>
      </c>
      <c r="W540">
        <f>HYPERLINK("https://klasma.github.io/Logging_1737/klagomålsmail/A 15548-2023 FSC-klagomål mail.docx", "A 15548-2023")</f>
        <v/>
      </c>
      <c r="X540">
        <f>HYPERLINK("https://klasma.github.io/Logging_1737/tillsyn/A 15548-2023 tillsynsbegäran.docx", "A 15548-2023")</f>
        <v/>
      </c>
      <c r="Y540">
        <f>HYPERLINK("https://klasma.github.io/Logging_1737/tillsynsmail/A 15548-2023 tillsynsbegäran mail.docx", "A 15548-2023")</f>
        <v/>
      </c>
      <c r="Z540">
        <f>HYPERLINK("https://klasma.github.io/Logging_1737/fåglar/A 15548-2023 prioriterade fågelarter.docx", "A 15548-2023")</f>
        <v/>
      </c>
    </row>
    <row r="541" ht="15" customHeight="1">
      <c r="A541" t="inlineStr">
        <is>
          <t>A 16391-2023</t>
        </is>
      </c>
      <c r="B541" s="1" t="n">
        <v>45029</v>
      </c>
      <c r="C541" s="1" t="n">
        <v>45736</v>
      </c>
      <c r="D541" t="inlineStr">
        <is>
          <t>VÄRMLANDS LÄN</t>
        </is>
      </c>
      <c r="E541" t="inlineStr">
        <is>
          <t>ARVIKA</t>
        </is>
      </c>
      <c r="G541" t="n">
        <v>0.9</v>
      </c>
      <c r="H541" t="n">
        <v>0</v>
      </c>
      <c r="I541" t="n">
        <v>0</v>
      </c>
      <c r="J541" t="n">
        <v>0</v>
      </c>
      <c r="K541" t="n">
        <v>0</v>
      </c>
      <c r="L541" t="n">
        <v>1</v>
      </c>
      <c r="M541" t="n">
        <v>0</v>
      </c>
      <c r="N541" t="n">
        <v>0</v>
      </c>
      <c r="O541" t="n">
        <v>1</v>
      </c>
      <c r="P541" t="n">
        <v>1</v>
      </c>
      <c r="Q541" t="n">
        <v>1</v>
      </c>
      <c r="R541" s="2" t="inlineStr">
        <is>
          <t>Kulfibbla</t>
        </is>
      </c>
      <c r="S541">
        <f>HYPERLINK("https://klasma.github.io/Logging_1784/artfynd/A 16391-2023 artfynd.xlsx", "A 16391-2023")</f>
        <v/>
      </c>
      <c r="T541">
        <f>HYPERLINK("https://klasma.github.io/Logging_1784/kartor/A 16391-2023 karta.png", "A 16391-2023")</f>
        <v/>
      </c>
      <c r="V541">
        <f>HYPERLINK("https://klasma.github.io/Logging_1784/klagomål/A 16391-2023 FSC-klagomål.docx", "A 16391-2023")</f>
        <v/>
      </c>
      <c r="W541">
        <f>HYPERLINK("https://klasma.github.io/Logging_1784/klagomålsmail/A 16391-2023 FSC-klagomål mail.docx", "A 16391-2023")</f>
        <v/>
      </c>
      <c r="X541">
        <f>HYPERLINK("https://klasma.github.io/Logging_1784/tillsyn/A 16391-2023 tillsynsbegäran.docx", "A 16391-2023")</f>
        <v/>
      </c>
      <c r="Y541">
        <f>HYPERLINK("https://klasma.github.io/Logging_1784/tillsynsmail/A 16391-2023 tillsynsbegäran mail.docx", "A 16391-2023")</f>
        <v/>
      </c>
    </row>
    <row r="542" ht="15" customHeight="1">
      <c r="A542" t="inlineStr">
        <is>
          <t>A 18882-2023</t>
        </is>
      </c>
      <c r="B542" s="1" t="n">
        <v>45044</v>
      </c>
      <c r="C542" s="1" t="n">
        <v>45736</v>
      </c>
      <c r="D542" t="inlineStr">
        <is>
          <t>VÄRMLANDS LÄN</t>
        </is>
      </c>
      <c r="E542" t="inlineStr">
        <is>
          <t>TORSBY</t>
        </is>
      </c>
      <c r="G542" t="n">
        <v>3</v>
      </c>
      <c r="H542" t="n">
        <v>0</v>
      </c>
      <c r="I542" t="n">
        <v>0</v>
      </c>
      <c r="J542" t="n">
        <v>1</v>
      </c>
      <c r="K542" t="n">
        <v>0</v>
      </c>
      <c r="L542" t="n">
        <v>0</v>
      </c>
      <c r="M542" t="n">
        <v>0</v>
      </c>
      <c r="N542" t="n">
        <v>0</v>
      </c>
      <c r="O542" t="n">
        <v>1</v>
      </c>
      <c r="P542" t="n">
        <v>0</v>
      </c>
      <c r="Q542" t="n">
        <v>1</v>
      </c>
      <c r="R542" s="2" t="inlineStr">
        <is>
          <t>Violettgrå tagellav</t>
        </is>
      </c>
      <c r="S542">
        <f>HYPERLINK("https://klasma.github.io/Logging_1737/artfynd/A 18882-2023 artfynd.xlsx", "A 18882-2023")</f>
        <v/>
      </c>
      <c r="T542">
        <f>HYPERLINK("https://klasma.github.io/Logging_1737/kartor/A 18882-2023 karta.png", "A 18882-2023")</f>
        <v/>
      </c>
      <c r="V542">
        <f>HYPERLINK("https://klasma.github.io/Logging_1737/klagomål/A 18882-2023 FSC-klagomål.docx", "A 18882-2023")</f>
        <v/>
      </c>
      <c r="W542">
        <f>HYPERLINK("https://klasma.github.io/Logging_1737/klagomålsmail/A 18882-2023 FSC-klagomål mail.docx", "A 18882-2023")</f>
        <v/>
      </c>
      <c r="X542">
        <f>HYPERLINK("https://klasma.github.io/Logging_1737/tillsyn/A 18882-2023 tillsynsbegäran.docx", "A 18882-2023")</f>
        <v/>
      </c>
      <c r="Y542">
        <f>HYPERLINK("https://klasma.github.io/Logging_1737/tillsynsmail/A 18882-2023 tillsynsbegäran mail.docx", "A 18882-2023")</f>
        <v/>
      </c>
    </row>
    <row r="543" ht="15" customHeight="1">
      <c r="A543" t="inlineStr">
        <is>
          <t>A 19669-2023</t>
        </is>
      </c>
      <c r="B543" s="1" t="n">
        <v>45051</v>
      </c>
      <c r="C543" s="1" t="n">
        <v>45736</v>
      </c>
      <c r="D543" t="inlineStr">
        <is>
          <t>VÄRMLANDS LÄN</t>
        </is>
      </c>
      <c r="E543" t="inlineStr">
        <is>
          <t>TORSBY</t>
        </is>
      </c>
      <c r="F543" t="inlineStr">
        <is>
          <t>Kyrkan</t>
        </is>
      </c>
      <c r="G543" t="n">
        <v>5.2</v>
      </c>
      <c r="H543" t="n">
        <v>1</v>
      </c>
      <c r="I543" t="n">
        <v>0</v>
      </c>
      <c r="J543" t="n">
        <v>1</v>
      </c>
      <c r="K543" t="n">
        <v>0</v>
      </c>
      <c r="L543" t="n">
        <v>0</v>
      </c>
      <c r="M543" t="n">
        <v>0</v>
      </c>
      <c r="N543" t="n">
        <v>0</v>
      </c>
      <c r="O543" t="n">
        <v>1</v>
      </c>
      <c r="P543" t="n">
        <v>0</v>
      </c>
      <c r="Q543" t="n">
        <v>1</v>
      </c>
      <c r="R543" s="2" t="inlineStr">
        <is>
          <t>Utter</t>
        </is>
      </c>
      <c r="S543">
        <f>HYPERLINK("https://klasma.github.io/Logging_1737/artfynd/A 19669-2023 artfynd.xlsx", "A 19669-2023")</f>
        <v/>
      </c>
      <c r="T543">
        <f>HYPERLINK("https://klasma.github.io/Logging_1737/kartor/A 19669-2023 karta.png", "A 19669-2023")</f>
        <v/>
      </c>
      <c r="V543">
        <f>HYPERLINK("https://klasma.github.io/Logging_1737/klagomål/A 19669-2023 FSC-klagomål.docx", "A 19669-2023")</f>
        <v/>
      </c>
      <c r="W543">
        <f>HYPERLINK("https://klasma.github.io/Logging_1737/klagomålsmail/A 19669-2023 FSC-klagomål mail.docx", "A 19669-2023")</f>
        <v/>
      </c>
      <c r="X543">
        <f>HYPERLINK("https://klasma.github.io/Logging_1737/tillsyn/A 19669-2023 tillsynsbegäran.docx", "A 19669-2023")</f>
        <v/>
      </c>
      <c r="Y543">
        <f>HYPERLINK("https://klasma.github.io/Logging_1737/tillsynsmail/A 19669-2023 tillsynsbegäran mail.docx", "A 19669-2023")</f>
        <v/>
      </c>
    </row>
    <row r="544" ht="15" customHeight="1">
      <c r="A544" t="inlineStr">
        <is>
          <t>A 21934-2023</t>
        </is>
      </c>
      <c r="B544" s="1" t="n">
        <v>45068</v>
      </c>
      <c r="C544" s="1" t="n">
        <v>45736</v>
      </c>
      <c r="D544" t="inlineStr">
        <is>
          <t>VÄRMLANDS LÄN</t>
        </is>
      </c>
      <c r="E544" t="inlineStr">
        <is>
          <t>KARLSTAD</t>
        </is>
      </c>
      <c r="G544" t="n">
        <v>1.7</v>
      </c>
      <c r="H544" t="n">
        <v>1</v>
      </c>
      <c r="I544" t="n">
        <v>0</v>
      </c>
      <c r="J544" t="n">
        <v>0</v>
      </c>
      <c r="K544" t="n">
        <v>0</v>
      </c>
      <c r="L544" t="n">
        <v>0</v>
      </c>
      <c r="M544" t="n">
        <v>0</v>
      </c>
      <c r="N544" t="n">
        <v>0</v>
      </c>
      <c r="O544" t="n">
        <v>0</v>
      </c>
      <c r="P544" t="n">
        <v>0</v>
      </c>
      <c r="Q544" t="n">
        <v>1</v>
      </c>
      <c r="R544" s="2" t="inlineStr">
        <is>
          <t>Revlummer</t>
        </is>
      </c>
      <c r="S544">
        <f>HYPERLINK("https://klasma.github.io/Logging_1780/artfynd/A 21934-2023 artfynd.xlsx", "A 21934-2023")</f>
        <v/>
      </c>
      <c r="T544">
        <f>HYPERLINK("https://klasma.github.io/Logging_1780/kartor/A 21934-2023 karta.png", "A 21934-2023")</f>
        <v/>
      </c>
      <c r="V544">
        <f>HYPERLINK("https://klasma.github.io/Logging_1780/klagomål/A 21934-2023 FSC-klagomål.docx", "A 21934-2023")</f>
        <v/>
      </c>
      <c r="W544">
        <f>HYPERLINK("https://klasma.github.io/Logging_1780/klagomålsmail/A 21934-2023 FSC-klagomål mail.docx", "A 21934-2023")</f>
        <v/>
      </c>
      <c r="X544">
        <f>HYPERLINK("https://klasma.github.io/Logging_1780/tillsyn/A 21934-2023 tillsynsbegäran.docx", "A 21934-2023")</f>
        <v/>
      </c>
      <c r="Y544">
        <f>HYPERLINK("https://klasma.github.io/Logging_1780/tillsynsmail/A 21934-2023 tillsynsbegäran mail.docx", "A 21934-2023")</f>
        <v/>
      </c>
    </row>
    <row r="545" ht="15" customHeight="1">
      <c r="A545" t="inlineStr">
        <is>
          <t>A 21919-2023</t>
        </is>
      </c>
      <c r="B545" s="1" t="n">
        <v>45068</v>
      </c>
      <c r="C545" s="1" t="n">
        <v>45736</v>
      </c>
      <c r="D545" t="inlineStr">
        <is>
          <t>VÄRMLANDS LÄN</t>
        </is>
      </c>
      <c r="E545" t="inlineStr">
        <is>
          <t>KARLSTAD</t>
        </is>
      </c>
      <c r="G545" t="n">
        <v>2.5</v>
      </c>
      <c r="H545" t="n">
        <v>1</v>
      </c>
      <c r="I545" t="n">
        <v>0</v>
      </c>
      <c r="J545" t="n">
        <v>0</v>
      </c>
      <c r="K545" t="n">
        <v>0</v>
      </c>
      <c r="L545" t="n">
        <v>0</v>
      </c>
      <c r="M545" t="n">
        <v>0</v>
      </c>
      <c r="N545" t="n">
        <v>0</v>
      </c>
      <c r="O545" t="n">
        <v>0</v>
      </c>
      <c r="P545" t="n">
        <v>0</v>
      </c>
      <c r="Q545" t="n">
        <v>1</v>
      </c>
      <c r="R545" s="2" t="inlineStr">
        <is>
          <t>Revlummer</t>
        </is>
      </c>
      <c r="S545">
        <f>HYPERLINK("https://klasma.github.io/Logging_1780/artfynd/A 21919-2023 artfynd.xlsx", "A 21919-2023")</f>
        <v/>
      </c>
      <c r="T545">
        <f>HYPERLINK("https://klasma.github.io/Logging_1780/kartor/A 21919-2023 karta.png", "A 21919-2023")</f>
        <v/>
      </c>
      <c r="V545">
        <f>HYPERLINK("https://klasma.github.io/Logging_1780/klagomål/A 21919-2023 FSC-klagomål.docx", "A 21919-2023")</f>
        <v/>
      </c>
      <c r="W545">
        <f>HYPERLINK("https://klasma.github.io/Logging_1780/klagomålsmail/A 21919-2023 FSC-klagomål mail.docx", "A 21919-2023")</f>
        <v/>
      </c>
      <c r="X545">
        <f>HYPERLINK("https://klasma.github.io/Logging_1780/tillsyn/A 21919-2023 tillsynsbegäran.docx", "A 21919-2023")</f>
        <v/>
      </c>
      <c r="Y545">
        <f>HYPERLINK("https://klasma.github.io/Logging_1780/tillsynsmail/A 21919-2023 tillsynsbegäran mail.docx", "A 21919-2023")</f>
        <v/>
      </c>
    </row>
    <row r="546" ht="15" customHeight="1">
      <c r="A546" t="inlineStr">
        <is>
          <t>A 23860-2023</t>
        </is>
      </c>
      <c r="B546" s="1" t="n">
        <v>45078</v>
      </c>
      <c r="C546" s="1" t="n">
        <v>45736</v>
      </c>
      <c r="D546" t="inlineStr">
        <is>
          <t>VÄRMLANDS LÄN</t>
        </is>
      </c>
      <c r="E546" t="inlineStr">
        <is>
          <t>GRUMS</t>
        </is>
      </c>
      <c r="G546" t="n">
        <v>3.5</v>
      </c>
      <c r="H546" t="n">
        <v>1</v>
      </c>
      <c r="I546" t="n">
        <v>0</v>
      </c>
      <c r="J546" t="n">
        <v>1</v>
      </c>
      <c r="K546" t="n">
        <v>0</v>
      </c>
      <c r="L546" t="n">
        <v>0</v>
      </c>
      <c r="M546" t="n">
        <v>0</v>
      </c>
      <c r="N546" t="n">
        <v>0</v>
      </c>
      <c r="O546" t="n">
        <v>1</v>
      </c>
      <c r="P546" t="n">
        <v>0</v>
      </c>
      <c r="Q546" t="n">
        <v>1</v>
      </c>
      <c r="R546" s="2" t="inlineStr">
        <is>
          <t>Gulsparv</t>
        </is>
      </c>
      <c r="S546">
        <f>HYPERLINK("https://klasma.github.io/Logging_1764/artfynd/A 23860-2023 artfynd.xlsx", "A 23860-2023")</f>
        <v/>
      </c>
      <c r="T546">
        <f>HYPERLINK("https://klasma.github.io/Logging_1764/kartor/A 23860-2023 karta.png", "A 23860-2023")</f>
        <v/>
      </c>
      <c r="V546">
        <f>HYPERLINK("https://klasma.github.io/Logging_1764/klagomål/A 23860-2023 FSC-klagomål.docx", "A 23860-2023")</f>
        <v/>
      </c>
      <c r="W546">
        <f>HYPERLINK("https://klasma.github.io/Logging_1764/klagomålsmail/A 23860-2023 FSC-klagomål mail.docx", "A 23860-2023")</f>
        <v/>
      </c>
      <c r="X546">
        <f>HYPERLINK("https://klasma.github.io/Logging_1764/tillsyn/A 23860-2023 tillsynsbegäran.docx", "A 23860-2023")</f>
        <v/>
      </c>
      <c r="Y546">
        <f>HYPERLINK("https://klasma.github.io/Logging_1764/tillsynsmail/A 23860-2023 tillsynsbegäran mail.docx", "A 23860-2023")</f>
        <v/>
      </c>
      <c r="Z546">
        <f>HYPERLINK("https://klasma.github.io/Logging_1764/fåglar/A 23860-2023 prioriterade fågelarter.docx", "A 23860-2023")</f>
        <v/>
      </c>
    </row>
    <row r="547" ht="15" customHeight="1">
      <c r="A547" t="inlineStr">
        <is>
          <t>A 24239-2023</t>
        </is>
      </c>
      <c r="B547" s="1" t="n">
        <v>45079</v>
      </c>
      <c r="C547" s="1" t="n">
        <v>45736</v>
      </c>
      <c r="D547" t="inlineStr">
        <is>
          <t>VÄRMLANDS LÄN</t>
        </is>
      </c>
      <c r="E547" t="inlineStr">
        <is>
          <t>ARVIKA</t>
        </is>
      </c>
      <c r="G547" t="n">
        <v>0.9</v>
      </c>
      <c r="H547" t="n">
        <v>1</v>
      </c>
      <c r="I547" t="n">
        <v>0</v>
      </c>
      <c r="J547" t="n">
        <v>0</v>
      </c>
      <c r="K547" t="n">
        <v>1</v>
      </c>
      <c r="L547" t="n">
        <v>0</v>
      </c>
      <c r="M547" t="n">
        <v>0</v>
      </c>
      <c r="N547" t="n">
        <v>0</v>
      </c>
      <c r="O547" t="n">
        <v>1</v>
      </c>
      <c r="P547" t="n">
        <v>1</v>
      </c>
      <c r="Q547" t="n">
        <v>1</v>
      </c>
      <c r="R547" s="2" t="inlineStr">
        <is>
          <t>Knärot</t>
        </is>
      </c>
      <c r="S547">
        <f>HYPERLINK("https://klasma.github.io/Logging_1784/artfynd/A 24239-2023 artfynd.xlsx", "A 24239-2023")</f>
        <v/>
      </c>
      <c r="T547">
        <f>HYPERLINK("https://klasma.github.io/Logging_1784/kartor/A 24239-2023 karta.png", "A 24239-2023")</f>
        <v/>
      </c>
      <c r="U547">
        <f>HYPERLINK("https://klasma.github.io/Logging_1784/knärot/A 24239-2023 karta knärot.png", "A 24239-2023")</f>
        <v/>
      </c>
      <c r="V547">
        <f>HYPERLINK("https://klasma.github.io/Logging_1784/klagomål/A 24239-2023 FSC-klagomål.docx", "A 24239-2023")</f>
        <v/>
      </c>
      <c r="W547">
        <f>HYPERLINK("https://klasma.github.io/Logging_1784/klagomålsmail/A 24239-2023 FSC-klagomål mail.docx", "A 24239-2023")</f>
        <v/>
      </c>
      <c r="X547">
        <f>HYPERLINK("https://klasma.github.io/Logging_1784/tillsyn/A 24239-2023 tillsynsbegäran.docx", "A 24239-2023")</f>
        <v/>
      </c>
      <c r="Y547">
        <f>HYPERLINK("https://klasma.github.io/Logging_1784/tillsynsmail/A 24239-2023 tillsynsbegäran mail.docx", "A 24239-2023")</f>
        <v/>
      </c>
    </row>
    <row r="548" ht="15" customHeight="1">
      <c r="A548" t="inlineStr">
        <is>
          <t>A 25144-2023</t>
        </is>
      </c>
      <c r="B548" s="1" t="n">
        <v>45086</v>
      </c>
      <c r="C548" s="1" t="n">
        <v>45736</v>
      </c>
      <c r="D548" t="inlineStr">
        <is>
          <t>VÄRMLANDS LÄN</t>
        </is>
      </c>
      <c r="E548" t="inlineStr">
        <is>
          <t>KARLSTAD</t>
        </is>
      </c>
      <c r="F548" t="inlineStr">
        <is>
          <t>Kyrkan</t>
        </is>
      </c>
      <c r="G548" t="n">
        <v>7.6</v>
      </c>
      <c r="H548" t="n">
        <v>1</v>
      </c>
      <c r="I548" t="n">
        <v>0</v>
      </c>
      <c r="J548" t="n">
        <v>0</v>
      </c>
      <c r="K548" t="n">
        <v>0</v>
      </c>
      <c r="L548" t="n">
        <v>0</v>
      </c>
      <c r="M548" t="n">
        <v>0</v>
      </c>
      <c r="N548" t="n">
        <v>0</v>
      </c>
      <c r="O548" t="n">
        <v>0</v>
      </c>
      <c r="P548" t="n">
        <v>0</v>
      </c>
      <c r="Q548" t="n">
        <v>1</v>
      </c>
      <c r="R548" s="2" t="inlineStr">
        <is>
          <t>Nattviol</t>
        </is>
      </c>
      <c r="S548">
        <f>HYPERLINK("https://klasma.github.io/Logging_1780/artfynd/A 25144-2023 artfynd.xlsx", "A 25144-2023")</f>
        <v/>
      </c>
      <c r="T548">
        <f>HYPERLINK("https://klasma.github.io/Logging_1780/kartor/A 25144-2023 karta.png", "A 25144-2023")</f>
        <v/>
      </c>
      <c r="V548">
        <f>HYPERLINK("https://klasma.github.io/Logging_1780/klagomål/A 25144-2023 FSC-klagomål.docx", "A 25144-2023")</f>
        <v/>
      </c>
      <c r="W548">
        <f>HYPERLINK("https://klasma.github.io/Logging_1780/klagomålsmail/A 25144-2023 FSC-klagomål mail.docx", "A 25144-2023")</f>
        <v/>
      </c>
      <c r="X548">
        <f>HYPERLINK("https://klasma.github.io/Logging_1780/tillsyn/A 25144-2023 tillsynsbegäran.docx", "A 25144-2023")</f>
        <v/>
      </c>
      <c r="Y548">
        <f>HYPERLINK("https://klasma.github.io/Logging_1780/tillsynsmail/A 25144-2023 tillsynsbegäran mail.docx", "A 25144-2023")</f>
        <v/>
      </c>
    </row>
    <row r="549" ht="15" customHeight="1">
      <c r="A549" t="inlineStr">
        <is>
          <t>A 25913-2023</t>
        </is>
      </c>
      <c r="B549" s="1" t="n">
        <v>45090</v>
      </c>
      <c r="C549" s="1" t="n">
        <v>45736</v>
      </c>
      <c r="D549" t="inlineStr">
        <is>
          <t>VÄRMLANDS LÄN</t>
        </is>
      </c>
      <c r="E549" t="inlineStr">
        <is>
          <t>ARVIKA</t>
        </is>
      </c>
      <c r="G549" t="n">
        <v>4.3</v>
      </c>
      <c r="H549" t="n">
        <v>1</v>
      </c>
      <c r="I549" t="n">
        <v>0</v>
      </c>
      <c r="J549" t="n">
        <v>0</v>
      </c>
      <c r="K549" t="n">
        <v>0</v>
      </c>
      <c r="L549" t="n">
        <v>0</v>
      </c>
      <c r="M549" t="n">
        <v>0</v>
      </c>
      <c r="N549" t="n">
        <v>0</v>
      </c>
      <c r="O549" t="n">
        <v>0</v>
      </c>
      <c r="P549" t="n">
        <v>0</v>
      </c>
      <c r="Q549" t="n">
        <v>1</v>
      </c>
      <c r="R549" s="2" t="inlineStr">
        <is>
          <t>Gråspett</t>
        </is>
      </c>
      <c r="S549">
        <f>HYPERLINK("https://klasma.github.io/Logging_1784/artfynd/A 25913-2023 artfynd.xlsx", "A 25913-2023")</f>
        <v/>
      </c>
      <c r="T549">
        <f>HYPERLINK("https://klasma.github.io/Logging_1784/kartor/A 25913-2023 karta.png", "A 25913-2023")</f>
        <v/>
      </c>
      <c r="V549">
        <f>HYPERLINK("https://klasma.github.io/Logging_1784/klagomål/A 25913-2023 FSC-klagomål.docx", "A 25913-2023")</f>
        <v/>
      </c>
      <c r="W549">
        <f>HYPERLINK("https://klasma.github.io/Logging_1784/klagomålsmail/A 25913-2023 FSC-klagomål mail.docx", "A 25913-2023")</f>
        <v/>
      </c>
      <c r="X549">
        <f>HYPERLINK("https://klasma.github.io/Logging_1784/tillsyn/A 25913-2023 tillsynsbegäran.docx", "A 25913-2023")</f>
        <v/>
      </c>
      <c r="Y549">
        <f>HYPERLINK("https://klasma.github.io/Logging_1784/tillsynsmail/A 25913-2023 tillsynsbegäran mail.docx", "A 25913-2023")</f>
        <v/>
      </c>
      <c r="Z549">
        <f>HYPERLINK("https://klasma.github.io/Logging_1784/fåglar/A 25913-2023 prioriterade fågelarter.docx", "A 25913-2023")</f>
        <v/>
      </c>
    </row>
    <row r="550" ht="15" customHeight="1">
      <c r="A550" t="inlineStr">
        <is>
          <t>A 26747-2023</t>
        </is>
      </c>
      <c r="B550" s="1" t="n">
        <v>45090</v>
      </c>
      <c r="C550" s="1" t="n">
        <v>45736</v>
      </c>
      <c r="D550" t="inlineStr">
        <is>
          <t>VÄRMLANDS LÄN</t>
        </is>
      </c>
      <c r="E550" t="inlineStr">
        <is>
          <t>TORSBY</t>
        </is>
      </c>
      <c r="F550" t="inlineStr">
        <is>
          <t>Övriga statliga verk och myndigheter</t>
        </is>
      </c>
      <c r="G550" t="n">
        <v>4.5</v>
      </c>
      <c r="H550" t="n">
        <v>0</v>
      </c>
      <c r="I550" t="n">
        <v>0</v>
      </c>
      <c r="J550" t="n">
        <v>1</v>
      </c>
      <c r="K550" t="n">
        <v>0</v>
      </c>
      <c r="L550" t="n">
        <v>0</v>
      </c>
      <c r="M550" t="n">
        <v>0</v>
      </c>
      <c r="N550" t="n">
        <v>0</v>
      </c>
      <c r="O550" t="n">
        <v>1</v>
      </c>
      <c r="P550" t="n">
        <v>0</v>
      </c>
      <c r="Q550" t="n">
        <v>1</v>
      </c>
      <c r="R550" s="2" t="inlineStr">
        <is>
          <t>Garnlav</t>
        </is>
      </c>
      <c r="S550">
        <f>HYPERLINK("https://klasma.github.io/Logging_1737/artfynd/A 26747-2023 artfynd.xlsx", "A 26747-2023")</f>
        <v/>
      </c>
      <c r="T550">
        <f>HYPERLINK("https://klasma.github.io/Logging_1737/kartor/A 26747-2023 karta.png", "A 26747-2023")</f>
        <v/>
      </c>
      <c r="V550">
        <f>HYPERLINK("https://klasma.github.io/Logging_1737/klagomål/A 26747-2023 FSC-klagomål.docx", "A 26747-2023")</f>
        <v/>
      </c>
      <c r="W550">
        <f>HYPERLINK("https://klasma.github.io/Logging_1737/klagomålsmail/A 26747-2023 FSC-klagomål mail.docx", "A 26747-2023")</f>
        <v/>
      </c>
      <c r="X550">
        <f>HYPERLINK("https://klasma.github.io/Logging_1737/tillsyn/A 26747-2023 tillsynsbegäran.docx", "A 26747-2023")</f>
        <v/>
      </c>
      <c r="Y550">
        <f>HYPERLINK("https://klasma.github.io/Logging_1737/tillsynsmail/A 26747-2023 tillsynsbegäran mail.docx", "A 26747-2023")</f>
        <v/>
      </c>
    </row>
    <row r="551" ht="15" customHeight="1">
      <c r="A551" t="inlineStr">
        <is>
          <t>A 30202-2023</t>
        </is>
      </c>
      <c r="B551" s="1" t="n">
        <v>45110</v>
      </c>
      <c r="C551" s="1" t="n">
        <v>45736</v>
      </c>
      <c r="D551" t="inlineStr">
        <is>
          <t>VÄRMLANDS LÄN</t>
        </is>
      </c>
      <c r="E551" t="inlineStr">
        <is>
          <t>KRISTINEHAMN</t>
        </is>
      </c>
      <c r="F551" t="inlineStr">
        <is>
          <t>Bergvik skog väst AB</t>
        </is>
      </c>
      <c r="G551" t="n">
        <v>9.4</v>
      </c>
      <c r="H551" t="n">
        <v>1</v>
      </c>
      <c r="I551" t="n">
        <v>0</v>
      </c>
      <c r="J551" t="n">
        <v>0</v>
      </c>
      <c r="K551" t="n">
        <v>0</v>
      </c>
      <c r="L551" t="n">
        <v>0</v>
      </c>
      <c r="M551" t="n">
        <v>0</v>
      </c>
      <c r="N551" t="n">
        <v>0</v>
      </c>
      <c r="O551" t="n">
        <v>0</v>
      </c>
      <c r="P551" t="n">
        <v>0</v>
      </c>
      <c r="Q551" t="n">
        <v>1</v>
      </c>
      <c r="R551" s="2" t="inlineStr">
        <is>
          <t>Glimmerört</t>
        </is>
      </c>
      <c r="S551">
        <f>HYPERLINK("https://klasma.github.io/Logging_1781/artfynd/A 30202-2023 artfynd.xlsx", "A 30202-2023")</f>
        <v/>
      </c>
      <c r="T551">
        <f>HYPERLINK("https://klasma.github.io/Logging_1781/kartor/A 30202-2023 karta.png", "A 30202-2023")</f>
        <v/>
      </c>
      <c r="V551">
        <f>HYPERLINK("https://klasma.github.io/Logging_1781/klagomål/A 30202-2023 FSC-klagomål.docx", "A 30202-2023")</f>
        <v/>
      </c>
      <c r="W551">
        <f>HYPERLINK("https://klasma.github.io/Logging_1781/klagomålsmail/A 30202-2023 FSC-klagomål mail.docx", "A 30202-2023")</f>
        <v/>
      </c>
      <c r="X551">
        <f>HYPERLINK("https://klasma.github.io/Logging_1781/tillsyn/A 30202-2023 tillsynsbegäran.docx", "A 30202-2023")</f>
        <v/>
      </c>
      <c r="Y551">
        <f>HYPERLINK("https://klasma.github.io/Logging_1781/tillsynsmail/A 30202-2023 tillsynsbegäran mail.docx", "A 30202-2023")</f>
        <v/>
      </c>
    </row>
    <row r="552" ht="15" customHeight="1">
      <c r="A552" t="inlineStr">
        <is>
          <t>A 30550-2023</t>
        </is>
      </c>
      <c r="B552" s="1" t="n">
        <v>45111</v>
      </c>
      <c r="C552" s="1" t="n">
        <v>45736</v>
      </c>
      <c r="D552" t="inlineStr">
        <is>
          <t>VÄRMLANDS LÄN</t>
        </is>
      </c>
      <c r="E552" t="inlineStr">
        <is>
          <t>ÅRJÄNG</t>
        </is>
      </c>
      <c r="G552" t="n">
        <v>3</v>
      </c>
      <c r="H552" t="n">
        <v>0</v>
      </c>
      <c r="I552" t="n">
        <v>0</v>
      </c>
      <c r="J552" t="n">
        <v>1</v>
      </c>
      <c r="K552" t="n">
        <v>0</v>
      </c>
      <c r="L552" t="n">
        <v>0</v>
      </c>
      <c r="M552" t="n">
        <v>0</v>
      </c>
      <c r="N552" t="n">
        <v>0</v>
      </c>
      <c r="O552" t="n">
        <v>1</v>
      </c>
      <c r="P552" t="n">
        <v>0</v>
      </c>
      <c r="Q552" t="n">
        <v>1</v>
      </c>
      <c r="R552" s="2" t="inlineStr">
        <is>
          <t>Lunglav</t>
        </is>
      </c>
      <c r="S552">
        <f>HYPERLINK("https://klasma.github.io/Logging_1765/artfynd/A 30550-2023 artfynd.xlsx", "A 30550-2023")</f>
        <v/>
      </c>
      <c r="T552">
        <f>HYPERLINK("https://klasma.github.io/Logging_1765/kartor/A 30550-2023 karta.png", "A 30550-2023")</f>
        <v/>
      </c>
      <c r="V552">
        <f>HYPERLINK("https://klasma.github.io/Logging_1765/klagomål/A 30550-2023 FSC-klagomål.docx", "A 30550-2023")</f>
        <v/>
      </c>
      <c r="W552">
        <f>HYPERLINK("https://klasma.github.io/Logging_1765/klagomålsmail/A 30550-2023 FSC-klagomål mail.docx", "A 30550-2023")</f>
        <v/>
      </c>
      <c r="X552">
        <f>HYPERLINK("https://klasma.github.io/Logging_1765/tillsyn/A 30550-2023 tillsynsbegäran.docx", "A 30550-2023")</f>
        <v/>
      </c>
      <c r="Y552">
        <f>HYPERLINK("https://klasma.github.io/Logging_1765/tillsynsmail/A 30550-2023 tillsynsbegäran mail.docx", "A 30550-2023")</f>
        <v/>
      </c>
    </row>
    <row r="553" ht="15" customHeight="1">
      <c r="A553" t="inlineStr">
        <is>
          <t>A 32877-2023</t>
        </is>
      </c>
      <c r="B553" s="1" t="n">
        <v>45124</v>
      </c>
      <c r="C553" s="1" t="n">
        <v>45736</v>
      </c>
      <c r="D553" t="inlineStr">
        <is>
          <t>VÄRMLANDS LÄN</t>
        </is>
      </c>
      <c r="E553" t="inlineStr">
        <is>
          <t>ARVIKA</t>
        </is>
      </c>
      <c r="G553" t="n">
        <v>1.1</v>
      </c>
      <c r="H553" t="n">
        <v>0</v>
      </c>
      <c r="I553" t="n">
        <v>0</v>
      </c>
      <c r="J553" t="n">
        <v>1</v>
      </c>
      <c r="K553" t="n">
        <v>0</v>
      </c>
      <c r="L553" t="n">
        <v>0</v>
      </c>
      <c r="M553" t="n">
        <v>0</v>
      </c>
      <c r="N553" t="n">
        <v>0</v>
      </c>
      <c r="O553" t="n">
        <v>1</v>
      </c>
      <c r="P553" t="n">
        <v>0</v>
      </c>
      <c r="Q553" t="n">
        <v>1</v>
      </c>
      <c r="R553" s="2" t="inlineStr">
        <is>
          <t>Gultoppig fingersvamp</t>
        </is>
      </c>
      <c r="S553">
        <f>HYPERLINK("https://klasma.github.io/Logging_1784/artfynd/A 32877-2023 artfynd.xlsx", "A 32877-2023")</f>
        <v/>
      </c>
      <c r="T553">
        <f>HYPERLINK("https://klasma.github.io/Logging_1784/kartor/A 32877-2023 karta.png", "A 32877-2023")</f>
        <v/>
      </c>
      <c r="U553">
        <f>HYPERLINK("https://klasma.github.io/Logging_1784/knärot/A 32877-2023 karta knärot.png", "A 32877-2023")</f>
        <v/>
      </c>
      <c r="V553">
        <f>HYPERLINK("https://klasma.github.io/Logging_1784/klagomål/A 32877-2023 FSC-klagomål.docx", "A 32877-2023")</f>
        <v/>
      </c>
      <c r="W553">
        <f>HYPERLINK("https://klasma.github.io/Logging_1784/klagomålsmail/A 32877-2023 FSC-klagomål mail.docx", "A 32877-2023")</f>
        <v/>
      </c>
      <c r="X553">
        <f>HYPERLINK("https://klasma.github.io/Logging_1784/tillsyn/A 32877-2023 tillsynsbegäran.docx", "A 32877-2023")</f>
        <v/>
      </c>
      <c r="Y553">
        <f>HYPERLINK("https://klasma.github.io/Logging_1784/tillsynsmail/A 32877-2023 tillsynsbegäran mail.docx", "A 32877-2023")</f>
        <v/>
      </c>
    </row>
    <row r="554" ht="15" customHeight="1">
      <c r="A554" t="inlineStr">
        <is>
          <t>A 33835-2023</t>
        </is>
      </c>
      <c r="B554" s="1" t="n">
        <v>45133</v>
      </c>
      <c r="C554" s="1" t="n">
        <v>45736</v>
      </c>
      <c r="D554" t="inlineStr">
        <is>
          <t>VÄRMLANDS LÄN</t>
        </is>
      </c>
      <c r="E554" t="inlineStr">
        <is>
          <t>TORSBY</t>
        </is>
      </c>
      <c r="F554" t="inlineStr">
        <is>
          <t>Bergvik skog väst AB</t>
        </is>
      </c>
      <c r="G554" t="n">
        <v>17.3</v>
      </c>
      <c r="H554" t="n">
        <v>1</v>
      </c>
      <c r="I554" t="n">
        <v>0</v>
      </c>
      <c r="J554" t="n">
        <v>0</v>
      </c>
      <c r="K554" t="n">
        <v>0</v>
      </c>
      <c r="L554" t="n">
        <v>0</v>
      </c>
      <c r="M554" t="n">
        <v>0</v>
      </c>
      <c r="N554" t="n">
        <v>0</v>
      </c>
      <c r="O554" t="n">
        <v>0</v>
      </c>
      <c r="P554" t="n">
        <v>0</v>
      </c>
      <c r="Q554" t="n">
        <v>1</v>
      </c>
      <c r="R554" s="2" t="inlineStr">
        <is>
          <t>Sparvuggla</t>
        </is>
      </c>
      <c r="S554">
        <f>HYPERLINK("https://klasma.github.io/Logging_1737/artfynd/A 33835-2023 artfynd.xlsx", "A 33835-2023")</f>
        <v/>
      </c>
      <c r="T554">
        <f>HYPERLINK("https://klasma.github.io/Logging_1737/kartor/A 33835-2023 karta.png", "A 33835-2023")</f>
        <v/>
      </c>
      <c r="V554">
        <f>HYPERLINK("https://klasma.github.io/Logging_1737/klagomål/A 33835-2023 FSC-klagomål.docx", "A 33835-2023")</f>
        <v/>
      </c>
      <c r="W554">
        <f>HYPERLINK("https://klasma.github.io/Logging_1737/klagomålsmail/A 33835-2023 FSC-klagomål mail.docx", "A 33835-2023")</f>
        <v/>
      </c>
      <c r="X554">
        <f>HYPERLINK("https://klasma.github.io/Logging_1737/tillsyn/A 33835-2023 tillsynsbegäran.docx", "A 33835-2023")</f>
        <v/>
      </c>
      <c r="Y554">
        <f>HYPERLINK("https://klasma.github.io/Logging_1737/tillsynsmail/A 33835-2023 tillsynsbegäran mail.docx", "A 33835-2023")</f>
        <v/>
      </c>
      <c r="Z554">
        <f>HYPERLINK("https://klasma.github.io/Logging_1737/fåglar/A 33835-2023 prioriterade fågelarter.docx", "A 33835-2023")</f>
        <v/>
      </c>
    </row>
    <row r="555" ht="15" customHeight="1">
      <c r="A555" t="inlineStr">
        <is>
          <t>A 35809-2023</t>
        </is>
      </c>
      <c r="B555" s="1" t="n">
        <v>45147</v>
      </c>
      <c r="C555" s="1" t="n">
        <v>45736</v>
      </c>
      <c r="D555" t="inlineStr">
        <is>
          <t>VÄRMLANDS LÄN</t>
        </is>
      </c>
      <c r="E555" t="inlineStr">
        <is>
          <t>TORSBY</t>
        </is>
      </c>
      <c r="F555" t="inlineStr">
        <is>
          <t>Övriga statliga verk och myndigheter</t>
        </is>
      </c>
      <c r="G555" t="n">
        <v>7.2</v>
      </c>
      <c r="H555" t="n">
        <v>1</v>
      </c>
      <c r="I555" t="n">
        <v>0</v>
      </c>
      <c r="J555" t="n">
        <v>0</v>
      </c>
      <c r="K555" t="n">
        <v>0</v>
      </c>
      <c r="L555" t="n">
        <v>0</v>
      </c>
      <c r="M555" t="n">
        <v>0</v>
      </c>
      <c r="N555" t="n">
        <v>0</v>
      </c>
      <c r="O555" t="n">
        <v>0</v>
      </c>
      <c r="P555" t="n">
        <v>0</v>
      </c>
      <c r="Q555" t="n">
        <v>1</v>
      </c>
      <c r="R555" s="2" t="inlineStr">
        <is>
          <t>Fläcknycklar</t>
        </is>
      </c>
      <c r="S555">
        <f>HYPERLINK("https://klasma.github.io/Logging_1737/artfynd/A 35809-2023 artfynd.xlsx", "A 35809-2023")</f>
        <v/>
      </c>
      <c r="T555">
        <f>HYPERLINK("https://klasma.github.io/Logging_1737/kartor/A 35809-2023 karta.png", "A 35809-2023")</f>
        <v/>
      </c>
      <c r="V555">
        <f>HYPERLINK("https://klasma.github.io/Logging_1737/klagomål/A 35809-2023 FSC-klagomål.docx", "A 35809-2023")</f>
        <v/>
      </c>
      <c r="W555">
        <f>HYPERLINK("https://klasma.github.io/Logging_1737/klagomålsmail/A 35809-2023 FSC-klagomål mail.docx", "A 35809-2023")</f>
        <v/>
      </c>
      <c r="X555">
        <f>HYPERLINK("https://klasma.github.io/Logging_1737/tillsyn/A 35809-2023 tillsynsbegäran.docx", "A 35809-2023")</f>
        <v/>
      </c>
      <c r="Y555">
        <f>HYPERLINK("https://klasma.github.io/Logging_1737/tillsynsmail/A 35809-2023 tillsynsbegäran mail.docx", "A 35809-2023")</f>
        <v/>
      </c>
    </row>
    <row r="556" ht="15" customHeight="1">
      <c r="A556" t="inlineStr">
        <is>
          <t>A 36666-2023</t>
        </is>
      </c>
      <c r="B556" s="1" t="n">
        <v>45153</v>
      </c>
      <c r="C556" s="1" t="n">
        <v>45736</v>
      </c>
      <c r="D556" t="inlineStr">
        <is>
          <t>VÄRMLANDS LÄN</t>
        </is>
      </c>
      <c r="E556" t="inlineStr">
        <is>
          <t>SUNNE</t>
        </is>
      </c>
      <c r="G556" t="n">
        <v>5.6</v>
      </c>
      <c r="H556" t="n">
        <v>0</v>
      </c>
      <c r="I556" t="n">
        <v>0</v>
      </c>
      <c r="J556" t="n">
        <v>1</v>
      </c>
      <c r="K556" t="n">
        <v>0</v>
      </c>
      <c r="L556" t="n">
        <v>0</v>
      </c>
      <c r="M556" t="n">
        <v>0</v>
      </c>
      <c r="N556" t="n">
        <v>0</v>
      </c>
      <c r="O556" t="n">
        <v>1</v>
      </c>
      <c r="P556" t="n">
        <v>0</v>
      </c>
      <c r="Q556" t="n">
        <v>1</v>
      </c>
      <c r="R556" s="2" t="inlineStr">
        <is>
          <t>Garnlav</t>
        </is>
      </c>
      <c r="S556">
        <f>HYPERLINK("https://klasma.github.io/Logging_1766/artfynd/A 36666-2023 artfynd.xlsx", "A 36666-2023")</f>
        <v/>
      </c>
      <c r="T556">
        <f>HYPERLINK("https://klasma.github.io/Logging_1766/kartor/A 36666-2023 karta.png", "A 36666-2023")</f>
        <v/>
      </c>
      <c r="V556">
        <f>HYPERLINK("https://klasma.github.io/Logging_1766/klagomål/A 36666-2023 FSC-klagomål.docx", "A 36666-2023")</f>
        <v/>
      </c>
      <c r="W556">
        <f>HYPERLINK("https://klasma.github.io/Logging_1766/klagomålsmail/A 36666-2023 FSC-klagomål mail.docx", "A 36666-2023")</f>
        <v/>
      </c>
      <c r="X556">
        <f>HYPERLINK("https://klasma.github.io/Logging_1766/tillsyn/A 36666-2023 tillsynsbegäran.docx", "A 36666-2023")</f>
        <v/>
      </c>
      <c r="Y556">
        <f>HYPERLINK("https://klasma.github.io/Logging_1766/tillsynsmail/A 36666-2023 tillsynsbegäran mail.docx", "A 36666-2023")</f>
        <v/>
      </c>
    </row>
    <row r="557" ht="15" customHeight="1">
      <c r="A557" t="inlineStr">
        <is>
          <t>A 37427-2023</t>
        </is>
      </c>
      <c r="B557" s="1" t="n">
        <v>45156</v>
      </c>
      <c r="C557" s="1" t="n">
        <v>45736</v>
      </c>
      <c r="D557" t="inlineStr">
        <is>
          <t>VÄRMLANDS LÄN</t>
        </is>
      </c>
      <c r="E557" t="inlineStr">
        <is>
          <t>FILIPSTAD</t>
        </is>
      </c>
      <c r="F557" t="inlineStr">
        <is>
          <t>Bergvik skog väst AB</t>
        </is>
      </c>
      <c r="G557" t="n">
        <v>2.7</v>
      </c>
      <c r="H557" t="n">
        <v>1</v>
      </c>
      <c r="I557" t="n">
        <v>1</v>
      </c>
      <c r="J557" t="n">
        <v>0</v>
      </c>
      <c r="K557" t="n">
        <v>0</v>
      </c>
      <c r="L557" t="n">
        <v>0</v>
      </c>
      <c r="M557" t="n">
        <v>0</v>
      </c>
      <c r="N557" t="n">
        <v>0</v>
      </c>
      <c r="O557" t="n">
        <v>0</v>
      </c>
      <c r="P557" t="n">
        <v>0</v>
      </c>
      <c r="Q557" t="n">
        <v>1</v>
      </c>
      <c r="R557" s="2" t="inlineStr">
        <is>
          <t>Purpurknipprot</t>
        </is>
      </c>
      <c r="S557">
        <f>HYPERLINK("https://klasma.github.io/Logging_1782/artfynd/A 37427-2023 artfynd.xlsx", "A 37427-2023")</f>
        <v/>
      </c>
      <c r="T557">
        <f>HYPERLINK("https://klasma.github.io/Logging_1782/kartor/A 37427-2023 karta.png", "A 37427-2023")</f>
        <v/>
      </c>
      <c r="V557">
        <f>HYPERLINK("https://klasma.github.io/Logging_1782/klagomål/A 37427-2023 FSC-klagomål.docx", "A 37427-2023")</f>
        <v/>
      </c>
      <c r="W557">
        <f>HYPERLINK("https://klasma.github.io/Logging_1782/klagomålsmail/A 37427-2023 FSC-klagomål mail.docx", "A 37427-2023")</f>
        <v/>
      </c>
      <c r="X557">
        <f>HYPERLINK("https://klasma.github.io/Logging_1782/tillsyn/A 37427-2023 tillsynsbegäran.docx", "A 37427-2023")</f>
        <v/>
      </c>
      <c r="Y557">
        <f>HYPERLINK("https://klasma.github.io/Logging_1782/tillsynsmail/A 37427-2023 tillsynsbegäran mail.docx", "A 37427-2023")</f>
        <v/>
      </c>
    </row>
    <row r="558" ht="15" customHeight="1">
      <c r="A558" t="inlineStr">
        <is>
          <t>A 39681-2023</t>
        </is>
      </c>
      <c r="B558" s="1" t="n">
        <v>45167</v>
      </c>
      <c r="C558" s="1" t="n">
        <v>45736</v>
      </c>
      <c r="D558" t="inlineStr">
        <is>
          <t>VÄRMLANDS LÄN</t>
        </is>
      </c>
      <c r="E558" t="inlineStr">
        <is>
          <t>TORSBY</t>
        </is>
      </c>
      <c r="G558" t="n">
        <v>5.2</v>
      </c>
      <c r="H558" t="n">
        <v>0</v>
      </c>
      <c r="I558" t="n">
        <v>0</v>
      </c>
      <c r="J558" t="n">
        <v>1</v>
      </c>
      <c r="K558" t="n">
        <v>0</v>
      </c>
      <c r="L558" t="n">
        <v>0</v>
      </c>
      <c r="M558" t="n">
        <v>0</v>
      </c>
      <c r="N558" t="n">
        <v>0</v>
      </c>
      <c r="O558" t="n">
        <v>1</v>
      </c>
      <c r="P558" t="n">
        <v>0</v>
      </c>
      <c r="Q558" t="n">
        <v>1</v>
      </c>
      <c r="R558" s="2" t="inlineStr">
        <is>
          <t>Garnlav</t>
        </is>
      </c>
      <c r="S558">
        <f>HYPERLINK("https://klasma.github.io/Logging_1737/artfynd/A 39681-2023 artfynd.xlsx", "A 39681-2023")</f>
        <v/>
      </c>
      <c r="T558">
        <f>HYPERLINK("https://klasma.github.io/Logging_1737/kartor/A 39681-2023 karta.png", "A 39681-2023")</f>
        <v/>
      </c>
      <c r="V558">
        <f>HYPERLINK("https://klasma.github.io/Logging_1737/klagomål/A 39681-2023 FSC-klagomål.docx", "A 39681-2023")</f>
        <v/>
      </c>
      <c r="W558">
        <f>HYPERLINK("https://klasma.github.io/Logging_1737/klagomålsmail/A 39681-2023 FSC-klagomål mail.docx", "A 39681-2023")</f>
        <v/>
      </c>
      <c r="X558">
        <f>HYPERLINK("https://klasma.github.io/Logging_1737/tillsyn/A 39681-2023 tillsynsbegäran.docx", "A 39681-2023")</f>
        <v/>
      </c>
      <c r="Y558">
        <f>HYPERLINK("https://klasma.github.io/Logging_1737/tillsynsmail/A 39681-2023 tillsynsbegäran mail.docx", "A 39681-2023")</f>
        <v/>
      </c>
    </row>
    <row r="559" ht="15" customHeight="1">
      <c r="A559" t="inlineStr">
        <is>
          <t>A 39983-2023</t>
        </is>
      </c>
      <c r="B559" s="1" t="n">
        <v>45168</v>
      </c>
      <c r="C559" s="1" t="n">
        <v>45736</v>
      </c>
      <c r="D559" t="inlineStr">
        <is>
          <t>VÄRMLANDS LÄN</t>
        </is>
      </c>
      <c r="E559" t="inlineStr">
        <is>
          <t>TORSBY</t>
        </is>
      </c>
      <c r="G559" t="n">
        <v>17.2</v>
      </c>
      <c r="H559" t="n">
        <v>1</v>
      </c>
      <c r="I559" t="n">
        <v>0</v>
      </c>
      <c r="J559" t="n">
        <v>1</v>
      </c>
      <c r="K559" t="n">
        <v>0</v>
      </c>
      <c r="L559" t="n">
        <v>0</v>
      </c>
      <c r="M559" t="n">
        <v>0</v>
      </c>
      <c r="N559" t="n">
        <v>0</v>
      </c>
      <c r="O559" t="n">
        <v>1</v>
      </c>
      <c r="P559" t="n">
        <v>0</v>
      </c>
      <c r="Q559" t="n">
        <v>1</v>
      </c>
      <c r="R559" s="2" t="inlineStr">
        <is>
          <t>Kråka</t>
        </is>
      </c>
      <c r="S559">
        <f>HYPERLINK("https://klasma.github.io/Logging_1737/artfynd/A 39983-2023 artfynd.xlsx", "A 39983-2023")</f>
        <v/>
      </c>
      <c r="T559">
        <f>HYPERLINK("https://klasma.github.io/Logging_1737/kartor/A 39983-2023 karta.png", "A 39983-2023")</f>
        <v/>
      </c>
      <c r="V559">
        <f>HYPERLINK("https://klasma.github.io/Logging_1737/klagomål/A 39983-2023 FSC-klagomål.docx", "A 39983-2023")</f>
        <v/>
      </c>
      <c r="W559">
        <f>HYPERLINK("https://klasma.github.io/Logging_1737/klagomålsmail/A 39983-2023 FSC-klagomål mail.docx", "A 39983-2023")</f>
        <v/>
      </c>
      <c r="X559">
        <f>HYPERLINK("https://klasma.github.io/Logging_1737/tillsyn/A 39983-2023 tillsynsbegäran.docx", "A 39983-2023")</f>
        <v/>
      </c>
      <c r="Y559">
        <f>HYPERLINK("https://klasma.github.io/Logging_1737/tillsynsmail/A 39983-2023 tillsynsbegäran mail.docx", "A 39983-2023")</f>
        <v/>
      </c>
      <c r="Z559">
        <f>HYPERLINK("https://klasma.github.io/Logging_1737/fåglar/A 39983-2023 prioriterade fågelarter.docx", "A 39983-2023")</f>
        <v/>
      </c>
    </row>
    <row r="560" ht="15" customHeight="1">
      <c r="A560" t="inlineStr">
        <is>
          <t>A 41484-2023</t>
        </is>
      </c>
      <c r="B560" s="1" t="n">
        <v>45175</v>
      </c>
      <c r="C560" s="1" t="n">
        <v>45736</v>
      </c>
      <c r="D560" t="inlineStr">
        <is>
          <t>VÄRMLANDS LÄN</t>
        </is>
      </c>
      <c r="E560" t="inlineStr">
        <is>
          <t>KARLSTAD</t>
        </is>
      </c>
      <c r="G560" t="n">
        <v>8.699999999999999</v>
      </c>
      <c r="H560" t="n">
        <v>1</v>
      </c>
      <c r="I560" t="n">
        <v>0</v>
      </c>
      <c r="J560" t="n">
        <v>1</v>
      </c>
      <c r="K560" t="n">
        <v>0</v>
      </c>
      <c r="L560" t="n">
        <v>0</v>
      </c>
      <c r="M560" t="n">
        <v>0</v>
      </c>
      <c r="N560" t="n">
        <v>0</v>
      </c>
      <c r="O560" t="n">
        <v>1</v>
      </c>
      <c r="P560" t="n">
        <v>0</v>
      </c>
      <c r="Q560" t="n">
        <v>1</v>
      </c>
      <c r="R560" s="2" t="inlineStr">
        <is>
          <t>Spillkråka</t>
        </is>
      </c>
      <c r="S560">
        <f>HYPERLINK("https://klasma.github.io/Logging_1780/artfynd/A 41484-2023 artfynd.xlsx", "A 41484-2023")</f>
        <v/>
      </c>
      <c r="T560">
        <f>HYPERLINK("https://klasma.github.io/Logging_1780/kartor/A 41484-2023 karta.png", "A 41484-2023")</f>
        <v/>
      </c>
      <c r="V560">
        <f>HYPERLINK("https://klasma.github.io/Logging_1780/klagomål/A 41484-2023 FSC-klagomål.docx", "A 41484-2023")</f>
        <v/>
      </c>
      <c r="W560">
        <f>HYPERLINK("https://klasma.github.io/Logging_1780/klagomålsmail/A 41484-2023 FSC-klagomål mail.docx", "A 41484-2023")</f>
        <v/>
      </c>
      <c r="X560">
        <f>HYPERLINK("https://klasma.github.io/Logging_1780/tillsyn/A 41484-2023 tillsynsbegäran.docx", "A 41484-2023")</f>
        <v/>
      </c>
      <c r="Y560">
        <f>HYPERLINK("https://klasma.github.io/Logging_1780/tillsynsmail/A 41484-2023 tillsynsbegäran mail.docx", "A 41484-2023")</f>
        <v/>
      </c>
      <c r="Z560">
        <f>HYPERLINK("https://klasma.github.io/Logging_1780/fåglar/A 41484-2023 prioriterade fågelarter.docx", "A 41484-2023")</f>
        <v/>
      </c>
    </row>
    <row r="561" ht="15" customHeight="1">
      <c r="A561" t="inlineStr">
        <is>
          <t>A 41526-2023</t>
        </is>
      </c>
      <c r="B561" s="1" t="n">
        <v>45175</v>
      </c>
      <c r="C561" s="1" t="n">
        <v>45736</v>
      </c>
      <c r="D561" t="inlineStr">
        <is>
          <t>VÄRMLANDS LÄN</t>
        </is>
      </c>
      <c r="E561" t="inlineStr">
        <is>
          <t>KIL</t>
        </is>
      </c>
      <c r="F561" t="inlineStr">
        <is>
          <t>Kyrkan</t>
        </is>
      </c>
      <c r="G561" t="n">
        <v>1.1</v>
      </c>
      <c r="H561" t="n">
        <v>1</v>
      </c>
      <c r="I561" t="n">
        <v>0</v>
      </c>
      <c r="J561" t="n">
        <v>0</v>
      </c>
      <c r="K561" t="n">
        <v>0</v>
      </c>
      <c r="L561" t="n">
        <v>0</v>
      </c>
      <c r="M561" t="n">
        <v>0</v>
      </c>
      <c r="N561" t="n">
        <v>0</v>
      </c>
      <c r="O561" t="n">
        <v>0</v>
      </c>
      <c r="P561" t="n">
        <v>0</v>
      </c>
      <c r="Q561" t="n">
        <v>1</v>
      </c>
      <c r="R561" s="2" t="inlineStr">
        <is>
          <t>Hökuggla</t>
        </is>
      </c>
      <c r="S561">
        <f>HYPERLINK("https://klasma.github.io/Logging_1715/artfynd/A 41526-2023 artfynd.xlsx", "A 41526-2023")</f>
        <v/>
      </c>
      <c r="T561">
        <f>HYPERLINK("https://klasma.github.io/Logging_1715/kartor/A 41526-2023 karta.png", "A 41526-2023")</f>
        <v/>
      </c>
      <c r="V561">
        <f>HYPERLINK("https://klasma.github.io/Logging_1715/klagomål/A 41526-2023 FSC-klagomål.docx", "A 41526-2023")</f>
        <v/>
      </c>
      <c r="W561">
        <f>HYPERLINK("https://klasma.github.io/Logging_1715/klagomålsmail/A 41526-2023 FSC-klagomål mail.docx", "A 41526-2023")</f>
        <v/>
      </c>
      <c r="X561">
        <f>HYPERLINK("https://klasma.github.io/Logging_1715/tillsyn/A 41526-2023 tillsynsbegäran.docx", "A 41526-2023")</f>
        <v/>
      </c>
      <c r="Y561">
        <f>HYPERLINK("https://klasma.github.io/Logging_1715/tillsynsmail/A 41526-2023 tillsynsbegäran mail.docx", "A 41526-2023")</f>
        <v/>
      </c>
      <c r="Z561">
        <f>HYPERLINK("https://klasma.github.io/Logging_1715/fåglar/A 41526-2023 prioriterade fågelarter.docx", "A 41526-2023")</f>
        <v/>
      </c>
    </row>
    <row r="562" ht="15" customHeight="1">
      <c r="A562" t="inlineStr">
        <is>
          <t>A 41803-2023</t>
        </is>
      </c>
      <c r="B562" s="1" t="n">
        <v>45176</v>
      </c>
      <c r="C562" s="1" t="n">
        <v>45736</v>
      </c>
      <c r="D562" t="inlineStr">
        <is>
          <t>VÄRMLANDS LÄN</t>
        </is>
      </c>
      <c r="E562" t="inlineStr">
        <is>
          <t>HAMMARÖ</t>
        </is>
      </c>
      <c r="F562" t="inlineStr">
        <is>
          <t>Övriga Aktiebolag</t>
        </is>
      </c>
      <c r="G562" t="n">
        <v>1.2</v>
      </c>
      <c r="H562" t="n">
        <v>1</v>
      </c>
      <c r="I562" t="n">
        <v>0</v>
      </c>
      <c r="J562" t="n">
        <v>1</v>
      </c>
      <c r="K562" t="n">
        <v>0</v>
      </c>
      <c r="L562" t="n">
        <v>0</v>
      </c>
      <c r="M562" t="n">
        <v>0</v>
      </c>
      <c r="N562" t="n">
        <v>0</v>
      </c>
      <c r="O562" t="n">
        <v>1</v>
      </c>
      <c r="P562" t="n">
        <v>0</v>
      </c>
      <c r="Q562" t="n">
        <v>1</v>
      </c>
      <c r="R562" s="2" t="inlineStr">
        <is>
          <t>Spillkråka</t>
        </is>
      </c>
      <c r="S562">
        <f>HYPERLINK("https://klasma.github.io/Logging_1761/artfynd/A 41803-2023 artfynd.xlsx", "A 41803-2023")</f>
        <v/>
      </c>
      <c r="T562">
        <f>HYPERLINK("https://klasma.github.io/Logging_1761/kartor/A 41803-2023 karta.png", "A 41803-2023")</f>
        <v/>
      </c>
      <c r="V562">
        <f>HYPERLINK("https://klasma.github.io/Logging_1761/klagomål/A 41803-2023 FSC-klagomål.docx", "A 41803-2023")</f>
        <v/>
      </c>
      <c r="W562">
        <f>HYPERLINK("https://klasma.github.io/Logging_1761/klagomålsmail/A 41803-2023 FSC-klagomål mail.docx", "A 41803-2023")</f>
        <v/>
      </c>
      <c r="X562">
        <f>HYPERLINK("https://klasma.github.io/Logging_1761/tillsyn/A 41803-2023 tillsynsbegäran.docx", "A 41803-2023")</f>
        <v/>
      </c>
      <c r="Y562">
        <f>HYPERLINK("https://klasma.github.io/Logging_1761/tillsynsmail/A 41803-2023 tillsynsbegäran mail.docx", "A 41803-2023")</f>
        <v/>
      </c>
      <c r="Z562">
        <f>HYPERLINK("https://klasma.github.io/Logging_1761/fåglar/A 41803-2023 prioriterade fågelarter.docx", "A 41803-2023")</f>
        <v/>
      </c>
    </row>
    <row r="563" ht="15" customHeight="1">
      <c r="A563" t="inlineStr">
        <is>
          <t>A 42303-2023</t>
        </is>
      </c>
      <c r="B563" s="1" t="n">
        <v>45180</v>
      </c>
      <c r="C563" s="1" t="n">
        <v>45736</v>
      </c>
      <c r="D563" t="inlineStr">
        <is>
          <t>VÄRMLANDS LÄN</t>
        </is>
      </c>
      <c r="E563" t="inlineStr">
        <is>
          <t>HAMMARÖ</t>
        </is>
      </c>
      <c r="G563" t="n">
        <v>2</v>
      </c>
      <c r="H563" t="n">
        <v>1</v>
      </c>
      <c r="I563" t="n">
        <v>0</v>
      </c>
      <c r="J563" t="n">
        <v>0</v>
      </c>
      <c r="K563" t="n">
        <v>0</v>
      </c>
      <c r="L563" t="n">
        <v>0</v>
      </c>
      <c r="M563" t="n">
        <v>0</v>
      </c>
      <c r="N563" t="n">
        <v>0</v>
      </c>
      <c r="O563" t="n">
        <v>0</v>
      </c>
      <c r="P563" t="n">
        <v>0</v>
      </c>
      <c r="Q563" t="n">
        <v>1</v>
      </c>
      <c r="R563" s="2" t="inlineStr">
        <is>
          <t>Mindre flugsnappare</t>
        </is>
      </c>
      <c r="S563">
        <f>HYPERLINK("https://klasma.github.io/Logging_1761/artfynd/A 42303-2023 artfynd.xlsx", "A 42303-2023")</f>
        <v/>
      </c>
      <c r="T563">
        <f>HYPERLINK("https://klasma.github.io/Logging_1761/kartor/A 42303-2023 karta.png", "A 42303-2023")</f>
        <v/>
      </c>
      <c r="V563">
        <f>HYPERLINK("https://klasma.github.io/Logging_1761/klagomål/A 42303-2023 FSC-klagomål.docx", "A 42303-2023")</f>
        <v/>
      </c>
      <c r="W563">
        <f>HYPERLINK("https://klasma.github.io/Logging_1761/klagomålsmail/A 42303-2023 FSC-klagomål mail.docx", "A 42303-2023")</f>
        <v/>
      </c>
      <c r="X563">
        <f>HYPERLINK("https://klasma.github.io/Logging_1761/tillsyn/A 42303-2023 tillsynsbegäran.docx", "A 42303-2023")</f>
        <v/>
      </c>
      <c r="Y563">
        <f>HYPERLINK("https://klasma.github.io/Logging_1761/tillsynsmail/A 42303-2023 tillsynsbegäran mail.docx", "A 42303-2023")</f>
        <v/>
      </c>
      <c r="Z563">
        <f>HYPERLINK("https://klasma.github.io/Logging_1761/fåglar/A 42303-2023 prioriterade fågelarter.docx", "A 42303-2023")</f>
        <v/>
      </c>
    </row>
    <row r="564" ht="15" customHeight="1">
      <c r="A564" t="inlineStr">
        <is>
          <t>A 42337-2023</t>
        </is>
      </c>
      <c r="B564" s="1" t="n">
        <v>45180</v>
      </c>
      <c r="C564" s="1" t="n">
        <v>45736</v>
      </c>
      <c r="D564" t="inlineStr">
        <is>
          <t>VÄRMLANDS LÄN</t>
        </is>
      </c>
      <c r="E564" t="inlineStr">
        <is>
          <t>HAMMARÖ</t>
        </is>
      </c>
      <c r="F564" t="inlineStr">
        <is>
          <t>Övriga Aktiebolag</t>
        </is>
      </c>
      <c r="G564" t="n">
        <v>9.6</v>
      </c>
      <c r="H564" t="n">
        <v>1</v>
      </c>
      <c r="I564" t="n">
        <v>0</v>
      </c>
      <c r="J564" t="n">
        <v>0</v>
      </c>
      <c r="K564" t="n">
        <v>0</v>
      </c>
      <c r="L564" t="n">
        <v>0</v>
      </c>
      <c r="M564" t="n">
        <v>0</v>
      </c>
      <c r="N564" t="n">
        <v>0</v>
      </c>
      <c r="O564" t="n">
        <v>0</v>
      </c>
      <c r="P564" t="n">
        <v>0</v>
      </c>
      <c r="Q564" t="n">
        <v>1</v>
      </c>
      <c r="R564" s="2" t="inlineStr">
        <is>
          <t>Mindre flugsnappare</t>
        </is>
      </c>
      <c r="S564">
        <f>HYPERLINK("https://klasma.github.io/Logging_1761/artfynd/A 42337-2023 artfynd.xlsx", "A 42337-2023")</f>
        <v/>
      </c>
      <c r="T564">
        <f>HYPERLINK("https://klasma.github.io/Logging_1761/kartor/A 42337-2023 karta.png", "A 42337-2023")</f>
        <v/>
      </c>
      <c r="V564">
        <f>HYPERLINK("https://klasma.github.io/Logging_1761/klagomål/A 42337-2023 FSC-klagomål.docx", "A 42337-2023")</f>
        <v/>
      </c>
      <c r="W564">
        <f>HYPERLINK("https://klasma.github.io/Logging_1761/klagomålsmail/A 42337-2023 FSC-klagomål mail.docx", "A 42337-2023")</f>
        <v/>
      </c>
      <c r="X564">
        <f>HYPERLINK("https://klasma.github.io/Logging_1761/tillsyn/A 42337-2023 tillsynsbegäran.docx", "A 42337-2023")</f>
        <v/>
      </c>
      <c r="Y564">
        <f>HYPERLINK("https://klasma.github.io/Logging_1761/tillsynsmail/A 42337-2023 tillsynsbegäran mail.docx", "A 42337-2023")</f>
        <v/>
      </c>
      <c r="Z564">
        <f>HYPERLINK("https://klasma.github.io/Logging_1761/fåglar/A 42337-2023 prioriterade fågelarter.docx", "A 42337-2023")</f>
        <v/>
      </c>
    </row>
    <row r="565" ht="15" customHeight="1">
      <c r="A565" t="inlineStr">
        <is>
          <t>A 43388-2023</t>
        </is>
      </c>
      <c r="B565" s="1" t="n">
        <v>45183</v>
      </c>
      <c r="C565" s="1" t="n">
        <v>45736</v>
      </c>
      <c r="D565" t="inlineStr">
        <is>
          <t>VÄRMLANDS LÄN</t>
        </is>
      </c>
      <c r="E565" t="inlineStr">
        <is>
          <t>ARVIKA</t>
        </is>
      </c>
      <c r="G565" t="n">
        <v>0.7</v>
      </c>
      <c r="H565" t="n">
        <v>1</v>
      </c>
      <c r="I565" t="n">
        <v>0</v>
      </c>
      <c r="J565" t="n">
        <v>0</v>
      </c>
      <c r="K565" t="n">
        <v>1</v>
      </c>
      <c r="L565" t="n">
        <v>0</v>
      </c>
      <c r="M565" t="n">
        <v>0</v>
      </c>
      <c r="N565" t="n">
        <v>0</v>
      </c>
      <c r="O565" t="n">
        <v>1</v>
      </c>
      <c r="P565" t="n">
        <v>1</v>
      </c>
      <c r="Q565" t="n">
        <v>1</v>
      </c>
      <c r="R565" s="2" t="inlineStr">
        <is>
          <t>Knärot</t>
        </is>
      </c>
      <c r="S565">
        <f>HYPERLINK("https://klasma.github.io/Logging_1784/artfynd/A 43388-2023 artfynd.xlsx", "A 43388-2023")</f>
        <v/>
      </c>
      <c r="T565">
        <f>HYPERLINK("https://klasma.github.io/Logging_1784/kartor/A 43388-2023 karta.png", "A 43388-2023")</f>
        <v/>
      </c>
      <c r="U565">
        <f>HYPERLINK("https://klasma.github.io/Logging_1784/knärot/A 43388-2023 karta knärot.png", "A 43388-2023")</f>
        <v/>
      </c>
      <c r="V565">
        <f>HYPERLINK("https://klasma.github.io/Logging_1784/klagomål/A 43388-2023 FSC-klagomål.docx", "A 43388-2023")</f>
        <v/>
      </c>
      <c r="W565">
        <f>HYPERLINK("https://klasma.github.io/Logging_1784/klagomålsmail/A 43388-2023 FSC-klagomål mail.docx", "A 43388-2023")</f>
        <v/>
      </c>
      <c r="X565">
        <f>HYPERLINK("https://klasma.github.io/Logging_1784/tillsyn/A 43388-2023 tillsynsbegäran.docx", "A 43388-2023")</f>
        <v/>
      </c>
      <c r="Y565">
        <f>HYPERLINK("https://klasma.github.io/Logging_1784/tillsynsmail/A 43388-2023 tillsynsbegäran mail.docx", "A 43388-2023")</f>
        <v/>
      </c>
    </row>
    <row r="566" ht="15" customHeight="1">
      <c r="A566" t="inlineStr">
        <is>
          <t>A 44095-2023</t>
        </is>
      </c>
      <c r="B566" s="1" t="n">
        <v>45188</v>
      </c>
      <c r="C566" s="1" t="n">
        <v>45736</v>
      </c>
      <c r="D566" t="inlineStr">
        <is>
          <t>VÄRMLANDS LÄN</t>
        </is>
      </c>
      <c r="E566" t="inlineStr">
        <is>
          <t>HAGFORS</t>
        </is>
      </c>
      <c r="G566" t="n">
        <v>3.6</v>
      </c>
      <c r="H566" t="n">
        <v>1</v>
      </c>
      <c r="I566" t="n">
        <v>0</v>
      </c>
      <c r="J566" t="n">
        <v>1</v>
      </c>
      <c r="K566" t="n">
        <v>0</v>
      </c>
      <c r="L566" t="n">
        <v>0</v>
      </c>
      <c r="M566" t="n">
        <v>0</v>
      </c>
      <c r="N566" t="n">
        <v>0</v>
      </c>
      <c r="O566" t="n">
        <v>1</v>
      </c>
      <c r="P566" t="n">
        <v>0</v>
      </c>
      <c r="Q566" t="n">
        <v>1</v>
      </c>
      <c r="R566" s="2" t="inlineStr">
        <is>
          <t>Utter</t>
        </is>
      </c>
      <c r="S566">
        <f>HYPERLINK("https://klasma.github.io/Logging_1783/artfynd/A 44095-2023 artfynd.xlsx", "A 44095-2023")</f>
        <v/>
      </c>
      <c r="T566">
        <f>HYPERLINK("https://klasma.github.io/Logging_1783/kartor/A 44095-2023 karta.png", "A 44095-2023")</f>
        <v/>
      </c>
      <c r="V566">
        <f>HYPERLINK("https://klasma.github.io/Logging_1783/klagomål/A 44095-2023 FSC-klagomål.docx", "A 44095-2023")</f>
        <v/>
      </c>
      <c r="W566">
        <f>HYPERLINK("https://klasma.github.io/Logging_1783/klagomålsmail/A 44095-2023 FSC-klagomål mail.docx", "A 44095-2023")</f>
        <v/>
      </c>
      <c r="X566">
        <f>HYPERLINK("https://klasma.github.io/Logging_1783/tillsyn/A 44095-2023 tillsynsbegäran.docx", "A 44095-2023")</f>
        <v/>
      </c>
      <c r="Y566">
        <f>HYPERLINK("https://klasma.github.io/Logging_1783/tillsynsmail/A 44095-2023 tillsynsbegäran mail.docx", "A 44095-2023")</f>
        <v/>
      </c>
    </row>
    <row r="567" ht="15" customHeight="1">
      <c r="A567" t="inlineStr">
        <is>
          <t>A 44111-2023</t>
        </is>
      </c>
      <c r="B567" s="1" t="n">
        <v>45188</v>
      </c>
      <c r="C567" s="1" t="n">
        <v>45736</v>
      </c>
      <c r="D567" t="inlineStr">
        <is>
          <t>VÄRMLANDS LÄN</t>
        </is>
      </c>
      <c r="E567" t="inlineStr">
        <is>
          <t>MUNKFORS</t>
        </is>
      </c>
      <c r="G567" t="n">
        <v>7</v>
      </c>
      <c r="H567" t="n">
        <v>0</v>
      </c>
      <c r="I567" t="n">
        <v>0</v>
      </c>
      <c r="J567" t="n">
        <v>1</v>
      </c>
      <c r="K567" t="n">
        <v>0</v>
      </c>
      <c r="L567" t="n">
        <v>0</v>
      </c>
      <c r="M567" t="n">
        <v>0</v>
      </c>
      <c r="N567" t="n">
        <v>0</v>
      </c>
      <c r="O567" t="n">
        <v>1</v>
      </c>
      <c r="P567" t="n">
        <v>0</v>
      </c>
      <c r="Q567" t="n">
        <v>1</v>
      </c>
      <c r="R567" s="2" t="inlineStr">
        <is>
          <t>Bågsäv</t>
        </is>
      </c>
      <c r="S567">
        <f>HYPERLINK("https://klasma.github.io/Logging_1762/artfynd/A 44111-2023 artfynd.xlsx", "A 44111-2023")</f>
        <v/>
      </c>
      <c r="T567">
        <f>HYPERLINK("https://klasma.github.io/Logging_1762/kartor/A 44111-2023 karta.png", "A 44111-2023")</f>
        <v/>
      </c>
      <c r="V567">
        <f>HYPERLINK("https://klasma.github.io/Logging_1762/klagomål/A 44111-2023 FSC-klagomål.docx", "A 44111-2023")</f>
        <v/>
      </c>
      <c r="W567">
        <f>HYPERLINK("https://klasma.github.io/Logging_1762/klagomålsmail/A 44111-2023 FSC-klagomål mail.docx", "A 44111-2023")</f>
        <v/>
      </c>
      <c r="X567">
        <f>HYPERLINK("https://klasma.github.io/Logging_1762/tillsyn/A 44111-2023 tillsynsbegäran.docx", "A 44111-2023")</f>
        <v/>
      </c>
      <c r="Y567">
        <f>HYPERLINK("https://klasma.github.io/Logging_1762/tillsynsmail/A 44111-2023 tillsynsbegäran mail.docx", "A 44111-2023")</f>
        <v/>
      </c>
    </row>
    <row r="568" ht="15" customHeight="1">
      <c r="A568" t="inlineStr">
        <is>
          <t>A 45484-2023</t>
        </is>
      </c>
      <c r="B568" s="1" t="n">
        <v>45188</v>
      </c>
      <c r="C568" s="1" t="n">
        <v>45736</v>
      </c>
      <c r="D568" t="inlineStr">
        <is>
          <t>VÄRMLANDS LÄN</t>
        </is>
      </c>
      <c r="E568" t="inlineStr">
        <is>
          <t>FORSHAGA</t>
        </is>
      </c>
      <c r="G568" t="n">
        <v>2.7</v>
      </c>
      <c r="H568" t="n">
        <v>0</v>
      </c>
      <c r="I568" t="n">
        <v>1</v>
      </c>
      <c r="J568" t="n">
        <v>0</v>
      </c>
      <c r="K568" t="n">
        <v>0</v>
      </c>
      <c r="L568" t="n">
        <v>0</v>
      </c>
      <c r="M568" t="n">
        <v>0</v>
      </c>
      <c r="N568" t="n">
        <v>0</v>
      </c>
      <c r="O568" t="n">
        <v>0</v>
      </c>
      <c r="P568" t="n">
        <v>0</v>
      </c>
      <c r="Q568" t="n">
        <v>1</v>
      </c>
      <c r="R568" s="2" t="inlineStr">
        <is>
          <t>Scharlakansvårskål agg.</t>
        </is>
      </c>
      <c r="S568">
        <f>HYPERLINK("https://klasma.github.io/Logging_1763/artfynd/A 45484-2023 artfynd.xlsx", "A 45484-2023")</f>
        <v/>
      </c>
      <c r="T568">
        <f>HYPERLINK("https://klasma.github.io/Logging_1763/kartor/A 45484-2023 karta.png", "A 45484-2023")</f>
        <v/>
      </c>
      <c r="V568">
        <f>HYPERLINK("https://klasma.github.io/Logging_1763/klagomål/A 45484-2023 FSC-klagomål.docx", "A 45484-2023")</f>
        <v/>
      </c>
      <c r="W568">
        <f>HYPERLINK("https://klasma.github.io/Logging_1763/klagomålsmail/A 45484-2023 FSC-klagomål mail.docx", "A 45484-2023")</f>
        <v/>
      </c>
      <c r="X568">
        <f>HYPERLINK("https://klasma.github.io/Logging_1763/tillsyn/A 45484-2023 tillsynsbegäran.docx", "A 45484-2023")</f>
        <v/>
      </c>
      <c r="Y568">
        <f>HYPERLINK("https://klasma.github.io/Logging_1763/tillsynsmail/A 45484-2023 tillsynsbegäran mail.docx", "A 45484-2023")</f>
        <v/>
      </c>
    </row>
    <row r="569" ht="15" customHeight="1">
      <c r="A569" t="inlineStr">
        <is>
          <t>A 44655-2023</t>
        </is>
      </c>
      <c r="B569" s="1" t="n">
        <v>45189</v>
      </c>
      <c r="C569" s="1" t="n">
        <v>45736</v>
      </c>
      <c r="D569" t="inlineStr">
        <is>
          <t>VÄRMLANDS LÄN</t>
        </is>
      </c>
      <c r="E569" t="inlineStr">
        <is>
          <t>GRUMS</t>
        </is>
      </c>
      <c r="G569" t="n">
        <v>3.7</v>
      </c>
      <c r="H569" t="n">
        <v>0</v>
      </c>
      <c r="I569" t="n">
        <v>1</v>
      </c>
      <c r="J569" t="n">
        <v>0</v>
      </c>
      <c r="K569" t="n">
        <v>0</v>
      </c>
      <c r="L569" t="n">
        <v>0</v>
      </c>
      <c r="M569" t="n">
        <v>0</v>
      </c>
      <c r="N569" t="n">
        <v>0</v>
      </c>
      <c r="O569" t="n">
        <v>0</v>
      </c>
      <c r="P569" t="n">
        <v>0</v>
      </c>
      <c r="Q569" t="n">
        <v>1</v>
      </c>
      <c r="R569" s="2" t="inlineStr">
        <is>
          <t>Spindelbock</t>
        </is>
      </c>
      <c r="S569">
        <f>HYPERLINK("https://klasma.github.io/Logging_1764/artfynd/A 44655-2023 artfynd.xlsx", "A 44655-2023")</f>
        <v/>
      </c>
      <c r="T569">
        <f>HYPERLINK("https://klasma.github.io/Logging_1764/kartor/A 44655-2023 karta.png", "A 44655-2023")</f>
        <v/>
      </c>
      <c r="V569">
        <f>HYPERLINK("https://klasma.github.io/Logging_1764/klagomål/A 44655-2023 FSC-klagomål.docx", "A 44655-2023")</f>
        <v/>
      </c>
      <c r="W569">
        <f>HYPERLINK("https://klasma.github.io/Logging_1764/klagomålsmail/A 44655-2023 FSC-klagomål mail.docx", "A 44655-2023")</f>
        <v/>
      </c>
      <c r="X569">
        <f>HYPERLINK("https://klasma.github.io/Logging_1764/tillsyn/A 44655-2023 tillsynsbegäran.docx", "A 44655-2023")</f>
        <v/>
      </c>
      <c r="Y569">
        <f>HYPERLINK("https://klasma.github.io/Logging_1764/tillsynsmail/A 44655-2023 tillsynsbegäran mail.docx", "A 44655-2023")</f>
        <v/>
      </c>
    </row>
    <row r="570" ht="15" customHeight="1">
      <c r="A570" t="inlineStr">
        <is>
          <t>A 46099-2023</t>
        </is>
      </c>
      <c r="B570" s="1" t="n">
        <v>45196</v>
      </c>
      <c r="C570" s="1" t="n">
        <v>45736</v>
      </c>
      <c r="D570" t="inlineStr">
        <is>
          <t>VÄRMLANDS LÄN</t>
        </is>
      </c>
      <c r="E570" t="inlineStr">
        <is>
          <t>TORSBY</t>
        </is>
      </c>
      <c r="G570" t="n">
        <v>8.4</v>
      </c>
      <c r="H570" t="n">
        <v>0</v>
      </c>
      <c r="I570" t="n">
        <v>0</v>
      </c>
      <c r="J570" t="n">
        <v>1</v>
      </c>
      <c r="K570" t="n">
        <v>0</v>
      </c>
      <c r="L570" t="n">
        <v>0</v>
      </c>
      <c r="M570" t="n">
        <v>0</v>
      </c>
      <c r="N570" t="n">
        <v>0</v>
      </c>
      <c r="O570" t="n">
        <v>1</v>
      </c>
      <c r="P570" t="n">
        <v>0</v>
      </c>
      <c r="Q570" t="n">
        <v>1</v>
      </c>
      <c r="R570" s="2" t="inlineStr">
        <is>
          <t>Gammelgransskål</t>
        </is>
      </c>
      <c r="S570">
        <f>HYPERLINK("https://klasma.github.io/Logging_1737/artfynd/A 46099-2023 artfynd.xlsx", "A 46099-2023")</f>
        <v/>
      </c>
      <c r="T570">
        <f>HYPERLINK("https://klasma.github.io/Logging_1737/kartor/A 46099-2023 karta.png", "A 46099-2023")</f>
        <v/>
      </c>
      <c r="V570">
        <f>HYPERLINK("https://klasma.github.io/Logging_1737/klagomål/A 46099-2023 FSC-klagomål.docx", "A 46099-2023")</f>
        <v/>
      </c>
      <c r="W570">
        <f>HYPERLINK("https://klasma.github.io/Logging_1737/klagomålsmail/A 46099-2023 FSC-klagomål mail.docx", "A 46099-2023")</f>
        <v/>
      </c>
      <c r="X570">
        <f>HYPERLINK("https://klasma.github.io/Logging_1737/tillsyn/A 46099-2023 tillsynsbegäran.docx", "A 46099-2023")</f>
        <v/>
      </c>
      <c r="Y570">
        <f>HYPERLINK("https://klasma.github.io/Logging_1737/tillsynsmail/A 46099-2023 tillsynsbegäran mail.docx", "A 46099-2023")</f>
        <v/>
      </c>
    </row>
    <row r="571" ht="15" customHeight="1">
      <c r="A571" t="inlineStr">
        <is>
          <t>A 47141-2023</t>
        </is>
      </c>
      <c r="B571" s="1" t="n">
        <v>45201</v>
      </c>
      <c r="C571" s="1" t="n">
        <v>45736</v>
      </c>
      <c r="D571" t="inlineStr">
        <is>
          <t>VÄRMLANDS LÄN</t>
        </is>
      </c>
      <c r="E571" t="inlineStr">
        <is>
          <t>ARVIKA</t>
        </is>
      </c>
      <c r="G571" t="n">
        <v>3.7</v>
      </c>
      <c r="H571" t="n">
        <v>1</v>
      </c>
      <c r="I571" t="n">
        <v>0</v>
      </c>
      <c r="J571" t="n">
        <v>0</v>
      </c>
      <c r="K571" t="n">
        <v>1</v>
      </c>
      <c r="L571" t="n">
        <v>0</v>
      </c>
      <c r="M571" t="n">
        <v>0</v>
      </c>
      <c r="N571" t="n">
        <v>0</v>
      </c>
      <c r="O571" t="n">
        <v>1</v>
      </c>
      <c r="P571" t="n">
        <v>1</v>
      </c>
      <c r="Q571" t="n">
        <v>1</v>
      </c>
      <c r="R571" s="2" t="inlineStr">
        <is>
          <t>Knärot</t>
        </is>
      </c>
      <c r="S571">
        <f>HYPERLINK("https://klasma.github.io/Logging_1784/artfynd/A 47141-2023 artfynd.xlsx", "A 47141-2023")</f>
        <v/>
      </c>
      <c r="T571">
        <f>HYPERLINK("https://klasma.github.io/Logging_1784/kartor/A 47141-2023 karta.png", "A 47141-2023")</f>
        <v/>
      </c>
      <c r="U571">
        <f>HYPERLINK("https://klasma.github.io/Logging_1784/knärot/A 47141-2023 karta knärot.png", "A 47141-2023")</f>
        <v/>
      </c>
      <c r="V571">
        <f>HYPERLINK("https://klasma.github.io/Logging_1784/klagomål/A 47141-2023 FSC-klagomål.docx", "A 47141-2023")</f>
        <v/>
      </c>
      <c r="W571">
        <f>HYPERLINK("https://klasma.github.io/Logging_1784/klagomålsmail/A 47141-2023 FSC-klagomål mail.docx", "A 47141-2023")</f>
        <v/>
      </c>
      <c r="X571">
        <f>HYPERLINK("https://klasma.github.io/Logging_1784/tillsyn/A 47141-2023 tillsynsbegäran.docx", "A 47141-2023")</f>
        <v/>
      </c>
      <c r="Y571">
        <f>HYPERLINK("https://klasma.github.io/Logging_1784/tillsynsmail/A 47141-2023 tillsynsbegäran mail.docx", "A 47141-2023")</f>
        <v/>
      </c>
    </row>
    <row r="572" ht="15" customHeight="1">
      <c r="A572" t="inlineStr">
        <is>
          <t>A 48464-2023</t>
        </is>
      </c>
      <c r="B572" s="1" t="n">
        <v>45206</v>
      </c>
      <c r="C572" s="1" t="n">
        <v>45736</v>
      </c>
      <c r="D572" t="inlineStr">
        <is>
          <t>VÄRMLANDS LÄN</t>
        </is>
      </c>
      <c r="E572" t="inlineStr">
        <is>
          <t>ARVIKA</t>
        </is>
      </c>
      <c r="G572" t="n">
        <v>7.9</v>
      </c>
      <c r="H572" t="n">
        <v>1</v>
      </c>
      <c r="I572" t="n">
        <v>0</v>
      </c>
      <c r="J572" t="n">
        <v>0</v>
      </c>
      <c r="K572" t="n">
        <v>1</v>
      </c>
      <c r="L572" t="n">
        <v>0</v>
      </c>
      <c r="M572" t="n">
        <v>0</v>
      </c>
      <c r="N572" t="n">
        <v>0</v>
      </c>
      <c r="O572" t="n">
        <v>1</v>
      </c>
      <c r="P572" t="n">
        <v>1</v>
      </c>
      <c r="Q572" t="n">
        <v>1</v>
      </c>
      <c r="R572" s="2" t="inlineStr">
        <is>
          <t>Knärot</t>
        </is>
      </c>
      <c r="S572">
        <f>HYPERLINK("https://klasma.github.io/Logging_1784/artfynd/A 48464-2023 artfynd.xlsx", "A 48464-2023")</f>
        <v/>
      </c>
      <c r="T572">
        <f>HYPERLINK("https://klasma.github.io/Logging_1784/kartor/A 48464-2023 karta.png", "A 48464-2023")</f>
        <v/>
      </c>
      <c r="U572">
        <f>HYPERLINK("https://klasma.github.io/Logging_1784/knärot/A 48464-2023 karta knärot.png", "A 48464-2023")</f>
        <v/>
      </c>
      <c r="V572">
        <f>HYPERLINK("https://klasma.github.io/Logging_1784/klagomål/A 48464-2023 FSC-klagomål.docx", "A 48464-2023")</f>
        <v/>
      </c>
      <c r="W572">
        <f>HYPERLINK("https://klasma.github.io/Logging_1784/klagomålsmail/A 48464-2023 FSC-klagomål mail.docx", "A 48464-2023")</f>
        <v/>
      </c>
      <c r="X572">
        <f>HYPERLINK("https://klasma.github.io/Logging_1784/tillsyn/A 48464-2023 tillsynsbegäran.docx", "A 48464-2023")</f>
        <v/>
      </c>
      <c r="Y572">
        <f>HYPERLINK("https://klasma.github.io/Logging_1784/tillsynsmail/A 48464-2023 tillsynsbegäran mail.docx", "A 48464-2023")</f>
        <v/>
      </c>
    </row>
    <row r="573" ht="15" customHeight="1">
      <c r="A573" t="inlineStr">
        <is>
          <t>A 49724-2023</t>
        </is>
      </c>
      <c r="B573" s="1" t="n">
        <v>45208</v>
      </c>
      <c r="C573" s="1" t="n">
        <v>45736</v>
      </c>
      <c r="D573" t="inlineStr">
        <is>
          <t>VÄRMLANDS LÄN</t>
        </is>
      </c>
      <c r="E573" t="inlineStr">
        <is>
          <t>TORSBY</t>
        </is>
      </c>
      <c r="G573" t="n">
        <v>2.6</v>
      </c>
      <c r="H573" t="n">
        <v>0</v>
      </c>
      <c r="I573" t="n">
        <v>0</v>
      </c>
      <c r="J573" t="n">
        <v>1</v>
      </c>
      <c r="K573" t="n">
        <v>0</v>
      </c>
      <c r="L573" t="n">
        <v>0</v>
      </c>
      <c r="M573" t="n">
        <v>0</v>
      </c>
      <c r="N573" t="n">
        <v>0</v>
      </c>
      <c r="O573" t="n">
        <v>1</v>
      </c>
      <c r="P573" t="n">
        <v>0</v>
      </c>
      <c r="Q573" t="n">
        <v>1</v>
      </c>
      <c r="R573" s="2" t="inlineStr">
        <is>
          <t>Garnlav</t>
        </is>
      </c>
      <c r="S573">
        <f>HYPERLINK("https://klasma.github.io/Logging_1737/artfynd/A 49724-2023 artfynd.xlsx", "A 49724-2023")</f>
        <v/>
      </c>
      <c r="T573">
        <f>HYPERLINK("https://klasma.github.io/Logging_1737/kartor/A 49724-2023 karta.png", "A 49724-2023")</f>
        <v/>
      </c>
      <c r="V573">
        <f>HYPERLINK("https://klasma.github.io/Logging_1737/klagomål/A 49724-2023 FSC-klagomål.docx", "A 49724-2023")</f>
        <v/>
      </c>
      <c r="W573">
        <f>HYPERLINK("https://klasma.github.io/Logging_1737/klagomålsmail/A 49724-2023 FSC-klagomål mail.docx", "A 49724-2023")</f>
        <v/>
      </c>
      <c r="X573">
        <f>HYPERLINK("https://klasma.github.io/Logging_1737/tillsyn/A 49724-2023 tillsynsbegäran.docx", "A 49724-2023")</f>
        <v/>
      </c>
      <c r="Y573">
        <f>HYPERLINK("https://klasma.github.io/Logging_1737/tillsynsmail/A 49724-2023 tillsynsbegäran mail.docx", "A 49724-2023")</f>
        <v/>
      </c>
    </row>
    <row r="574" ht="15" customHeight="1">
      <c r="A574" t="inlineStr">
        <is>
          <t>A 53276-2023</t>
        </is>
      </c>
      <c r="B574" s="1" t="n">
        <v>45229</v>
      </c>
      <c r="C574" s="1" t="n">
        <v>45736</v>
      </c>
      <c r="D574" t="inlineStr">
        <is>
          <t>VÄRMLANDS LÄN</t>
        </is>
      </c>
      <c r="E574" t="inlineStr">
        <is>
          <t>HAMMARÖ</t>
        </is>
      </c>
      <c r="F574" t="inlineStr">
        <is>
          <t>Övriga Aktiebolag</t>
        </is>
      </c>
      <c r="G574" t="n">
        <v>0.3</v>
      </c>
      <c r="H574" t="n">
        <v>1</v>
      </c>
      <c r="I574" t="n">
        <v>0</v>
      </c>
      <c r="J574" t="n">
        <v>0</v>
      </c>
      <c r="K574" t="n">
        <v>0</v>
      </c>
      <c r="L574" t="n">
        <v>0</v>
      </c>
      <c r="M574" t="n">
        <v>0</v>
      </c>
      <c r="N574" t="n">
        <v>0</v>
      </c>
      <c r="O574" t="n">
        <v>0</v>
      </c>
      <c r="P574" t="n">
        <v>0</v>
      </c>
      <c r="Q574" t="n">
        <v>1</v>
      </c>
      <c r="R574" s="2" t="inlineStr">
        <is>
          <t>Mindre flugsnappare</t>
        </is>
      </c>
      <c r="S574">
        <f>HYPERLINK("https://klasma.github.io/Logging_1761/artfynd/A 53276-2023 artfynd.xlsx", "A 53276-2023")</f>
        <v/>
      </c>
      <c r="T574">
        <f>HYPERLINK("https://klasma.github.io/Logging_1761/kartor/A 53276-2023 karta.png", "A 53276-2023")</f>
        <v/>
      </c>
      <c r="V574">
        <f>HYPERLINK("https://klasma.github.io/Logging_1761/klagomål/A 53276-2023 FSC-klagomål.docx", "A 53276-2023")</f>
        <v/>
      </c>
      <c r="W574">
        <f>HYPERLINK("https://klasma.github.io/Logging_1761/klagomålsmail/A 53276-2023 FSC-klagomål mail.docx", "A 53276-2023")</f>
        <v/>
      </c>
      <c r="X574">
        <f>HYPERLINK("https://klasma.github.io/Logging_1761/tillsyn/A 53276-2023 tillsynsbegäran.docx", "A 53276-2023")</f>
        <v/>
      </c>
      <c r="Y574">
        <f>HYPERLINK("https://klasma.github.io/Logging_1761/tillsynsmail/A 53276-2023 tillsynsbegäran mail.docx", "A 53276-2023")</f>
        <v/>
      </c>
      <c r="Z574">
        <f>HYPERLINK("https://klasma.github.io/Logging_1761/fåglar/A 53276-2023 prioriterade fågelarter.docx", "A 53276-2023")</f>
        <v/>
      </c>
    </row>
    <row r="575" ht="15" customHeight="1">
      <c r="A575" t="inlineStr">
        <is>
          <t>A 53630-2023</t>
        </is>
      </c>
      <c r="B575" s="1" t="n">
        <v>45230</v>
      </c>
      <c r="C575" s="1" t="n">
        <v>45736</v>
      </c>
      <c r="D575" t="inlineStr">
        <is>
          <t>VÄRMLANDS LÄN</t>
        </is>
      </c>
      <c r="E575" t="inlineStr">
        <is>
          <t>ARVIKA</t>
        </is>
      </c>
      <c r="G575" t="n">
        <v>3.2</v>
      </c>
      <c r="H575" t="n">
        <v>0</v>
      </c>
      <c r="I575" t="n">
        <v>0</v>
      </c>
      <c r="J575" t="n">
        <v>1</v>
      </c>
      <c r="K575" t="n">
        <v>0</v>
      </c>
      <c r="L575" t="n">
        <v>0</v>
      </c>
      <c r="M575" t="n">
        <v>0</v>
      </c>
      <c r="N575" t="n">
        <v>0</v>
      </c>
      <c r="O575" t="n">
        <v>1</v>
      </c>
      <c r="P575" t="n">
        <v>0</v>
      </c>
      <c r="Q575" t="n">
        <v>1</v>
      </c>
      <c r="R575" s="2" t="inlineStr">
        <is>
          <t>Lunglav</t>
        </is>
      </c>
      <c r="S575">
        <f>HYPERLINK("https://klasma.github.io/Logging_1784/artfynd/A 53630-2023 artfynd.xlsx", "A 53630-2023")</f>
        <v/>
      </c>
      <c r="T575">
        <f>HYPERLINK("https://klasma.github.io/Logging_1784/kartor/A 53630-2023 karta.png", "A 53630-2023")</f>
        <v/>
      </c>
      <c r="V575">
        <f>HYPERLINK("https://klasma.github.io/Logging_1784/klagomål/A 53630-2023 FSC-klagomål.docx", "A 53630-2023")</f>
        <v/>
      </c>
      <c r="W575">
        <f>HYPERLINK("https://klasma.github.io/Logging_1784/klagomålsmail/A 53630-2023 FSC-klagomål mail.docx", "A 53630-2023")</f>
        <v/>
      </c>
      <c r="X575">
        <f>HYPERLINK("https://klasma.github.io/Logging_1784/tillsyn/A 53630-2023 tillsynsbegäran.docx", "A 53630-2023")</f>
        <v/>
      </c>
      <c r="Y575">
        <f>HYPERLINK("https://klasma.github.io/Logging_1784/tillsynsmail/A 53630-2023 tillsynsbegäran mail.docx", "A 53630-2023")</f>
        <v/>
      </c>
    </row>
    <row r="576" ht="15" customHeight="1">
      <c r="A576" t="inlineStr">
        <is>
          <t>A 55068-2023</t>
        </is>
      </c>
      <c r="B576" s="1" t="n">
        <v>45237</v>
      </c>
      <c r="C576" s="1" t="n">
        <v>45736</v>
      </c>
      <c r="D576" t="inlineStr">
        <is>
          <t>VÄRMLANDS LÄN</t>
        </is>
      </c>
      <c r="E576" t="inlineStr">
        <is>
          <t>HAMMARÖ</t>
        </is>
      </c>
      <c r="F576" t="inlineStr">
        <is>
          <t>Kommuner</t>
        </is>
      </c>
      <c r="G576" t="n">
        <v>2.4</v>
      </c>
      <c r="H576" t="n">
        <v>0</v>
      </c>
      <c r="I576" t="n">
        <v>0</v>
      </c>
      <c r="J576" t="n">
        <v>1</v>
      </c>
      <c r="K576" t="n">
        <v>0</v>
      </c>
      <c r="L576" t="n">
        <v>0</v>
      </c>
      <c r="M576" t="n">
        <v>0</v>
      </c>
      <c r="N576" t="n">
        <v>0</v>
      </c>
      <c r="O576" t="n">
        <v>1</v>
      </c>
      <c r="P576" t="n">
        <v>0</v>
      </c>
      <c r="Q576" t="n">
        <v>1</v>
      </c>
      <c r="R576" s="2" t="inlineStr">
        <is>
          <t>Motaggsvamp</t>
        </is>
      </c>
      <c r="S576">
        <f>HYPERLINK("https://klasma.github.io/Logging_1761/artfynd/A 55068-2023 artfynd.xlsx", "A 55068-2023")</f>
        <v/>
      </c>
      <c r="T576">
        <f>HYPERLINK("https://klasma.github.io/Logging_1761/kartor/A 55068-2023 karta.png", "A 55068-2023")</f>
        <v/>
      </c>
      <c r="V576">
        <f>HYPERLINK("https://klasma.github.io/Logging_1761/klagomål/A 55068-2023 FSC-klagomål.docx", "A 55068-2023")</f>
        <v/>
      </c>
      <c r="W576">
        <f>HYPERLINK("https://klasma.github.io/Logging_1761/klagomålsmail/A 55068-2023 FSC-klagomål mail.docx", "A 55068-2023")</f>
        <v/>
      </c>
      <c r="X576">
        <f>HYPERLINK("https://klasma.github.io/Logging_1761/tillsyn/A 55068-2023 tillsynsbegäran.docx", "A 55068-2023")</f>
        <v/>
      </c>
      <c r="Y576">
        <f>HYPERLINK("https://klasma.github.io/Logging_1761/tillsynsmail/A 55068-2023 tillsynsbegäran mail.docx", "A 55068-2023")</f>
        <v/>
      </c>
    </row>
    <row r="577" ht="15" customHeight="1">
      <c r="A577" t="inlineStr">
        <is>
          <t>A 56489-2023</t>
        </is>
      </c>
      <c r="B577" s="1" t="n">
        <v>45237</v>
      </c>
      <c r="C577" s="1" t="n">
        <v>45736</v>
      </c>
      <c r="D577" t="inlineStr">
        <is>
          <t>VÄRMLANDS LÄN</t>
        </is>
      </c>
      <c r="E577" t="inlineStr">
        <is>
          <t>SÄFFLE</t>
        </is>
      </c>
      <c r="G577" t="n">
        <v>2.7</v>
      </c>
      <c r="H577" t="n">
        <v>1</v>
      </c>
      <c r="I577" t="n">
        <v>0</v>
      </c>
      <c r="J577" t="n">
        <v>1</v>
      </c>
      <c r="K577" t="n">
        <v>0</v>
      </c>
      <c r="L577" t="n">
        <v>0</v>
      </c>
      <c r="M577" t="n">
        <v>0</v>
      </c>
      <c r="N577" t="n">
        <v>0</v>
      </c>
      <c r="O577" t="n">
        <v>1</v>
      </c>
      <c r="P577" t="n">
        <v>0</v>
      </c>
      <c r="Q577" t="n">
        <v>1</v>
      </c>
      <c r="R577" s="2" t="inlineStr">
        <is>
          <t>Havsörn</t>
        </is>
      </c>
      <c r="S577">
        <f>HYPERLINK("https://klasma.github.io/Logging_1785/artfynd/A 56489-2023 artfynd.xlsx", "A 56489-2023")</f>
        <v/>
      </c>
      <c r="T577">
        <f>HYPERLINK("https://klasma.github.io/Logging_1785/kartor/A 56489-2023 karta.png", "A 56489-2023")</f>
        <v/>
      </c>
      <c r="V577">
        <f>HYPERLINK("https://klasma.github.io/Logging_1785/klagomål/A 56489-2023 FSC-klagomål.docx", "A 56489-2023")</f>
        <v/>
      </c>
      <c r="W577">
        <f>HYPERLINK("https://klasma.github.io/Logging_1785/klagomålsmail/A 56489-2023 FSC-klagomål mail.docx", "A 56489-2023")</f>
        <v/>
      </c>
      <c r="X577">
        <f>HYPERLINK("https://klasma.github.io/Logging_1785/tillsyn/A 56489-2023 tillsynsbegäran.docx", "A 56489-2023")</f>
        <v/>
      </c>
      <c r="Y577">
        <f>HYPERLINK("https://klasma.github.io/Logging_1785/tillsynsmail/A 56489-2023 tillsynsbegäran mail.docx", "A 56489-2023")</f>
        <v/>
      </c>
      <c r="Z577">
        <f>HYPERLINK("https://klasma.github.io/Logging_1785/fåglar/A 56489-2023 prioriterade fågelarter.docx", "A 56489-2023")</f>
        <v/>
      </c>
    </row>
    <row r="578" ht="15" customHeight="1">
      <c r="A578" t="inlineStr">
        <is>
          <t>A 56492-2023</t>
        </is>
      </c>
      <c r="B578" s="1" t="n">
        <v>45243</v>
      </c>
      <c r="C578" s="1" t="n">
        <v>45736</v>
      </c>
      <c r="D578" t="inlineStr">
        <is>
          <t>VÄRMLANDS LÄN</t>
        </is>
      </c>
      <c r="E578" t="inlineStr">
        <is>
          <t>EDA</t>
        </is>
      </c>
      <c r="G578" t="n">
        <v>3.5</v>
      </c>
      <c r="H578" t="n">
        <v>0</v>
      </c>
      <c r="I578" t="n">
        <v>0</v>
      </c>
      <c r="J578" t="n">
        <v>1</v>
      </c>
      <c r="K578" t="n">
        <v>0</v>
      </c>
      <c r="L578" t="n">
        <v>0</v>
      </c>
      <c r="M578" t="n">
        <v>0</v>
      </c>
      <c r="N578" t="n">
        <v>0</v>
      </c>
      <c r="O578" t="n">
        <v>1</v>
      </c>
      <c r="P578" t="n">
        <v>0</v>
      </c>
      <c r="Q578" t="n">
        <v>1</v>
      </c>
      <c r="R578" s="2" t="inlineStr">
        <is>
          <t>Vedtrappmossa</t>
        </is>
      </c>
      <c r="S578">
        <f>HYPERLINK("https://klasma.github.io/Logging_1730/artfynd/A 56492-2023 artfynd.xlsx", "A 56492-2023")</f>
        <v/>
      </c>
      <c r="T578">
        <f>HYPERLINK("https://klasma.github.io/Logging_1730/kartor/A 56492-2023 karta.png", "A 56492-2023")</f>
        <v/>
      </c>
      <c r="V578">
        <f>HYPERLINK("https://klasma.github.io/Logging_1730/klagomål/A 56492-2023 FSC-klagomål.docx", "A 56492-2023")</f>
        <v/>
      </c>
      <c r="W578">
        <f>HYPERLINK("https://klasma.github.io/Logging_1730/klagomålsmail/A 56492-2023 FSC-klagomål mail.docx", "A 56492-2023")</f>
        <v/>
      </c>
      <c r="X578">
        <f>HYPERLINK("https://klasma.github.io/Logging_1730/tillsyn/A 56492-2023 tillsynsbegäran.docx", "A 56492-2023")</f>
        <v/>
      </c>
      <c r="Y578">
        <f>HYPERLINK("https://klasma.github.io/Logging_1730/tillsynsmail/A 56492-2023 tillsynsbegäran mail.docx", "A 56492-2023")</f>
        <v/>
      </c>
    </row>
    <row r="579" ht="15" customHeight="1">
      <c r="A579" t="inlineStr">
        <is>
          <t>A 57523-2023</t>
        </is>
      </c>
      <c r="B579" s="1" t="n">
        <v>45246</v>
      </c>
      <c r="C579" s="1" t="n">
        <v>45736</v>
      </c>
      <c r="D579" t="inlineStr">
        <is>
          <t>VÄRMLANDS LÄN</t>
        </is>
      </c>
      <c r="E579" t="inlineStr">
        <is>
          <t>EDA</t>
        </is>
      </c>
      <c r="F579" t="inlineStr">
        <is>
          <t>Bergvik skog väst AB</t>
        </is>
      </c>
      <c r="G579" t="n">
        <v>12.6</v>
      </c>
      <c r="H579" t="n">
        <v>1</v>
      </c>
      <c r="I579" t="n">
        <v>0</v>
      </c>
      <c r="J579" t="n">
        <v>1</v>
      </c>
      <c r="K579" t="n">
        <v>0</v>
      </c>
      <c r="L579" t="n">
        <v>0</v>
      </c>
      <c r="M579" t="n">
        <v>0</v>
      </c>
      <c r="N579" t="n">
        <v>0</v>
      </c>
      <c r="O579" t="n">
        <v>1</v>
      </c>
      <c r="P579" t="n">
        <v>0</v>
      </c>
      <c r="Q579" t="n">
        <v>1</v>
      </c>
      <c r="R579" s="2" t="inlineStr">
        <is>
          <t>Talltita</t>
        </is>
      </c>
      <c r="S579">
        <f>HYPERLINK("https://klasma.github.io/Logging_1730/artfynd/A 57523-2023 artfynd.xlsx", "A 57523-2023")</f>
        <v/>
      </c>
      <c r="T579">
        <f>HYPERLINK("https://klasma.github.io/Logging_1730/kartor/A 57523-2023 karta.png", "A 57523-2023")</f>
        <v/>
      </c>
      <c r="V579">
        <f>HYPERLINK("https://klasma.github.io/Logging_1730/klagomål/A 57523-2023 FSC-klagomål.docx", "A 57523-2023")</f>
        <v/>
      </c>
      <c r="W579">
        <f>HYPERLINK("https://klasma.github.io/Logging_1730/klagomålsmail/A 57523-2023 FSC-klagomål mail.docx", "A 57523-2023")</f>
        <v/>
      </c>
      <c r="X579">
        <f>HYPERLINK("https://klasma.github.io/Logging_1730/tillsyn/A 57523-2023 tillsynsbegäran.docx", "A 57523-2023")</f>
        <v/>
      </c>
      <c r="Y579">
        <f>HYPERLINK("https://klasma.github.io/Logging_1730/tillsynsmail/A 57523-2023 tillsynsbegäran mail.docx", "A 57523-2023")</f>
        <v/>
      </c>
      <c r="Z579">
        <f>HYPERLINK("https://klasma.github.io/Logging_1730/fåglar/A 57523-2023 prioriterade fågelarter.docx", "A 57523-2023")</f>
        <v/>
      </c>
    </row>
    <row r="580" ht="15" customHeight="1">
      <c r="A580" t="inlineStr">
        <is>
          <t>A 57971-2023</t>
        </is>
      </c>
      <c r="B580" s="1" t="n">
        <v>45247</v>
      </c>
      <c r="C580" s="1" t="n">
        <v>45736</v>
      </c>
      <c r="D580" t="inlineStr">
        <is>
          <t>VÄRMLANDS LÄN</t>
        </is>
      </c>
      <c r="E580" t="inlineStr">
        <is>
          <t>TORSBY</t>
        </is>
      </c>
      <c r="G580" t="n">
        <v>12.4</v>
      </c>
      <c r="H580" t="n">
        <v>0</v>
      </c>
      <c r="I580" t="n">
        <v>0</v>
      </c>
      <c r="J580" t="n">
        <v>1</v>
      </c>
      <c r="K580" t="n">
        <v>0</v>
      </c>
      <c r="L580" t="n">
        <v>0</v>
      </c>
      <c r="M580" t="n">
        <v>0</v>
      </c>
      <c r="N580" t="n">
        <v>0</v>
      </c>
      <c r="O580" t="n">
        <v>1</v>
      </c>
      <c r="P580" t="n">
        <v>0</v>
      </c>
      <c r="Q580" t="n">
        <v>1</v>
      </c>
      <c r="R580" s="2" t="inlineStr">
        <is>
          <t>Garnlav</t>
        </is>
      </c>
      <c r="S580">
        <f>HYPERLINK("https://klasma.github.io/Logging_1737/artfynd/A 57971-2023 artfynd.xlsx", "A 57971-2023")</f>
        <v/>
      </c>
      <c r="T580">
        <f>HYPERLINK("https://klasma.github.io/Logging_1737/kartor/A 57971-2023 karta.png", "A 57971-2023")</f>
        <v/>
      </c>
      <c r="V580">
        <f>HYPERLINK("https://klasma.github.io/Logging_1737/klagomål/A 57971-2023 FSC-klagomål.docx", "A 57971-2023")</f>
        <v/>
      </c>
      <c r="W580">
        <f>HYPERLINK("https://klasma.github.io/Logging_1737/klagomålsmail/A 57971-2023 FSC-klagomål mail.docx", "A 57971-2023")</f>
        <v/>
      </c>
      <c r="X580">
        <f>HYPERLINK("https://klasma.github.io/Logging_1737/tillsyn/A 57971-2023 tillsynsbegäran.docx", "A 57971-2023")</f>
        <v/>
      </c>
      <c r="Y580">
        <f>HYPERLINK("https://klasma.github.io/Logging_1737/tillsynsmail/A 57971-2023 tillsynsbegäran mail.docx", "A 57971-2023")</f>
        <v/>
      </c>
    </row>
    <row r="581" ht="15" customHeight="1">
      <c r="A581" t="inlineStr">
        <is>
          <t>A 61004-2023</t>
        </is>
      </c>
      <c r="B581" s="1" t="n">
        <v>45261</v>
      </c>
      <c r="C581" s="1" t="n">
        <v>45736</v>
      </c>
      <c r="D581" t="inlineStr">
        <is>
          <t>VÄRMLANDS LÄN</t>
        </is>
      </c>
      <c r="E581" t="inlineStr">
        <is>
          <t>ARVIKA</t>
        </is>
      </c>
      <c r="G581" t="n">
        <v>3.6</v>
      </c>
      <c r="H581" t="n">
        <v>1</v>
      </c>
      <c r="I581" t="n">
        <v>0</v>
      </c>
      <c r="J581" t="n">
        <v>0</v>
      </c>
      <c r="K581" t="n">
        <v>1</v>
      </c>
      <c r="L581" t="n">
        <v>0</v>
      </c>
      <c r="M581" t="n">
        <v>0</v>
      </c>
      <c r="N581" t="n">
        <v>0</v>
      </c>
      <c r="O581" t="n">
        <v>1</v>
      </c>
      <c r="P581" t="n">
        <v>1</v>
      </c>
      <c r="Q581" t="n">
        <v>1</v>
      </c>
      <c r="R581" s="2" t="inlineStr">
        <is>
          <t>Knärot</t>
        </is>
      </c>
      <c r="S581">
        <f>HYPERLINK("https://klasma.github.io/Logging_1784/artfynd/A 61004-2023 artfynd.xlsx", "A 61004-2023")</f>
        <v/>
      </c>
      <c r="T581">
        <f>HYPERLINK("https://klasma.github.io/Logging_1784/kartor/A 61004-2023 karta.png", "A 61004-2023")</f>
        <v/>
      </c>
      <c r="U581">
        <f>HYPERLINK("https://klasma.github.io/Logging_1784/knärot/A 61004-2023 karta knärot.png", "A 61004-2023")</f>
        <v/>
      </c>
      <c r="V581">
        <f>HYPERLINK("https://klasma.github.io/Logging_1784/klagomål/A 61004-2023 FSC-klagomål.docx", "A 61004-2023")</f>
        <v/>
      </c>
      <c r="W581">
        <f>HYPERLINK("https://klasma.github.io/Logging_1784/klagomålsmail/A 61004-2023 FSC-klagomål mail.docx", "A 61004-2023")</f>
        <v/>
      </c>
      <c r="X581">
        <f>HYPERLINK("https://klasma.github.io/Logging_1784/tillsyn/A 61004-2023 tillsynsbegäran.docx", "A 61004-2023")</f>
        <v/>
      </c>
      <c r="Y581">
        <f>HYPERLINK("https://klasma.github.io/Logging_1784/tillsynsmail/A 61004-2023 tillsynsbegäran mail.docx", "A 61004-2023")</f>
        <v/>
      </c>
    </row>
    <row r="582" ht="15" customHeight="1">
      <c r="A582" t="inlineStr">
        <is>
          <t>A 61650-2023</t>
        </is>
      </c>
      <c r="B582" s="1" t="n">
        <v>45265</v>
      </c>
      <c r="C582" s="1" t="n">
        <v>45736</v>
      </c>
      <c r="D582" t="inlineStr">
        <is>
          <t>VÄRMLANDS LÄN</t>
        </is>
      </c>
      <c r="E582" t="inlineStr">
        <is>
          <t>KARLSTAD</t>
        </is>
      </c>
      <c r="G582" t="n">
        <v>4.4</v>
      </c>
      <c r="H582" t="n">
        <v>1</v>
      </c>
      <c r="I582" t="n">
        <v>0</v>
      </c>
      <c r="J582" t="n">
        <v>1</v>
      </c>
      <c r="K582" t="n">
        <v>0</v>
      </c>
      <c r="L582" t="n">
        <v>0</v>
      </c>
      <c r="M582" t="n">
        <v>0</v>
      </c>
      <c r="N582" t="n">
        <v>0</v>
      </c>
      <c r="O582" t="n">
        <v>1</v>
      </c>
      <c r="P582" t="n">
        <v>0</v>
      </c>
      <c r="Q582" t="n">
        <v>1</v>
      </c>
      <c r="R582" s="2" t="inlineStr">
        <is>
          <t>Spillkråka</t>
        </is>
      </c>
      <c r="S582">
        <f>HYPERLINK("https://klasma.github.io/Logging_1780/artfynd/A 61650-2023 artfynd.xlsx", "A 61650-2023")</f>
        <v/>
      </c>
      <c r="T582">
        <f>HYPERLINK("https://klasma.github.io/Logging_1780/kartor/A 61650-2023 karta.png", "A 61650-2023")</f>
        <v/>
      </c>
      <c r="V582">
        <f>HYPERLINK("https://klasma.github.io/Logging_1780/klagomål/A 61650-2023 FSC-klagomål.docx", "A 61650-2023")</f>
        <v/>
      </c>
      <c r="W582">
        <f>HYPERLINK("https://klasma.github.io/Logging_1780/klagomålsmail/A 61650-2023 FSC-klagomål mail.docx", "A 61650-2023")</f>
        <v/>
      </c>
      <c r="X582">
        <f>HYPERLINK("https://klasma.github.io/Logging_1780/tillsyn/A 61650-2023 tillsynsbegäran.docx", "A 61650-2023")</f>
        <v/>
      </c>
      <c r="Y582">
        <f>HYPERLINK("https://klasma.github.io/Logging_1780/tillsynsmail/A 61650-2023 tillsynsbegäran mail.docx", "A 61650-2023")</f>
        <v/>
      </c>
      <c r="Z582">
        <f>HYPERLINK("https://klasma.github.io/Logging_1780/fåglar/A 61650-2023 prioriterade fågelarter.docx", "A 61650-2023")</f>
        <v/>
      </c>
    </row>
    <row r="583" ht="15" customHeight="1">
      <c r="A583" t="inlineStr">
        <is>
          <t>A 61654-2023</t>
        </is>
      </c>
      <c r="B583" s="1" t="n">
        <v>45265</v>
      </c>
      <c r="C583" s="1" t="n">
        <v>45736</v>
      </c>
      <c r="D583" t="inlineStr">
        <is>
          <t>VÄRMLANDS LÄN</t>
        </is>
      </c>
      <c r="E583" t="inlineStr">
        <is>
          <t>KARLSTAD</t>
        </is>
      </c>
      <c r="G583" t="n">
        <v>0.7</v>
      </c>
      <c r="H583" t="n">
        <v>1</v>
      </c>
      <c r="I583" t="n">
        <v>0</v>
      </c>
      <c r="J583" t="n">
        <v>0</v>
      </c>
      <c r="K583" t="n">
        <v>0</v>
      </c>
      <c r="L583" t="n">
        <v>0</v>
      </c>
      <c r="M583" t="n">
        <v>0</v>
      </c>
      <c r="N583" t="n">
        <v>0</v>
      </c>
      <c r="O583" t="n">
        <v>0</v>
      </c>
      <c r="P583" t="n">
        <v>0</v>
      </c>
      <c r="Q583" t="n">
        <v>1</v>
      </c>
      <c r="R583" s="2" t="inlineStr">
        <is>
          <t>Gråkråka</t>
        </is>
      </c>
      <c r="S583">
        <f>HYPERLINK("https://klasma.github.io/Logging_1780/artfynd/A 61654-2023 artfynd.xlsx", "A 61654-2023")</f>
        <v/>
      </c>
      <c r="T583">
        <f>HYPERLINK("https://klasma.github.io/Logging_1780/kartor/A 61654-2023 karta.png", "A 61654-2023")</f>
        <v/>
      </c>
      <c r="V583">
        <f>HYPERLINK("https://klasma.github.io/Logging_1780/klagomål/A 61654-2023 FSC-klagomål.docx", "A 61654-2023")</f>
        <v/>
      </c>
      <c r="W583">
        <f>HYPERLINK("https://klasma.github.io/Logging_1780/klagomålsmail/A 61654-2023 FSC-klagomål mail.docx", "A 61654-2023")</f>
        <v/>
      </c>
      <c r="X583">
        <f>HYPERLINK("https://klasma.github.io/Logging_1780/tillsyn/A 61654-2023 tillsynsbegäran.docx", "A 61654-2023")</f>
        <v/>
      </c>
      <c r="Y583">
        <f>HYPERLINK("https://klasma.github.io/Logging_1780/tillsynsmail/A 61654-2023 tillsynsbegäran mail.docx", "A 61654-2023")</f>
        <v/>
      </c>
    </row>
    <row r="584" ht="15" customHeight="1">
      <c r="A584" t="inlineStr">
        <is>
          <t>A 61939-2023</t>
        </is>
      </c>
      <c r="B584" s="1" t="n">
        <v>45266</v>
      </c>
      <c r="C584" s="1" t="n">
        <v>45736</v>
      </c>
      <c r="D584" t="inlineStr">
        <is>
          <t>VÄRMLANDS LÄN</t>
        </is>
      </c>
      <c r="E584" t="inlineStr">
        <is>
          <t>FILIPSTAD</t>
        </is>
      </c>
      <c r="F584" t="inlineStr">
        <is>
          <t>Bergvik skog väst AB</t>
        </is>
      </c>
      <c r="G584" t="n">
        <v>3.5</v>
      </c>
      <c r="H584" t="n">
        <v>1</v>
      </c>
      <c r="I584" t="n">
        <v>0</v>
      </c>
      <c r="J584" t="n">
        <v>0</v>
      </c>
      <c r="K584" t="n">
        <v>0</v>
      </c>
      <c r="L584" t="n">
        <v>0</v>
      </c>
      <c r="M584" t="n">
        <v>0</v>
      </c>
      <c r="N584" t="n">
        <v>0</v>
      </c>
      <c r="O584" t="n">
        <v>0</v>
      </c>
      <c r="P584" t="n">
        <v>0</v>
      </c>
      <c r="Q584" t="n">
        <v>1</v>
      </c>
      <c r="R584" s="2" t="inlineStr">
        <is>
          <t>Nattviol</t>
        </is>
      </c>
      <c r="S584">
        <f>HYPERLINK("https://klasma.github.io/Logging_1782/artfynd/A 61939-2023 artfynd.xlsx", "A 61939-2023")</f>
        <v/>
      </c>
      <c r="T584">
        <f>HYPERLINK("https://klasma.github.io/Logging_1782/kartor/A 61939-2023 karta.png", "A 61939-2023")</f>
        <v/>
      </c>
      <c r="V584">
        <f>HYPERLINK("https://klasma.github.io/Logging_1782/klagomål/A 61939-2023 FSC-klagomål.docx", "A 61939-2023")</f>
        <v/>
      </c>
      <c r="W584">
        <f>HYPERLINK("https://klasma.github.io/Logging_1782/klagomålsmail/A 61939-2023 FSC-klagomål mail.docx", "A 61939-2023")</f>
        <v/>
      </c>
      <c r="X584">
        <f>HYPERLINK("https://klasma.github.io/Logging_1782/tillsyn/A 61939-2023 tillsynsbegäran.docx", "A 61939-2023")</f>
        <v/>
      </c>
      <c r="Y584">
        <f>HYPERLINK("https://klasma.github.io/Logging_1782/tillsynsmail/A 61939-2023 tillsynsbegäran mail.docx", "A 61939-2023")</f>
        <v/>
      </c>
    </row>
    <row r="585" ht="15" customHeight="1">
      <c r="A585" t="inlineStr">
        <is>
          <t>A 61911-2023</t>
        </is>
      </c>
      <c r="B585" s="1" t="n">
        <v>45266</v>
      </c>
      <c r="C585" s="1" t="n">
        <v>45736</v>
      </c>
      <c r="D585" t="inlineStr">
        <is>
          <t>VÄRMLANDS LÄN</t>
        </is>
      </c>
      <c r="E585" t="inlineStr">
        <is>
          <t>TORSBY</t>
        </is>
      </c>
      <c r="F585" t="inlineStr">
        <is>
          <t>Kommuner</t>
        </is>
      </c>
      <c r="G585" t="n">
        <v>9.1</v>
      </c>
      <c r="H585" t="n">
        <v>0</v>
      </c>
      <c r="I585" t="n">
        <v>0</v>
      </c>
      <c r="J585" t="n">
        <v>1</v>
      </c>
      <c r="K585" t="n">
        <v>0</v>
      </c>
      <c r="L585" t="n">
        <v>0</v>
      </c>
      <c r="M585" t="n">
        <v>0</v>
      </c>
      <c r="N585" t="n">
        <v>0</v>
      </c>
      <c r="O585" t="n">
        <v>1</v>
      </c>
      <c r="P585" t="n">
        <v>0</v>
      </c>
      <c r="Q585" t="n">
        <v>1</v>
      </c>
      <c r="R585" s="2" t="inlineStr">
        <is>
          <t>Dvärgbägarlav</t>
        </is>
      </c>
      <c r="S585">
        <f>HYPERLINK("https://klasma.github.io/Logging_1737/artfynd/A 61911-2023 artfynd.xlsx", "A 61911-2023")</f>
        <v/>
      </c>
      <c r="T585">
        <f>HYPERLINK("https://klasma.github.io/Logging_1737/kartor/A 61911-2023 karta.png", "A 61911-2023")</f>
        <v/>
      </c>
      <c r="V585">
        <f>HYPERLINK("https://klasma.github.io/Logging_1737/klagomål/A 61911-2023 FSC-klagomål.docx", "A 61911-2023")</f>
        <v/>
      </c>
      <c r="W585">
        <f>HYPERLINK("https://klasma.github.io/Logging_1737/klagomålsmail/A 61911-2023 FSC-klagomål mail.docx", "A 61911-2023")</f>
        <v/>
      </c>
      <c r="X585">
        <f>HYPERLINK("https://klasma.github.io/Logging_1737/tillsyn/A 61911-2023 tillsynsbegäran.docx", "A 61911-2023")</f>
        <v/>
      </c>
      <c r="Y585">
        <f>HYPERLINK("https://klasma.github.io/Logging_1737/tillsynsmail/A 61911-2023 tillsynsbegäran mail.docx", "A 61911-2023")</f>
        <v/>
      </c>
    </row>
    <row r="586" ht="15" customHeight="1">
      <c r="A586" t="inlineStr">
        <is>
          <t>A 500-2024</t>
        </is>
      </c>
      <c r="B586" s="1" t="n">
        <v>45299</v>
      </c>
      <c r="C586" s="1" t="n">
        <v>45736</v>
      </c>
      <c r="D586" t="inlineStr">
        <is>
          <t>VÄRMLANDS LÄN</t>
        </is>
      </c>
      <c r="E586" t="inlineStr">
        <is>
          <t>ÅRJÄNG</t>
        </is>
      </c>
      <c r="F586" t="inlineStr">
        <is>
          <t>Kyrkan</t>
        </is>
      </c>
      <c r="G586" t="n">
        <v>5.4</v>
      </c>
      <c r="H586" t="n">
        <v>0</v>
      </c>
      <c r="I586" t="n">
        <v>0</v>
      </c>
      <c r="J586" t="n">
        <v>1</v>
      </c>
      <c r="K586" t="n">
        <v>0</v>
      </c>
      <c r="L586" t="n">
        <v>0</v>
      </c>
      <c r="M586" t="n">
        <v>0</v>
      </c>
      <c r="N586" t="n">
        <v>0</v>
      </c>
      <c r="O586" t="n">
        <v>1</v>
      </c>
      <c r="P586" t="n">
        <v>0</v>
      </c>
      <c r="Q586" t="n">
        <v>1</v>
      </c>
      <c r="R586" s="2" t="inlineStr">
        <is>
          <t>Skogsklocka</t>
        </is>
      </c>
      <c r="S586">
        <f>HYPERLINK("https://klasma.github.io/Logging_1765/artfynd/A 500-2024 artfynd.xlsx", "A 500-2024")</f>
        <v/>
      </c>
      <c r="T586">
        <f>HYPERLINK("https://klasma.github.io/Logging_1765/kartor/A 500-2024 karta.png", "A 500-2024")</f>
        <v/>
      </c>
      <c r="V586">
        <f>HYPERLINK("https://klasma.github.io/Logging_1765/klagomål/A 500-2024 FSC-klagomål.docx", "A 500-2024")</f>
        <v/>
      </c>
      <c r="W586">
        <f>HYPERLINK("https://klasma.github.io/Logging_1765/klagomålsmail/A 500-2024 FSC-klagomål mail.docx", "A 500-2024")</f>
        <v/>
      </c>
      <c r="X586">
        <f>HYPERLINK("https://klasma.github.io/Logging_1765/tillsyn/A 500-2024 tillsynsbegäran.docx", "A 500-2024")</f>
        <v/>
      </c>
      <c r="Y586">
        <f>HYPERLINK("https://klasma.github.io/Logging_1765/tillsynsmail/A 500-2024 tillsynsbegäran mail.docx", "A 500-2024")</f>
        <v/>
      </c>
    </row>
    <row r="587" ht="15" customHeight="1">
      <c r="A587" t="inlineStr">
        <is>
          <t>A 538-2024</t>
        </is>
      </c>
      <c r="B587" s="1" t="n">
        <v>45299</v>
      </c>
      <c r="C587" s="1" t="n">
        <v>45736</v>
      </c>
      <c r="D587" t="inlineStr">
        <is>
          <t>VÄRMLANDS LÄN</t>
        </is>
      </c>
      <c r="E587" t="inlineStr">
        <is>
          <t>SUNNE</t>
        </is>
      </c>
      <c r="G587" t="n">
        <v>3.1</v>
      </c>
      <c r="H587" t="n">
        <v>0</v>
      </c>
      <c r="I587" t="n">
        <v>0</v>
      </c>
      <c r="J587" t="n">
        <v>1</v>
      </c>
      <c r="K587" t="n">
        <v>0</v>
      </c>
      <c r="L587" t="n">
        <v>0</v>
      </c>
      <c r="M587" t="n">
        <v>0</v>
      </c>
      <c r="N587" t="n">
        <v>0</v>
      </c>
      <c r="O587" t="n">
        <v>1</v>
      </c>
      <c r="P587" t="n">
        <v>0</v>
      </c>
      <c r="Q587" t="n">
        <v>1</v>
      </c>
      <c r="R587" s="2" t="inlineStr">
        <is>
          <t>Garnlav</t>
        </is>
      </c>
      <c r="S587">
        <f>HYPERLINK("https://klasma.github.io/Logging_1766/artfynd/A 538-2024 artfynd.xlsx", "A 538-2024")</f>
        <v/>
      </c>
      <c r="T587">
        <f>HYPERLINK("https://klasma.github.io/Logging_1766/kartor/A 538-2024 karta.png", "A 538-2024")</f>
        <v/>
      </c>
      <c r="V587">
        <f>HYPERLINK("https://klasma.github.io/Logging_1766/klagomål/A 538-2024 FSC-klagomål.docx", "A 538-2024")</f>
        <v/>
      </c>
      <c r="W587">
        <f>HYPERLINK("https://klasma.github.io/Logging_1766/klagomålsmail/A 538-2024 FSC-klagomål mail.docx", "A 538-2024")</f>
        <v/>
      </c>
      <c r="X587">
        <f>HYPERLINK("https://klasma.github.io/Logging_1766/tillsyn/A 538-2024 tillsynsbegäran.docx", "A 538-2024")</f>
        <v/>
      </c>
      <c r="Y587">
        <f>HYPERLINK("https://klasma.github.io/Logging_1766/tillsynsmail/A 538-2024 tillsynsbegäran mail.docx", "A 538-2024")</f>
        <v/>
      </c>
    </row>
    <row r="588" ht="15" customHeight="1">
      <c r="A588" t="inlineStr">
        <is>
          <t>A 1811-2024</t>
        </is>
      </c>
      <c r="B588" s="1" t="n">
        <v>45307</v>
      </c>
      <c r="C588" s="1" t="n">
        <v>45736</v>
      </c>
      <c r="D588" t="inlineStr">
        <is>
          <t>VÄRMLANDS LÄN</t>
        </is>
      </c>
      <c r="E588" t="inlineStr">
        <is>
          <t>TORSBY</t>
        </is>
      </c>
      <c r="G588" t="n">
        <v>12.1</v>
      </c>
      <c r="H588" t="n">
        <v>1</v>
      </c>
      <c r="I588" t="n">
        <v>0</v>
      </c>
      <c r="J588" t="n">
        <v>0</v>
      </c>
      <c r="K588" t="n">
        <v>0</v>
      </c>
      <c r="L588" t="n">
        <v>0</v>
      </c>
      <c r="M588" t="n">
        <v>0</v>
      </c>
      <c r="N588" t="n">
        <v>0</v>
      </c>
      <c r="O588" t="n">
        <v>0</v>
      </c>
      <c r="P588" t="n">
        <v>0</v>
      </c>
      <c r="Q588" t="n">
        <v>1</v>
      </c>
      <c r="R588" s="2" t="inlineStr">
        <is>
          <t>Revlummer</t>
        </is>
      </c>
      <c r="S588">
        <f>HYPERLINK("https://klasma.github.io/Logging_1737/artfynd/A 1811-2024 artfynd.xlsx", "A 1811-2024")</f>
        <v/>
      </c>
      <c r="T588">
        <f>HYPERLINK("https://klasma.github.io/Logging_1737/kartor/A 1811-2024 karta.png", "A 1811-2024")</f>
        <v/>
      </c>
      <c r="V588">
        <f>HYPERLINK("https://klasma.github.io/Logging_1737/klagomål/A 1811-2024 FSC-klagomål.docx", "A 1811-2024")</f>
        <v/>
      </c>
      <c r="W588">
        <f>HYPERLINK("https://klasma.github.io/Logging_1737/klagomålsmail/A 1811-2024 FSC-klagomål mail.docx", "A 1811-2024")</f>
        <v/>
      </c>
      <c r="X588">
        <f>HYPERLINK("https://klasma.github.io/Logging_1737/tillsyn/A 1811-2024 tillsynsbegäran.docx", "A 1811-2024")</f>
        <v/>
      </c>
      <c r="Y588">
        <f>HYPERLINK("https://klasma.github.io/Logging_1737/tillsynsmail/A 1811-2024 tillsynsbegäran mail.docx", "A 1811-2024")</f>
        <v/>
      </c>
    </row>
    <row r="589" ht="15" customHeight="1">
      <c r="A589" t="inlineStr">
        <is>
          <t>A 2039-2024</t>
        </is>
      </c>
      <c r="B589" s="1" t="n">
        <v>45308</v>
      </c>
      <c r="C589" s="1" t="n">
        <v>45736</v>
      </c>
      <c r="D589" t="inlineStr">
        <is>
          <t>VÄRMLANDS LÄN</t>
        </is>
      </c>
      <c r="E589" t="inlineStr">
        <is>
          <t>TORSBY</t>
        </is>
      </c>
      <c r="G589" t="n">
        <v>6.4</v>
      </c>
      <c r="H589" t="n">
        <v>1</v>
      </c>
      <c r="I589" t="n">
        <v>0</v>
      </c>
      <c r="J589" t="n">
        <v>1</v>
      </c>
      <c r="K589" t="n">
        <v>0</v>
      </c>
      <c r="L589" t="n">
        <v>0</v>
      </c>
      <c r="M589" t="n">
        <v>0</v>
      </c>
      <c r="N589" t="n">
        <v>0</v>
      </c>
      <c r="O589" t="n">
        <v>1</v>
      </c>
      <c r="P589" t="n">
        <v>0</v>
      </c>
      <c r="Q589" t="n">
        <v>1</v>
      </c>
      <c r="R589" s="2" t="inlineStr">
        <is>
          <t>Kungsörn</t>
        </is>
      </c>
      <c r="S589">
        <f>HYPERLINK("https://klasma.github.io/Logging_1737/artfynd/A 2039-2024 artfynd.xlsx", "A 2039-2024")</f>
        <v/>
      </c>
      <c r="T589">
        <f>HYPERLINK("https://klasma.github.io/Logging_1737/kartor/A 2039-2024 karta.png", "A 2039-2024")</f>
        <v/>
      </c>
      <c r="V589">
        <f>HYPERLINK("https://klasma.github.io/Logging_1737/klagomål/A 2039-2024 FSC-klagomål.docx", "A 2039-2024")</f>
        <v/>
      </c>
      <c r="W589">
        <f>HYPERLINK("https://klasma.github.io/Logging_1737/klagomålsmail/A 2039-2024 FSC-klagomål mail.docx", "A 2039-2024")</f>
        <v/>
      </c>
      <c r="X589">
        <f>HYPERLINK("https://klasma.github.io/Logging_1737/tillsyn/A 2039-2024 tillsynsbegäran.docx", "A 2039-2024")</f>
        <v/>
      </c>
      <c r="Y589">
        <f>HYPERLINK("https://klasma.github.io/Logging_1737/tillsynsmail/A 2039-2024 tillsynsbegäran mail.docx", "A 2039-2024")</f>
        <v/>
      </c>
      <c r="Z589">
        <f>HYPERLINK("https://klasma.github.io/Logging_1737/fåglar/A 2039-2024 prioriterade fågelarter.docx", "A 2039-2024")</f>
        <v/>
      </c>
    </row>
    <row r="590" ht="15" customHeight="1">
      <c r="A590" t="inlineStr">
        <is>
          <t>A 2383-2024</t>
        </is>
      </c>
      <c r="B590" s="1" t="n">
        <v>45310</v>
      </c>
      <c r="C590" s="1" t="n">
        <v>45736</v>
      </c>
      <c r="D590" t="inlineStr">
        <is>
          <t>VÄRMLANDS LÄN</t>
        </is>
      </c>
      <c r="E590" t="inlineStr">
        <is>
          <t>EDA</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HYPERLINK("https://klasma.github.io/Logging_1730/artfynd/A 2383-2024 artfynd.xlsx", "A 2383-2024")</f>
        <v/>
      </c>
      <c r="T590">
        <f>HYPERLINK("https://klasma.github.io/Logging_1730/kartor/A 2383-2024 karta.png", "A 2383-2024")</f>
        <v/>
      </c>
      <c r="U590">
        <f>HYPERLINK("https://klasma.github.io/Logging_1730/knärot/A 2383-2024 karta knärot.png", "A 2383-2024")</f>
        <v/>
      </c>
      <c r="V590">
        <f>HYPERLINK("https://klasma.github.io/Logging_1730/klagomål/A 2383-2024 FSC-klagomål.docx", "A 2383-2024")</f>
        <v/>
      </c>
      <c r="W590">
        <f>HYPERLINK("https://klasma.github.io/Logging_1730/klagomålsmail/A 2383-2024 FSC-klagomål mail.docx", "A 2383-2024")</f>
        <v/>
      </c>
      <c r="X590">
        <f>HYPERLINK("https://klasma.github.io/Logging_1730/tillsyn/A 2383-2024 tillsynsbegäran.docx", "A 2383-2024")</f>
        <v/>
      </c>
      <c r="Y590">
        <f>HYPERLINK("https://klasma.github.io/Logging_1730/tillsynsmail/A 2383-2024 tillsynsbegäran mail.docx", "A 2383-2024")</f>
        <v/>
      </c>
    </row>
    <row r="591" ht="15" customHeight="1">
      <c r="A591" t="inlineStr">
        <is>
          <t>A 4134-2024</t>
        </is>
      </c>
      <c r="B591" s="1" t="n">
        <v>45323</v>
      </c>
      <c r="C591" s="1" t="n">
        <v>45736</v>
      </c>
      <c r="D591" t="inlineStr">
        <is>
          <t>VÄRMLANDS LÄN</t>
        </is>
      </c>
      <c r="E591" t="inlineStr">
        <is>
          <t>SÄFFLE</t>
        </is>
      </c>
      <c r="G591" t="n">
        <v>4.1</v>
      </c>
      <c r="H591" t="n">
        <v>0</v>
      </c>
      <c r="I591" t="n">
        <v>0</v>
      </c>
      <c r="J591" t="n">
        <v>0</v>
      </c>
      <c r="K591" t="n">
        <v>0</v>
      </c>
      <c r="L591" t="n">
        <v>1</v>
      </c>
      <c r="M591" t="n">
        <v>0</v>
      </c>
      <c r="N591" t="n">
        <v>0</v>
      </c>
      <c r="O591" t="n">
        <v>1</v>
      </c>
      <c r="P591" t="n">
        <v>1</v>
      </c>
      <c r="Q591" t="n">
        <v>1</v>
      </c>
      <c r="R591" s="2" t="inlineStr">
        <is>
          <t>Ryl</t>
        </is>
      </c>
      <c r="S591">
        <f>HYPERLINK("https://klasma.github.io/Logging_1785/artfynd/A 4134-2024 artfynd.xlsx", "A 4134-2024")</f>
        <v/>
      </c>
      <c r="T591">
        <f>HYPERLINK("https://klasma.github.io/Logging_1785/kartor/A 4134-2024 karta.png", "A 4134-2024")</f>
        <v/>
      </c>
      <c r="V591">
        <f>HYPERLINK("https://klasma.github.io/Logging_1785/klagomål/A 4134-2024 FSC-klagomål.docx", "A 4134-2024")</f>
        <v/>
      </c>
      <c r="W591">
        <f>HYPERLINK("https://klasma.github.io/Logging_1785/klagomålsmail/A 4134-2024 FSC-klagomål mail.docx", "A 4134-2024")</f>
        <v/>
      </c>
      <c r="X591">
        <f>HYPERLINK("https://klasma.github.io/Logging_1785/tillsyn/A 4134-2024 tillsynsbegäran.docx", "A 4134-2024")</f>
        <v/>
      </c>
      <c r="Y591">
        <f>HYPERLINK("https://klasma.github.io/Logging_1785/tillsynsmail/A 4134-2024 tillsynsbegäran mail.docx", "A 4134-2024")</f>
        <v/>
      </c>
    </row>
    <row r="592" ht="15" customHeight="1">
      <c r="A592" t="inlineStr">
        <is>
          <t>A 4985-2024</t>
        </is>
      </c>
      <c r="B592" s="1" t="n">
        <v>45329</v>
      </c>
      <c r="C592" s="1" t="n">
        <v>45736</v>
      </c>
      <c r="D592" t="inlineStr">
        <is>
          <t>VÄRMLANDS LÄN</t>
        </is>
      </c>
      <c r="E592" t="inlineStr">
        <is>
          <t>TORSBY</t>
        </is>
      </c>
      <c r="G592" t="n">
        <v>4.9</v>
      </c>
      <c r="H592" t="n">
        <v>0</v>
      </c>
      <c r="I592" t="n">
        <v>0</v>
      </c>
      <c r="J592" t="n">
        <v>1</v>
      </c>
      <c r="K592" t="n">
        <v>0</v>
      </c>
      <c r="L592" t="n">
        <v>0</v>
      </c>
      <c r="M592" t="n">
        <v>0</v>
      </c>
      <c r="N592" t="n">
        <v>0</v>
      </c>
      <c r="O592" t="n">
        <v>1</v>
      </c>
      <c r="P592" t="n">
        <v>0</v>
      </c>
      <c r="Q592" t="n">
        <v>1</v>
      </c>
      <c r="R592" s="2" t="inlineStr">
        <is>
          <t>Garnlav</t>
        </is>
      </c>
      <c r="S592">
        <f>HYPERLINK("https://klasma.github.io/Logging_1737/artfynd/A 4985-2024 artfynd.xlsx", "A 4985-2024")</f>
        <v/>
      </c>
      <c r="T592">
        <f>HYPERLINK("https://klasma.github.io/Logging_1737/kartor/A 4985-2024 karta.png", "A 4985-2024")</f>
        <v/>
      </c>
      <c r="V592">
        <f>HYPERLINK("https://klasma.github.io/Logging_1737/klagomål/A 4985-2024 FSC-klagomål.docx", "A 4985-2024")</f>
        <v/>
      </c>
      <c r="W592">
        <f>HYPERLINK("https://klasma.github.io/Logging_1737/klagomålsmail/A 4985-2024 FSC-klagomål mail.docx", "A 4985-2024")</f>
        <v/>
      </c>
      <c r="X592">
        <f>HYPERLINK("https://klasma.github.io/Logging_1737/tillsyn/A 4985-2024 tillsynsbegäran.docx", "A 4985-2024")</f>
        <v/>
      </c>
      <c r="Y592">
        <f>HYPERLINK("https://klasma.github.io/Logging_1737/tillsynsmail/A 4985-2024 tillsynsbegäran mail.docx", "A 4985-2024")</f>
        <v/>
      </c>
    </row>
    <row r="593" ht="15" customHeight="1">
      <c r="A593" t="inlineStr">
        <is>
          <t>A 5806-2024</t>
        </is>
      </c>
      <c r="B593" s="1" t="n">
        <v>45335</v>
      </c>
      <c r="C593" s="1" t="n">
        <v>45736</v>
      </c>
      <c r="D593" t="inlineStr">
        <is>
          <t>VÄRMLANDS LÄN</t>
        </is>
      </c>
      <c r="E593" t="inlineStr">
        <is>
          <t>ÅRJÄNG</t>
        </is>
      </c>
      <c r="G593" t="n">
        <v>1.5</v>
      </c>
      <c r="H593" t="n">
        <v>1</v>
      </c>
      <c r="I593" t="n">
        <v>0</v>
      </c>
      <c r="J593" t="n">
        <v>0</v>
      </c>
      <c r="K593" t="n">
        <v>0</v>
      </c>
      <c r="L593" t="n">
        <v>0</v>
      </c>
      <c r="M593" t="n">
        <v>0</v>
      </c>
      <c r="N593" t="n">
        <v>0</v>
      </c>
      <c r="O593" t="n">
        <v>0</v>
      </c>
      <c r="P593" t="n">
        <v>0</v>
      </c>
      <c r="Q593" t="n">
        <v>1</v>
      </c>
      <c r="R593" s="2" t="inlineStr">
        <is>
          <t>Mattlummer</t>
        </is>
      </c>
      <c r="S593">
        <f>HYPERLINK("https://klasma.github.io/Logging_1765/artfynd/A 5806-2024 artfynd.xlsx", "A 5806-2024")</f>
        <v/>
      </c>
      <c r="T593">
        <f>HYPERLINK("https://klasma.github.io/Logging_1765/kartor/A 5806-2024 karta.png", "A 5806-2024")</f>
        <v/>
      </c>
      <c r="V593">
        <f>HYPERLINK("https://klasma.github.io/Logging_1765/klagomål/A 5806-2024 FSC-klagomål.docx", "A 5806-2024")</f>
        <v/>
      </c>
      <c r="W593">
        <f>HYPERLINK("https://klasma.github.io/Logging_1765/klagomålsmail/A 5806-2024 FSC-klagomål mail.docx", "A 5806-2024")</f>
        <v/>
      </c>
      <c r="X593">
        <f>HYPERLINK("https://klasma.github.io/Logging_1765/tillsyn/A 5806-2024 tillsynsbegäran.docx", "A 5806-2024")</f>
        <v/>
      </c>
      <c r="Y593">
        <f>HYPERLINK("https://klasma.github.io/Logging_1765/tillsynsmail/A 5806-2024 tillsynsbegäran mail.docx", "A 5806-2024")</f>
        <v/>
      </c>
    </row>
    <row r="594" ht="15" customHeight="1">
      <c r="A594" t="inlineStr">
        <is>
          <t>A 6132-2024</t>
        </is>
      </c>
      <c r="B594" s="1" t="n">
        <v>45337</v>
      </c>
      <c r="C594" s="1" t="n">
        <v>45736</v>
      </c>
      <c r="D594" t="inlineStr">
        <is>
          <t>VÄRMLANDS LÄN</t>
        </is>
      </c>
      <c r="E594" t="inlineStr">
        <is>
          <t>HAGFORS</t>
        </is>
      </c>
      <c r="G594" t="n">
        <v>3.6</v>
      </c>
      <c r="H594" t="n">
        <v>0</v>
      </c>
      <c r="I594" t="n">
        <v>1</v>
      </c>
      <c r="J594" t="n">
        <v>0</v>
      </c>
      <c r="K594" t="n">
        <v>0</v>
      </c>
      <c r="L594" t="n">
        <v>0</v>
      </c>
      <c r="M594" t="n">
        <v>0</v>
      </c>
      <c r="N594" t="n">
        <v>0</v>
      </c>
      <c r="O594" t="n">
        <v>0</v>
      </c>
      <c r="P594" t="n">
        <v>0</v>
      </c>
      <c r="Q594" t="n">
        <v>1</v>
      </c>
      <c r="R594" s="2" t="inlineStr">
        <is>
          <t>Mindre märgborre</t>
        </is>
      </c>
      <c r="S594">
        <f>HYPERLINK("https://klasma.github.io/Logging_1783/artfynd/A 6132-2024 artfynd.xlsx", "A 6132-2024")</f>
        <v/>
      </c>
      <c r="T594">
        <f>HYPERLINK("https://klasma.github.io/Logging_1783/kartor/A 6132-2024 karta.png", "A 6132-2024")</f>
        <v/>
      </c>
      <c r="V594">
        <f>HYPERLINK("https://klasma.github.io/Logging_1783/klagomål/A 6132-2024 FSC-klagomål.docx", "A 6132-2024")</f>
        <v/>
      </c>
      <c r="W594">
        <f>HYPERLINK("https://klasma.github.io/Logging_1783/klagomålsmail/A 6132-2024 FSC-klagomål mail.docx", "A 6132-2024")</f>
        <v/>
      </c>
      <c r="X594">
        <f>HYPERLINK("https://klasma.github.io/Logging_1783/tillsyn/A 6132-2024 tillsynsbegäran.docx", "A 6132-2024")</f>
        <v/>
      </c>
      <c r="Y594">
        <f>HYPERLINK("https://klasma.github.io/Logging_1783/tillsynsmail/A 6132-2024 tillsynsbegäran mail.docx", "A 6132-2024")</f>
        <v/>
      </c>
    </row>
    <row r="595" ht="15" customHeight="1">
      <c r="A595" t="inlineStr">
        <is>
          <t>A 6145-2024</t>
        </is>
      </c>
      <c r="B595" s="1" t="n">
        <v>45337</v>
      </c>
      <c r="C595" s="1" t="n">
        <v>45736</v>
      </c>
      <c r="D595" t="inlineStr">
        <is>
          <t>VÄRMLANDS LÄN</t>
        </is>
      </c>
      <c r="E595" t="inlineStr">
        <is>
          <t>FORSHAGA</t>
        </is>
      </c>
      <c r="G595" t="n">
        <v>0.9</v>
      </c>
      <c r="H595" t="n">
        <v>1</v>
      </c>
      <c r="I595" t="n">
        <v>0</v>
      </c>
      <c r="J595" t="n">
        <v>0</v>
      </c>
      <c r="K595" t="n">
        <v>0</v>
      </c>
      <c r="L595" t="n">
        <v>0</v>
      </c>
      <c r="M595" t="n">
        <v>0</v>
      </c>
      <c r="N595" t="n">
        <v>0</v>
      </c>
      <c r="O595" t="n">
        <v>0</v>
      </c>
      <c r="P595" t="n">
        <v>0</v>
      </c>
      <c r="Q595" t="n">
        <v>1</v>
      </c>
      <c r="R595" s="2" t="inlineStr">
        <is>
          <t>Trana</t>
        </is>
      </c>
      <c r="S595">
        <f>HYPERLINK("https://klasma.github.io/Logging_1763/artfynd/A 6145-2024 artfynd.xlsx", "A 6145-2024")</f>
        <v/>
      </c>
      <c r="T595">
        <f>HYPERLINK("https://klasma.github.io/Logging_1763/kartor/A 6145-2024 karta.png", "A 6145-2024")</f>
        <v/>
      </c>
      <c r="V595">
        <f>HYPERLINK("https://klasma.github.io/Logging_1763/klagomål/A 6145-2024 FSC-klagomål.docx", "A 6145-2024")</f>
        <v/>
      </c>
      <c r="W595">
        <f>HYPERLINK("https://klasma.github.io/Logging_1763/klagomålsmail/A 6145-2024 FSC-klagomål mail.docx", "A 6145-2024")</f>
        <v/>
      </c>
      <c r="X595">
        <f>HYPERLINK("https://klasma.github.io/Logging_1763/tillsyn/A 6145-2024 tillsynsbegäran.docx", "A 6145-2024")</f>
        <v/>
      </c>
      <c r="Y595">
        <f>HYPERLINK("https://klasma.github.io/Logging_1763/tillsynsmail/A 6145-2024 tillsynsbegäran mail.docx", "A 6145-2024")</f>
        <v/>
      </c>
      <c r="Z595">
        <f>HYPERLINK("https://klasma.github.io/Logging_1763/fåglar/A 6145-2024 prioriterade fågelarter.docx", "A 6145-2024")</f>
        <v/>
      </c>
    </row>
    <row r="596" ht="15" customHeight="1">
      <c r="A596" t="inlineStr">
        <is>
          <t>A 7447-2024</t>
        </is>
      </c>
      <c r="B596" s="1" t="n">
        <v>45345</v>
      </c>
      <c r="C596" s="1" t="n">
        <v>45736</v>
      </c>
      <c r="D596" t="inlineStr">
        <is>
          <t>VÄRMLANDS LÄN</t>
        </is>
      </c>
      <c r="E596" t="inlineStr">
        <is>
          <t>ÅRJÄNG</t>
        </is>
      </c>
      <c r="G596" t="n">
        <v>1.3</v>
      </c>
      <c r="H596" t="n">
        <v>1</v>
      </c>
      <c r="I596" t="n">
        <v>0</v>
      </c>
      <c r="J596" t="n">
        <v>0</v>
      </c>
      <c r="K596" t="n">
        <v>0</v>
      </c>
      <c r="L596" t="n">
        <v>0</v>
      </c>
      <c r="M596" t="n">
        <v>0</v>
      </c>
      <c r="N596" t="n">
        <v>0</v>
      </c>
      <c r="O596" t="n">
        <v>0</v>
      </c>
      <c r="P596" t="n">
        <v>0</v>
      </c>
      <c r="Q596" t="n">
        <v>1</v>
      </c>
      <c r="R596" s="2" t="inlineStr">
        <is>
          <t>Tjäder</t>
        </is>
      </c>
      <c r="S596">
        <f>HYPERLINK("https://klasma.github.io/Logging_1765/artfynd/A 7447-2024 artfynd.xlsx", "A 7447-2024")</f>
        <v/>
      </c>
      <c r="T596">
        <f>HYPERLINK("https://klasma.github.io/Logging_1765/kartor/A 7447-2024 karta.png", "A 7447-2024")</f>
        <v/>
      </c>
      <c r="V596">
        <f>HYPERLINK("https://klasma.github.io/Logging_1765/klagomål/A 7447-2024 FSC-klagomål.docx", "A 7447-2024")</f>
        <v/>
      </c>
      <c r="W596">
        <f>HYPERLINK("https://klasma.github.io/Logging_1765/klagomålsmail/A 7447-2024 FSC-klagomål mail.docx", "A 7447-2024")</f>
        <v/>
      </c>
      <c r="X596">
        <f>HYPERLINK("https://klasma.github.io/Logging_1765/tillsyn/A 7447-2024 tillsynsbegäran.docx", "A 7447-2024")</f>
        <v/>
      </c>
      <c r="Y596">
        <f>HYPERLINK("https://klasma.github.io/Logging_1765/tillsynsmail/A 7447-2024 tillsynsbegäran mail.docx", "A 7447-2024")</f>
        <v/>
      </c>
      <c r="Z596">
        <f>HYPERLINK("https://klasma.github.io/Logging_1765/fåglar/A 7447-2024 prioriterade fågelarter.docx", "A 7447-2024")</f>
        <v/>
      </c>
    </row>
    <row r="597" ht="15" customHeight="1">
      <c r="A597" t="inlineStr">
        <is>
          <t>A 8665-2024</t>
        </is>
      </c>
      <c r="B597" s="1" t="n">
        <v>45352</v>
      </c>
      <c r="C597" s="1" t="n">
        <v>45736</v>
      </c>
      <c r="D597" t="inlineStr">
        <is>
          <t>VÄRMLANDS LÄN</t>
        </is>
      </c>
      <c r="E597" t="inlineStr">
        <is>
          <t>GRUMS</t>
        </is>
      </c>
      <c r="F597" t="inlineStr">
        <is>
          <t>Bergvik skog väst AB</t>
        </is>
      </c>
      <c r="G597" t="n">
        <v>3</v>
      </c>
      <c r="H597" t="n">
        <v>0</v>
      </c>
      <c r="I597" t="n">
        <v>0</v>
      </c>
      <c r="J597" t="n">
        <v>1</v>
      </c>
      <c r="K597" t="n">
        <v>0</v>
      </c>
      <c r="L597" t="n">
        <v>0</v>
      </c>
      <c r="M597" t="n">
        <v>0</v>
      </c>
      <c r="N597" t="n">
        <v>0</v>
      </c>
      <c r="O597" t="n">
        <v>1</v>
      </c>
      <c r="P597" t="n">
        <v>0</v>
      </c>
      <c r="Q597" t="n">
        <v>1</v>
      </c>
      <c r="R597" s="2" t="inlineStr">
        <is>
          <t>Skogsklocka</t>
        </is>
      </c>
      <c r="S597">
        <f>HYPERLINK("https://klasma.github.io/Logging_1764/artfynd/A 8665-2024 artfynd.xlsx", "A 8665-2024")</f>
        <v/>
      </c>
      <c r="T597">
        <f>HYPERLINK("https://klasma.github.io/Logging_1764/kartor/A 8665-2024 karta.png", "A 8665-2024")</f>
        <v/>
      </c>
      <c r="V597">
        <f>HYPERLINK("https://klasma.github.io/Logging_1764/klagomål/A 8665-2024 FSC-klagomål.docx", "A 8665-2024")</f>
        <v/>
      </c>
      <c r="W597">
        <f>HYPERLINK("https://klasma.github.io/Logging_1764/klagomålsmail/A 8665-2024 FSC-klagomål mail.docx", "A 8665-2024")</f>
        <v/>
      </c>
      <c r="X597">
        <f>HYPERLINK("https://klasma.github.io/Logging_1764/tillsyn/A 8665-2024 tillsynsbegäran.docx", "A 8665-2024")</f>
        <v/>
      </c>
      <c r="Y597">
        <f>HYPERLINK("https://klasma.github.io/Logging_1764/tillsynsmail/A 8665-2024 tillsynsbegäran mail.docx", "A 8665-2024")</f>
        <v/>
      </c>
    </row>
    <row r="598" ht="15" customHeight="1">
      <c r="A598" t="inlineStr">
        <is>
          <t>A 8674-2024</t>
        </is>
      </c>
      <c r="B598" s="1" t="n">
        <v>45354</v>
      </c>
      <c r="C598" s="1" t="n">
        <v>45736</v>
      </c>
      <c r="D598" t="inlineStr">
        <is>
          <t>VÄRMLANDS LÄN</t>
        </is>
      </c>
      <c r="E598" t="inlineStr">
        <is>
          <t>KARLSTAD</t>
        </is>
      </c>
      <c r="G598" t="n">
        <v>0.7</v>
      </c>
      <c r="H598" t="n">
        <v>0</v>
      </c>
      <c r="I598" t="n">
        <v>1</v>
      </c>
      <c r="J598" t="n">
        <v>0</v>
      </c>
      <c r="K598" t="n">
        <v>0</v>
      </c>
      <c r="L598" t="n">
        <v>0</v>
      </c>
      <c r="M598" t="n">
        <v>0</v>
      </c>
      <c r="N598" t="n">
        <v>0</v>
      </c>
      <c r="O598" t="n">
        <v>0</v>
      </c>
      <c r="P598" t="n">
        <v>0</v>
      </c>
      <c r="Q598" t="n">
        <v>1</v>
      </c>
      <c r="R598" s="2" t="inlineStr">
        <is>
          <t>Källpraktmossa</t>
        </is>
      </c>
      <c r="S598">
        <f>HYPERLINK("https://klasma.github.io/Logging_1780/artfynd/A 8674-2024 artfynd.xlsx", "A 8674-2024")</f>
        <v/>
      </c>
      <c r="T598">
        <f>HYPERLINK("https://klasma.github.io/Logging_1780/kartor/A 8674-2024 karta.png", "A 8674-2024")</f>
        <v/>
      </c>
      <c r="V598">
        <f>HYPERLINK("https://klasma.github.io/Logging_1780/klagomål/A 8674-2024 FSC-klagomål.docx", "A 8674-2024")</f>
        <v/>
      </c>
      <c r="W598">
        <f>HYPERLINK("https://klasma.github.io/Logging_1780/klagomålsmail/A 8674-2024 FSC-klagomål mail.docx", "A 8674-2024")</f>
        <v/>
      </c>
      <c r="X598">
        <f>HYPERLINK("https://klasma.github.io/Logging_1780/tillsyn/A 8674-2024 tillsynsbegäran.docx", "A 8674-2024")</f>
        <v/>
      </c>
      <c r="Y598">
        <f>HYPERLINK("https://klasma.github.io/Logging_1780/tillsynsmail/A 8674-2024 tillsynsbegäran mail.docx", "A 8674-2024")</f>
        <v/>
      </c>
    </row>
    <row r="599" ht="15" customHeight="1">
      <c r="A599" t="inlineStr">
        <is>
          <t>A 8714-2024</t>
        </is>
      </c>
      <c r="B599" s="1" t="n">
        <v>45356</v>
      </c>
      <c r="C599" s="1" t="n">
        <v>45736</v>
      </c>
      <c r="D599" t="inlineStr">
        <is>
          <t>VÄRMLANDS LÄN</t>
        </is>
      </c>
      <c r="E599" t="inlineStr">
        <is>
          <t>KRISTINEHAMN</t>
        </is>
      </c>
      <c r="G599" t="n">
        <v>0.5</v>
      </c>
      <c r="H599" t="n">
        <v>1</v>
      </c>
      <c r="I599" t="n">
        <v>0</v>
      </c>
      <c r="J599" t="n">
        <v>0</v>
      </c>
      <c r="K599" t="n">
        <v>1</v>
      </c>
      <c r="L599" t="n">
        <v>0</v>
      </c>
      <c r="M599" t="n">
        <v>0</v>
      </c>
      <c r="N599" t="n">
        <v>0</v>
      </c>
      <c r="O599" t="n">
        <v>1</v>
      </c>
      <c r="P599" t="n">
        <v>1</v>
      </c>
      <c r="Q599" t="n">
        <v>1</v>
      </c>
      <c r="R599" s="2" t="inlineStr">
        <is>
          <t>Bombmurkla</t>
        </is>
      </c>
      <c r="S599">
        <f>HYPERLINK("https://klasma.github.io/Logging_1781/artfynd/A 8714-2024 artfynd.xlsx", "A 8714-2024")</f>
        <v/>
      </c>
      <c r="T599">
        <f>HYPERLINK("https://klasma.github.io/Logging_1781/kartor/A 8714-2024 karta.png", "A 8714-2024")</f>
        <v/>
      </c>
      <c r="V599">
        <f>HYPERLINK("https://klasma.github.io/Logging_1781/klagomål/A 8714-2024 FSC-klagomål.docx", "A 8714-2024")</f>
        <v/>
      </c>
      <c r="W599">
        <f>HYPERLINK("https://klasma.github.io/Logging_1781/klagomålsmail/A 8714-2024 FSC-klagomål mail.docx", "A 8714-2024")</f>
        <v/>
      </c>
      <c r="X599">
        <f>HYPERLINK("https://klasma.github.io/Logging_1781/tillsyn/A 8714-2024 tillsynsbegäran.docx", "A 8714-2024")</f>
        <v/>
      </c>
      <c r="Y599">
        <f>HYPERLINK("https://klasma.github.io/Logging_1781/tillsynsmail/A 8714-2024 tillsynsbegäran mail.docx", "A 8714-2024")</f>
        <v/>
      </c>
    </row>
    <row r="600" ht="15" customHeight="1">
      <c r="A600" t="inlineStr">
        <is>
          <t>A 9629-2024</t>
        </is>
      </c>
      <c r="B600" s="1" t="n">
        <v>45362</v>
      </c>
      <c r="C600" s="1" t="n">
        <v>45736</v>
      </c>
      <c r="D600" t="inlineStr">
        <is>
          <t>VÄRMLANDS LÄN</t>
        </is>
      </c>
      <c r="E600" t="inlineStr">
        <is>
          <t>ARVIKA</t>
        </is>
      </c>
      <c r="G600" t="n">
        <v>0.9</v>
      </c>
      <c r="H600" t="n">
        <v>1</v>
      </c>
      <c r="I600" t="n">
        <v>0</v>
      </c>
      <c r="J600" t="n">
        <v>1</v>
      </c>
      <c r="K600" t="n">
        <v>0</v>
      </c>
      <c r="L600" t="n">
        <v>0</v>
      </c>
      <c r="M600" t="n">
        <v>0</v>
      </c>
      <c r="N600" t="n">
        <v>0</v>
      </c>
      <c r="O600" t="n">
        <v>1</v>
      </c>
      <c r="P600" t="n">
        <v>0</v>
      </c>
      <c r="Q600" t="n">
        <v>1</v>
      </c>
      <c r="R600" s="2" t="inlineStr">
        <is>
          <t>Spillkråka</t>
        </is>
      </c>
      <c r="S600">
        <f>HYPERLINK("https://klasma.github.io/Logging_1784/artfynd/A 9629-2024 artfynd.xlsx", "A 9629-2024")</f>
        <v/>
      </c>
      <c r="T600">
        <f>HYPERLINK("https://klasma.github.io/Logging_1784/kartor/A 9629-2024 karta.png", "A 9629-2024")</f>
        <v/>
      </c>
      <c r="V600">
        <f>HYPERLINK("https://klasma.github.io/Logging_1784/klagomål/A 9629-2024 FSC-klagomål.docx", "A 9629-2024")</f>
        <v/>
      </c>
      <c r="W600">
        <f>HYPERLINK("https://klasma.github.io/Logging_1784/klagomålsmail/A 9629-2024 FSC-klagomål mail.docx", "A 9629-2024")</f>
        <v/>
      </c>
      <c r="X600">
        <f>HYPERLINK("https://klasma.github.io/Logging_1784/tillsyn/A 9629-2024 tillsynsbegäran.docx", "A 9629-2024")</f>
        <v/>
      </c>
      <c r="Y600">
        <f>HYPERLINK("https://klasma.github.io/Logging_1784/tillsynsmail/A 9629-2024 tillsynsbegäran mail.docx", "A 9629-2024")</f>
        <v/>
      </c>
      <c r="Z600">
        <f>HYPERLINK("https://klasma.github.io/Logging_1784/fåglar/A 9629-2024 prioriterade fågelarter.docx", "A 9629-2024")</f>
        <v/>
      </c>
    </row>
    <row r="601" ht="15" customHeight="1">
      <c r="A601" t="inlineStr">
        <is>
          <t>A 10093-2024</t>
        </is>
      </c>
      <c r="B601" s="1" t="n">
        <v>45364</v>
      </c>
      <c r="C601" s="1" t="n">
        <v>45736</v>
      </c>
      <c r="D601" t="inlineStr">
        <is>
          <t>VÄRMLANDS LÄN</t>
        </is>
      </c>
      <c r="E601" t="inlineStr">
        <is>
          <t>SUNNE</t>
        </is>
      </c>
      <c r="G601" t="n">
        <v>2.3</v>
      </c>
      <c r="H601" t="n">
        <v>0</v>
      </c>
      <c r="I601" t="n">
        <v>0</v>
      </c>
      <c r="J601" t="n">
        <v>1</v>
      </c>
      <c r="K601" t="n">
        <v>0</v>
      </c>
      <c r="L601" t="n">
        <v>0</v>
      </c>
      <c r="M601" t="n">
        <v>0</v>
      </c>
      <c r="N601" t="n">
        <v>0</v>
      </c>
      <c r="O601" t="n">
        <v>1</v>
      </c>
      <c r="P601" t="n">
        <v>0</v>
      </c>
      <c r="Q601" t="n">
        <v>1</v>
      </c>
      <c r="R601" s="2" t="inlineStr">
        <is>
          <t>Garnlav</t>
        </is>
      </c>
      <c r="S601">
        <f>HYPERLINK("https://klasma.github.io/Logging_1766/artfynd/A 10093-2024 artfynd.xlsx", "A 10093-2024")</f>
        <v/>
      </c>
      <c r="T601">
        <f>HYPERLINK("https://klasma.github.io/Logging_1766/kartor/A 10093-2024 karta.png", "A 10093-2024")</f>
        <v/>
      </c>
      <c r="V601">
        <f>HYPERLINK("https://klasma.github.io/Logging_1766/klagomål/A 10093-2024 FSC-klagomål.docx", "A 10093-2024")</f>
        <v/>
      </c>
      <c r="W601">
        <f>HYPERLINK("https://klasma.github.io/Logging_1766/klagomålsmail/A 10093-2024 FSC-klagomål mail.docx", "A 10093-2024")</f>
        <v/>
      </c>
      <c r="X601">
        <f>HYPERLINK("https://klasma.github.io/Logging_1766/tillsyn/A 10093-2024 tillsynsbegäran.docx", "A 10093-2024")</f>
        <v/>
      </c>
      <c r="Y601">
        <f>HYPERLINK("https://klasma.github.io/Logging_1766/tillsynsmail/A 10093-2024 tillsynsbegäran mail.docx", "A 10093-2024")</f>
        <v/>
      </c>
    </row>
    <row r="602" ht="15" customHeight="1">
      <c r="A602" t="inlineStr">
        <is>
          <t>A 10471-2024</t>
        </is>
      </c>
      <c r="B602" s="1" t="n">
        <v>45366</v>
      </c>
      <c r="C602" s="1" t="n">
        <v>45736</v>
      </c>
      <c r="D602" t="inlineStr">
        <is>
          <t>VÄRMLANDS LÄN</t>
        </is>
      </c>
      <c r="E602" t="inlineStr">
        <is>
          <t>KIL</t>
        </is>
      </c>
      <c r="G602" t="n">
        <v>4.1</v>
      </c>
      <c r="H602" t="n">
        <v>0</v>
      </c>
      <c r="I602" t="n">
        <v>0</v>
      </c>
      <c r="J602" t="n">
        <v>1</v>
      </c>
      <c r="K602" t="n">
        <v>0</v>
      </c>
      <c r="L602" t="n">
        <v>0</v>
      </c>
      <c r="M602" t="n">
        <v>0</v>
      </c>
      <c r="N602" t="n">
        <v>0</v>
      </c>
      <c r="O602" t="n">
        <v>1</v>
      </c>
      <c r="P602" t="n">
        <v>0</v>
      </c>
      <c r="Q602" t="n">
        <v>1</v>
      </c>
      <c r="R602" s="2" t="inlineStr">
        <is>
          <t>Vedskivlav</t>
        </is>
      </c>
      <c r="S602">
        <f>HYPERLINK("https://klasma.github.io/Logging_1715/artfynd/A 10471-2024 artfynd.xlsx", "A 10471-2024")</f>
        <v/>
      </c>
      <c r="T602">
        <f>HYPERLINK("https://klasma.github.io/Logging_1715/kartor/A 10471-2024 karta.png", "A 10471-2024")</f>
        <v/>
      </c>
      <c r="V602">
        <f>HYPERLINK("https://klasma.github.io/Logging_1715/klagomål/A 10471-2024 FSC-klagomål.docx", "A 10471-2024")</f>
        <v/>
      </c>
      <c r="W602">
        <f>HYPERLINK("https://klasma.github.io/Logging_1715/klagomålsmail/A 10471-2024 FSC-klagomål mail.docx", "A 10471-2024")</f>
        <v/>
      </c>
      <c r="X602">
        <f>HYPERLINK("https://klasma.github.io/Logging_1715/tillsyn/A 10471-2024 tillsynsbegäran.docx", "A 10471-2024")</f>
        <v/>
      </c>
      <c r="Y602">
        <f>HYPERLINK("https://klasma.github.io/Logging_1715/tillsynsmail/A 10471-2024 tillsynsbegäran mail.docx", "A 10471-2024")</f>
        <v/>
      </c>
    </row>
    <row r="603" ht="15" customHeight="1">
      <c r="A603" t="inlineStr">
        <is>
          <t>A 10554-2024</t>
        </is>
      </c>
      <c r="B603" s="1" t="n">
        <v>45366</v>
      </c>
      <c r="C603" s="1" t="n">
        <v>45736</v>
      </c>
      <c r="D603" t="inlineStr">
        <is>
          <t>VÄRMLANDS LÄN</t>
        </is>
      </c>
      <c r="E603" t="inlineStr">
        <is>
          <t>ÅRJÄNG</t>
        </is>
      </c>
      <c r="G603" t="n">
        <v>7.4</v>
      </c>
      <c r="H603" t="n">
        <v>0</v>
      </c>
      <c r="I603" t="n">
        <v>0</v>
      </c>
      <c r="J603" t="n">
        <v>1</v>
      </c>
      <c r="K603" t="n">
        <v>0</v>
      </c>
      <c r="L603" t="n">
        <v>0</v>
      </c>
      <c r="M603" t="n">
        <v>0</v>
      </c>
      <c r="N603" t="n">
        <v>0</v>
      </c>
      <c r="O603" t="n">
        <v>1</v>
      </c>
      <c r="P603" t="n">
        <v>0</v>
      </c>
      <c r="Q603" t="n">
        <v>1</v>
      </c>
      <c r="R603" s="2" t="inlineStr">
        <is>
          <t>Skogsklocka</t>
        </is>
      </c>
      <c r="S603">
        <f>HYPERLINK("https://klasma.github.io/Logging_1765/artfynd/A 10554-2024 artfynd.xlsx", "A 10554-2024")</f>
        <v/>
      </c>
      <c r="T603">
        <f>HYPERLINK("https://klasma.github.io/Logging_1765/kartor/A 10554-2024 karta.png", "A 10554-2024")</f>
        <v/>
      </c>
      <c r="V603">
        <f>HYPERLINK("https://klasma.github.io/Logging_1765/klagomål/A 10554-2024 FSC-klagomål.docx", "A 10554-2024")</f>
        <v/>
      </c>
      <c r="W603">
        <f>HYPERLINK("https://klasma.github.io/Logging_1765/klagomålsmail/A 10554-2024 FSC-klagomål mail.docx", "A 10554-2024")</f>
        <v/>
      </c>
      <c r="X603">
        <f>HYPERLINK("https://klasma.github.io/Logging_1765/tillsyn/A 10554-2024 tillsynsbegäran.docx", "A 10554-2024")</f>
        <v/>
      </c>
      <c r="Y603">
        <f>HYPERLINK("https://klasma.github.io/Logging_1765/tillsynsmail/A 10554-2024 tillsynsbegäran mail.docx", "A 10554-2024")</f>
        <v/>
      </c>
    </row>
    <row r="604" ht="15" customHeight="1">
      <c r="A604" t="inlineStr">
        <is>
          <t>A 10812-2024</t>
        </is>
      </c>
      <c r="B604" s="1" t="n">
        <v>45369</v>
      </c>
      <c r="C604" s="1" t="n">
        <v>45736</v>
      </c>
      <c r="D604" t="inlineStr">
        <is>
          <t>VÄRMLANDS LÄN</t>
        </is>
      </c>
      <c r="E604" t="inlineStr">
        <is>
          <t>FILIPSTAD</t>
        </is>
      </c>
      <c r="G604" t="n">
        <v>2.2</v>
      </c>
      <c r="H604" t="n">
        <v>1</v>
      </c>
      <c r="I604" t="n">
        <v>0</v>
      </c>
      <c r="J604" t="n">
        <v>0</v>
      </c>
      <c r="K604" t="n">
        <v>0</v>
      </c>
      <c r="L604" t="n">
        <v>0</v>
      </c>
      <c r="M604" t="n">
        <v>0</v>
      </c>
      <c r="N604" t="n">
        <v>0</v>
      </c>
      <c r="O604" t="n">
        <v>0</v>
      </c>
      <c r="P604" t="n">
        <v>0</v>
      </c>
      <c r="Q604" t="n">
        <v>1</v>
      </c>
      <c r="R604" s="2" t="inlineStr">
        <is>
          <t>Vanlig snok</t>
        </is>
      </c>
      <c r="S604">
        <f>HYPERLINK("https://klasma.github.io/Logging_1782/artfynd/A 10812-2024 artfynd.xlsx", "A 10812-2024")</f>
        <v/>
      </c>
      <c r="T604">
        <f>HYPERLINK("https://klasma.github.io/Logging_1782/kartor/A 10812-2024 karta.png", "A 10812-2024")</f>
        <v/>
      </c>
      <c r="V604">
        <f>HYPERLINK("https://klasma.github.io/Logging_1782/klagomål/A 10812-2024 FSC-klagomål.docx", "A 10812-2024")</f>
        <v/>
      </c>
      <c r="W604">
        <f>HYPERLINK("https://klasma.github.io/Logging_1782/klagomålsmail/A 10812-2024 FSC-klagomål mail.docx", "A 10812-2024")</f>
        <v/>
      </c>
      <c r="X604">
        <f>HYPERLINK("https://klasma.github.io/Logging_1782/tillsyn/A 10812-2024 tillsynsbegäran.docx", "A 10812-2024")</f>
        <v/>
      </c>
      <c r="Y604">
        <f>HYPERLINK("https://klasma.github.io/Logging_1782/tillsynsmail/A 10812-2024 tillsynsbegäran mail.docx", "A 10812-2024")</f>
        <v/>
      </c>
    </row>
    <row r="605" ht="15" customHeight="1">
      <c r="A605" t="inlineStr">
        <is>
          <t>A 11151-2024</t>
        </is>
      </c>
      <c r="B605" s="1" t="n">
        <v>45371</v>
      </c>
      <c r="C605" s="1" t="n">
        <v>45736</v>
      </c>
      <c r="D605" t="inlineStr">
        <is>
          <t>VÄRMLANDS LÄN</t>
        </is>
      </c>
      <c r="E605" t="inlineStr">
        <is>
          <t>ÅRJÄNG</t>
        </is>
      </c>
      <c r="G605" t="n">
        <v>10.1</v>
      </c>
      <c r="H605" t="n">
        <v>1</v>
      </c>
      <c r="I605" t="n">
        <v>0</v>
      </c>
      <c r="J605" t="n">
        <v>1</v>
      </c>
      <c r="K605" t="n">
        <v>0</v>
      </c>
      <c r="L605" t="n">
        <v>0</v>
      </c>
      <c r="M605" t="n">
        <v>0</v>
      </c>
      <c r="N605" t="n">
        <v>0</v>
      </c>
      <c r="O605" t="n">
        <v>1</v>
      </c>
      <c r="P605" t="n">
        <v>0</v>
      </c>
      <c r="Q605" t="n">
        <v>1</v>
      </c>
      <c r="R605" s="2" t="inlineStr">
        <is>
          <t>Spillkråka</t>
        </is>
      </c>
      <c r="S605">
        <f>HYPERLINK("https://klasma.github.io/Logging_1765/artfynd/A 11151-2024 artfynd.xlsx", "A 11151-2024")</f>
        <v/>
      </c>
      <c r="T605">
        <f>HYPERLINK("https://klasma.github.io/Logging_1765/kartor/A 11151-2024 karta.png", "A 11151-2024")</f>
        <v/>
      </c>
      <c r="V605">
        <f>HYPERLINK("https://klasma.github.io/Logging_1765/klagomål/A 11151-2024 FSC-klagomål.docx", "A 11151-2024")</f>
        <v/>
      </c>
      <c r="W605">
        <f>HYPERLINK("https://klasma.github.io/Logging_1765/klagomålsmail/A 11151-2024 FSC-klagomål mail.docx", "A 11151-2024")</f>
        <v/>
      </c>
      <c r="X605">
        <f>HYPERLINK("https://klasma.github.io/Logging_1765/tillsyn/A 11151-2024 tillsynsbegäran.docx", "A 11151-2024")</f>
        <v/>
      </c>
      <c r="Y605">
        <f>HYPERLINK("https://klasma.github.io/Logging_1765/tillsynsmail/A 11151-2024 tillsynsbegäran mail.docx", "A 11151-2024")</f>
        <v/>
      </c>
      <c r="Z605">
        <f>HYPERLINK("https://klasma.github.io/Logging_1765/fåglar/A 11151-2024 prioriterade fågelarter.docx", "A 11151-2024")</f>
        <v/>
      </c>
    </row>
    <row r="606" ht="15" customHeight="1">
      <c r="A606" t="inlineStr">
        <is>
          <t>A 11909-2024</t>
        </is>
      </c>
      <c r="B606" s="1" t="n">
        <v>45376</v>
      </c>
      <c r="C606" s="1" t="n">
        <v>45736</v>
      </c>
      <c r="D606" t="inlineStr">
        <is>
          <t>VÄRMLANDS LÄN</t>
        </is>
      </c>
      <c r="E606" t="inlineStr">
        <is>
          <t>EDA</t>
        </is>
      </c>
      <c r="G606" t="n">
        <v>5</v>
      </c>
      <c r="H606" t="n">
        <v>0</v>
      </c>
      <c r="I606" t="n">
        <v>0</v>
      </c>
      <c r="J606" t="n">
        <v>0</v>
      </c>
      <c r="K606" t="n">
        <v>1</v>
      </c>
      <c r="L606" t="n">
        <v>0</v>
      </c>
      <c r="M606" t="n">
        <v>0</v>
      </c>
      <c r="N606" t="n">
        <v>0</v>
      </c>
      <c r="O606" t="n">
        <v>1</v>
      </c>
      <c r="P606" t="n">
        <v>1</v>
      </c>
      <c r="Q606" t="n">
        <v>1</v>
      </c>
      <c r="R606" s="2" t="inlineStr">
        <is>
          <t>Slåttergubbe</t>
        </is>
      </c>
      <c r="S606">
        <f>HYPERLINK("https://klasma.github.io/Logging_1730/artfynd/A 11909-2024 artfynd.xlsx", "A 11909-2024")</f>
        <v/>
      </c>
      <c r="T606">
        <f>HYPERLINK("https://klasma.github.io/Logging_1730/kartor/A 11909-2024 karta.png", "A 11909-2024")</f>
        <v/>
      </c>
      <c r="V606">
        <f>HYPERLINK("https://klasma.github.io/Logging_1730/klagomål/A 11909-2024 FSC-klagomål.docx", "A 11909-2024")</f>
        <v/>
      </c>
      <c r="W606">
        <f>HYPERLINK("https://klasma.github.io/Logging_1730/klagomålsmail/A 11909-2024 FSC-klagomål mail.docx", "A 11909-2024")</f>
        <v/>
      </c>
      <c r="X606">
        <f>HYPERLINK("https://klasma.github.io/Logging_1730/tillsyn/A 11909-2024 tillsynsbegäran.docx", "A 11909-2024")</f>
        <v/>
      </c>
      <c r="Y606">
        <f>HYPERLINK("https://klasma.github.io/Logging_1730/tillsynsmail/A 11909-2024 tillsynsbegäran mail.docx", "A 11909-2024")</f>
        <v/>
      </c>
    </row>
    <row r="607" ht="15" customHeight="1">
      <c r="A607" t="inlineStr">
        <is>
          <t>A 11921-2024</t>
        </is>
      </c>
      <c r="B607" s="1" t="n">
        <v>45376</v>
      </c>
      <c r="C607" s="1" t="n">
        <v>45736</v>
      </c>
      <c r="D607" t="inlineStr">
        <is>
          <t>VÄRMLANDS LÄN</t>
        </is>
      </c>
      <c r="E607" t="inlineStr">
        <is>
          <t>FILIPSTAD</t>
        </is>
      </c>
      <c r="F607" t="inlineStr">
        <is>
          <t>Bergvik skog väst AB</t>
        </is>
      </c>
      <c r="G607" t="n">
        <v>3.3</v>
      </c>
      <c r="H607" t="n">
        <v>0</v>
      </c>
      <c r="I607" t="n">
        <v>1</v>
      </c>
      <c r="J607" t="n">
        <v>0</v>
      </c>
      <c r="K607" t="n">
        <v>0</v>
      </c>
      <c r="L607" t="n">
        <v>0</v>
      </c>
      <c r="M607" t="n">
        <v>0</v>
      </c>
      <c r="N607" t="n">
        <v>0</v>
      </c>
      <c r="O607" t="n">
        <v>0</v>
      </c>
      <c r="P607" t="n">
        <v>0</v>
      </c>
      <c r="Q607" t="n">
        <v>1</v>
      </c>
      <c r="R607" s="2" t="inlineStr">
        <is>
          <t>Grönpyrola</t>
        </is>
      </c>
      <c r="S607">
        <f>HYPERLINK("https://klasma.github.io/Logging_1782/artfynd/A 11921-2024 artfynd.xlsx", "A 11921-2024")</f>
        <v/>
      </c>
      <c r="T607">
        <f>HYPERLINK("https://klasma.github.io/Logging_1782/kartor/A 11921-2024 karta.png", "A 11921-2024")</f>
        <v/>
      </c>
      <c r="V607">
        <f>HYPERLINK("https://klasma.github.io/Logging_1782/klagomål/A 11921-2024 FSC-klagomål.docx", "A 11921-2024")</f>
        <v/>
      </c>
      <c r="W607">
        <f>HYPERLINK("https://klasma.github.io/Logging_1782/klagomålsmail/A 11921-2024 FSC-klagomål mail.docx", "A 11921-2024")</f>
        <v/>
      </c>
      <c r="X607">
        <f>HYPERLINK("https://klasma.github.io/Logging_1782/tillsyn/A 11921-2024 tillsynsbegäran.docx", "A 11921-2024")</f>
        <v/>
      </c>
      <c r="Y607">
        <f>HYPERLINK("https://klasma.github.io/Logging_1782/tillsynsmail/A 11921-2024 tillsynsbegäran mail.docx", "A 11921-2024")</f>
        <v/>
      </c>
    </row>
    <row r="608" ht="15" customHeight="1">
      <c r="A608" t="inlineStr">
        <is>
          <t>A 11923-2024</t>
        </is>
      </c>
      <c r="B608" s="1" t="n">
        <v>45376</v>
      </c>
      <c r="C608" s="1" t="n">
        <v>45736</v>
      </c>
      <c r="D608" t="inlineStr">
        <is>
          <t>VÄRMLANDS LÄN</t>
        </is>
      </c>
      <c r="E608" t="inlineStr">
        <is>
          <t>EDA</t>
        </is>
      </c>
      <c r="G608" t="n">
        <v>4.3</v>
      </c>
      <c r="H608" t="n">
        <v>1</v>
      </c>
      <c r="I608" t="n">
        <v>0</v>
      </c>
      <c r="J608" t="n">
        <v>1</v>
      </c>
      <c r="K608" t="n">
        <v>0</v>
      </c>
      <c r="L608" t="n">
        <v>0</v>
      </c>
      <c r="M608" t="n">
        <v>0</v>
      </c>
      <c r="N608" t="n">
        <v>0</v>
      </c>
      <c r="O608" t="n">
        <v>1</v>
      </c>
      <c r="P608" t="n">
        <v>0</v>
      </c>
      <c r="Q608" t="n">
        <v>1</v>
      </c>
      <c r="R608" s="2" t="inlineStr">
        <is>
          <t>Tretåig hackspett</t>
        </is>
      </c>
      <c r="S608">
        <f>HYPERLINK("https://klasma.github.io/Logging_1730/artfynd/A 11923-2024 artfynd.xlsx", "A 11923-2024")</f>
        <v/>
      </c>
      <c r="T608">
        <f>HYPERLINK("https://klasma.github.io/Logging_1730/kartor/A 11923-2024 karta.png", "A 11923-2024")</f>
        <v/>
      </c>
      <c r="V608">
        <f>HYPERLINK("https://klasma.github.io/Logging_1730/klagomål/A 11923-2024 FSC-klagomål.docx", "A 11923-2024")</f>
        <v/>
      </c>
      <c r="W608">
        <f>HYPERLINK("https://klasma.github.io/Logging_1730/klagomålsmail/A 11923-2024 FSC-klagomål mail.docx", "A 11923-2024")</f>
        <v/>
      </c>
      <c r="X608">
        <f>HYPERLINK("https://klasma.github.io/Logging_1730/tillsyn/A 11923-2024 tillsynsbegäran.docx", "A 11923-2024")</f>
        <v/>
      </c>
      <c r="Y608">
        <f>HYPERLINK("https://klasma.github.io/Logging_1730/tillsynsmail/A 11923-2024 tillsynsbegäran mail.docx", "A 11923-2024")</f>
        <v/>
      </c>
      <c r="Z608">
        <f>HYPERLINK("https://klasma.github.io/Logging_1730/fåglar/A 11923-2024 prioriterade fågelarter.docx", "A 11923-2024")</f>
        <v/>
      </c>
    </row>
    <row r="609" ht="15" customHeight="1">
      <c r="A609" t="inlineStr">
        <is>
          <t>A 12257-2024</t>
        </is>
      </c>
      <c r="B609" s="1" t="n">
        <v>45378</v>
      </c>
      <c r="C609" s="1" t="n">
        <v>45736</v>
      </c>
      <c r="D609" t="inlineStr">
        <is>
          <t>VÄRMLANDS LÄN</t>
        </is>
      </c>
      <c r="E609" t="inlineStr">
        <is>
          <t>ÅRJÄNG</t>
        </is>
      </c>
      <c r="G609" t="n">
        <v>1.5</v>
      </c>
      <c r="H609" t="n">
        <v>0</v>
      </c>
      <c r="I609" t="n">
        <v>1</v>
      </c>
      <c r="J609" t="n">
        <v>0</v>
      </c>
      <c r="K609" t="n">
        <v>0</v>
      </c>
      <c r="L609" t="n">
        <v>0</v>
      </c>
      <c r="M609" t="n">
        <v>0</v>
      </c>
      <c r="N609" t="n">
        <v>0</v>
      </c>
      <c r="O609" t="n">
        <v>0</v>
      </c>
      <c r="P609" t="n">
        <v>0</v>
      </c>
      <c r="Q609" t="n">
        <v>1</v>
      </c>
      <c r="R609" s="2" t="inlineStr">
        <is>
          <t>Kattfotslav</t>
        </is>
      </c>
      <c r="S609">
        <f>HYPERLINK("https://klasma.github.io/Logging_1765/artfynd/A 12257-2024 artfynd.xlsx", "A 12257-2024")</f>
        <v/>
      </c>
      <c r="T609">
        <f>HYPERLINK("https://klasma.github.io/Logging_1765/kartor/A 12257-2024 karta.png", "A 12257-2024")</f>
        <v/>
      </c>
      <c r="V609">
        <f>HYPERLINK("https://klasma.github.io/Logging_1765/klagomål/A 12257-2024 FSC-klagomål.docx", "A 12257-2024")</f>
        <v/>
      </c>
      <c r="W609">
        <f>HYPERLINK("https://klasma.github.io/Logging_1765/klagomålsmail/A 12257-2024 FSC-klagomål mail.docx", "A 12257-2024")</f>
        <v/>
      </c>
      <c r="X609">
        <f>HYPERLINK("https://klasma.github.io/Logging_1765/tillsyn/A 12257-2024 tillsynsbegäran.docx", "A 12257-2024")</f>
        <v/>
      </c>
      <c r="Y609">
        <f>HYPERLINK("https://klasma.github.io/Logging_1765/tillsynsmail/A 12257-2024 tillsynsbegäran mail.docx", "A 12257-2024")</f>
        <v/>
      </c>
    </row>
    <row r="610" ht="15" customHeight="1">
      <c r="A610" t="inlineStr">
        <is>
          <t>A 12465-2024</t>
        </is>
      </c>
      <c r="B610" s="1" t="n">
        <v>45379</v>
      </c>
      <c r="C610" s="1" t="n">
        <v>45736</v>
      </c>
      <c r="D610" t="inlineStr">
        <is>
          <t>VÄRMLANDS LÄN</t>
        </is>
      </c>
      <c r="E610" t="inlineStr">
        <is>
          <t>EDA</t>
        </is>
      </c>
      <c r="G610" t="n">
        <v>0.7</v>
      </c>
      <c r="H610" t="n">
        <v>0</v>
      </c>
      <c r="I610" t="n">
        <v>0</v>
      </c>
      <c r="J610" t="n">
        <v>1</v>
      </c>
      <c r="K610" t="n">
        <v>0</v>
      </c>
      <c r="L610" t="n">
        <v>0</v>
      </c>
      <c r="M610" t="n">
        <v>0</v>
      </c>
      <c r="N610" t="n">
        <v>0</v>
      </c>
      <c r="O610" t="n">
        <v>1</v>
      </c>
      <c r="P610" t="n">
        <v>0</v>
      </c>
      <c r="Q610" t="n">
        <v>1</v>
      </c>
      <c r="R610" s="2" t="inlineStr">
        <is>
          <t>Desmeknopp</t>
        </is>
      </c>
      <c r="S610">
        <f>HYPERLINK("https://klasma.github.io/Logging_1730/artfynd/A 12465-2024 artfynd.xlsx", "A 12465-2024")</f>
        <v/>
      </c>
      <c r="T610">
        <f>HYPERLINK("https://klasma.github.io/Logging_1730/kartor/A 12465-2024 karta.png", "A 12465-2024")</f>
        <v/>
      </c>
      <c r="V610">
        <f>HYPERLINK("https://klasma.github.io/Logging_1730/klagomål/A 12465-2024 FSC-klagomål.docx", "A 12465-2024")</f>
        <v/>
      </c>
      <c r="W610">
        <f>HYPERLINK("https://klasma.github.io/Logging_1730/klagomålsmail/A 12465-2024 FSC-klagomål mail.docx", "A 12465-2024")</f>
        <v/>
      </c>
      <c r="X610">
        <f>HYPERLINK("https://klasma.github.io/Logging_1730/tillsyn/A 12465-2024 tillsynsbegäran.docx", "A 12465-2024")</f>
        <v/>
      </c>
      <c r="Y610">
        <f>HYPERLINK("https://klasma.github.io/Logging_1730/tillsynsmail/A 12465-2024 tillsynsbegäran mail.docx", "A 12465-2024")</f>
        <v/>
      </c>
    </row>
    <row r="611" ht="15" customHeight="1">
      <c r="A611" t="inlineStr">
        <is>
          <t>A 12593-2024</t>
        </is>
      </c>
      <c r="B611" s="1" t="n">
        <v>45380</v>
      </c>
      <c r="C611" s="1" t="n">
        <v>45736</v>
      </c>
      <c r="D611" t="inlineStr">
        <is>
          <t>VÄRMLANDS LÄN</t>
        </is>
      </c>
      <c r="E611" t="inlineStr">
        <is>
          <t>KRISTINEHAMN</t>
        </is>
      </c>
      <c r="G611" t="n">
        <v>5.9</v>
      </c>
      <c r="H611" t="n">
        <v>1</v>
      </c>
      <c r="I611" t="n">
        <v>0</v>
      </c>
      <c r="J611" t="n">
        <v>0</v>
      </c>
      <c r="K611" t="n">
        <v>1</v>
      </c>
      <c r="L611" t="n">
        <v>0</v>
      </c>
      <c r="M611" t="n">
        <v>0</v>
      </c>
      <c r="N611" t="n">
        <v>0</v>
      </c>
      <c r="O611" t="n">
        <v>1</v>
      </c>
      <c r="P611" t="n">
        <v>1</v>
      </c>
      <c r="Q611" t="n">
        <v>1</v>
      </c>
      <c r="R611" s="2" t="inlineStr">
        <is>
          <t>Bombmurkla</t>
        </is>
      </c>
      <c r="S611">
        <f>HYPERLINK("https://klasma.github.io/Logging_1781/artfynd/A 12593-2024 artfynd.xlsx", "A 12593-2024")</f>
        <v/>
      </c>
      <c r="T611">
        <f>HYPERLINK("https://klasma.github.io/Logging_1781/kartor/A 12593-2024 karta.png", "A 12593-2024")</f>
        <v/>
      </c>
      <c r="V611">
        <f>HYPERLINK("https://klasma.github.io/Logging_1781/klagomål/A 12593-2024 FSC-klagomål.docx", "A 12593-2024")</f>
        <v/>
      </c>
      <c r="W611">
        <f>HYPERLINK("https://klasma.github.io/Logging_1781/klagomålsmail/A 12593-2024 FSC-klagomål mail.docx", "A 12593-2024")</f>
        <v/>
      </c>
      <c r="X611">
        <f>HYPERLINK("https://klasma.github.io/Logging_1781/tillsyn/A 12593-2024 tillsynsbegäran.docx", "A 12593-2024")</f>
        <v/>
      </c>
      <c r="Y611">
        <f>HYPERLINK("https://klasma.github.io/Logging_1781/tillsynsmail/A 12593-2024 tillsynsbegäran mail.docx", "A 12593-2024")</f>
        <v/>
      </c>
    </row>
    <row r="612" ht="15" customHeight="1">
      <c r="A612" t="inlineStr">
        <is>
          <t>A 12740-2024</t>
        </is>
      </c>
      <c r="B612" s="1" t="n">
        <v>45384</v>
      </c>
      <c r="C612" s="1" t="n">
        <v>45736</v>
      </c>
      <c r="D612" t="inlineStr">
        <is>
          <t>VÄRMLANDS LÄN</t>
        </is>
      </c>
      <c r="E612" t="inlineStr">
        <is>
          <t>SÄFFLE</t>
        </is>
      </c>
      <c r="G612" t="n">
        <v>3.7</v>
      </c>
      <c r="H612" t="n">
        <v>0</v>
      </c>
      <c r="I612" t="n">
        <v>0</v>
      </c>
      <c r="J612" t="n">
        <v>1</v>
      </c>
      <c r="K612" t="n">
        <v>0</v>
      </c>
      <c r="L612" t="n">
        <v>0</v>
      </c>
      <c r="M612" t="n">
        <v>0</v>
      </c>
      <c r="N612" t="n">
        <v>0</v>
      </c>
      <c r="O612" t="n">
        <v>1</v>
      </c>
      <c r="P612" t="n">
        <v>0</v>
      </c>
      <c r="Q612" t="n">
        <v>1</v>
      </c>
      <c r="R612" s="2" t="inlineStr">
        <is>
          <t>Gullklöver</t>
        </is>
      </c>
      <c r="S612">
        <f>HYPERLINK("https://klasma.github.io/Logging_1785/artfynd/A 12740-2024 artfynd.xlsx", "A 12740-2024")</f>
        <v/>
      </c>
      <c r="T612">
        <f>HYPERLINK("https://klasma.github.io/Logging_1785/kartor/A 12740-2024 karta.png", "A 12740-2024")</f>
        <v/>
      </c>
      <c r="V612">
        <f>HYPERLINK("https://klasma.github.io/Logging_1785/klagomål/A 12740-2024 FSC-klagomål.docx", "A 12740-2024")</f>
        <v/>
      </c>
      <c r="W612">
        <f>HYPERLINK("https://klasma.github.io/Logging_1785/klagomålsmail/A 12740-2024 FSC-klagomål mail.docx", "A 12740-2024")</f>
        <v/>
      </c>
      <c r="X612">
        <f>HYPERLINK("https://klasma.github.io/Logging_1785/tillsyn/A 12740-2024 tillsynsbegäran.docx", "A 12740-2024")</f>
        <v/>
      </c>
      <c r="Y612">
        <f>HYPERLINK("https://klasma.github.io/Logging_1785/tillsynsmail/A 12740-2024 tillsynsbegäran mail.docx", "A 12740-2024")</f>
        <v/>
      </c>
    </row>
    <row r="613" ht="15" customHeight="1">
      <c r="A613" t="inlineStr">
        <is>
          <t>A 14030-2024</t>
        </is>
      </c>
      <c r="B613" s="1" t="n">
        <v>45392</v>
      </c>
      <c r="C613" s="1" t="n">
        <v>45736</v>
      </c>
      <c r="D613" t="inlineStr">
        <is>
          <t>VÄRMLANDS LÄN</t>
        </is>
      </c>
      <c r="E613" t="inlineStr">
        <is>
          <t>ARVIKA</t>
        </is>
      </c>
      <c r="F613" t="inlineStr">
        <is>
          <t>Kyrkan</t>
        </is>
      </c>
      <c r="G613" t="n">
        <v>32.2</v>
      </c>
      <c r="H613" t="n">
        <v>1</v>
      </c>
      <c r="I613" t="n">
        <v>0</v>
      </c>
      <c r="J613" t="n">
        <v>0</v>
      </c>
      <c r="K613" t="n">
        <v>1</v>
      </c>
      <c r="L613" t="n">
        <v>0</v>
      </c>
      <c r="M613" t="n">
        <v>0</v>
      </c>
      <c r="N613" t="n">
        <v>0</v>
      </c>
      <c r="O613" t="n">
        <v>1</v>
      </c>
      <c r="P613" t="n">
        <v>1</v>
      </c>
      <c r="Q613" t="n">
        <v>1</v>
      </c>
      <c r="R613" s="2" t="inlineStr">
        <is>
          <t>Knärot</t>
        </is>
      </c>
      <c r="S613">
        <f>HYPERLINK("https://klasma.github.io/Logging_1784/artfynd/A 14030-2024 artfynd.xlsx", "A 14030-2024")</f>
        <v/>
      </c>
      <c r="T613">
        <f>HYPERLINK("https://klasma.github.io/Logging_1784/kartor/A 14030-2024 karta.png", "A 14030-2024")</f>
        <v/>
      </c>
      <c r="U613">
        <f>HYPERLINK("https://klasma.github.io/Logging_1784/knärot/A 14030-2024 karta knärot.png", "A 14030-2024")</f>
        <v/>
      </c>
      <c r="V613">
        <f>HYPERLINK("https://klasma.github.io/Logging_1784/klagomål/A 14030-2024 FSC-klagomål.docx", "A 14030-2024")</f>
        <v/>
      </c>
      <c r="W613">
        <f>HYPERLINK("https://klasma.github.io/Logging_1784/klagomålsmail/A 14030-2024 FSC-klagomål mail.docx", "A 14030-2024")</f>
        <v/>
      </c>
      <c r="X613">
        <f>HYPERLINK("https://klasma.github.io/Logging_1784/tillsyn/A 14030-2024 tillsynsbegäran.docx", "A 14030-2024")</f>
        <v/>
      </c>
      <c r="Y613">
        <f>HYPERLINK("https://klasma.github.io/Logging_1784/tillsynsmail/A 14030-2024 tillsynsbegäran mail.docx", "A 14030-2024")</f>
        <v/>
      </c>
    </row>
    <row r="614" ht="15" customHeight="1">
      <c r="A614" t="inlineStr">
        <is>
          <t>A 14738-2024</t>
        </is>
      </c>
      <c r="B614" s="1" t="n">
        <v>45397</v>
      </c>
      <c r="C614" s="1" t="n">
        <v>45736</v>
      </c>
      <c r="D614" t="inlineStr">
        <is>
          <t>VÄRMLANDS LÄN</t>
        </is>
      </c>
      <c r="E614" t="inlineStr">
        <is>
          <t>SÄFFLE</t>
        </is>
      </c>
      <c r="G614" t="n">
        <v>3.7</v>
      </c>
      <c r="H614" t="n">
        <v>0</v>
      </c>
      <c r="I614" t="n">
        <v>0</v>
      </c>
      <c r="J614" t="n">
        <v>1</v>
      </c>
      <c r="K614" t="n">
        <v>0</v>
      </c>
      <c r="L614" t="n">
        <v>0</v>
      </c>
      <c r="M614" t="n">
        <v>0</v>
      </c>
      <c r="N614" t="n">
        <v>0</v>
      </c>
      <c r="O614" t="n">
        <v>1</v>
      </c>
      <c r="P614" t="n">
        <v>0</v>
      </c>
      <c r="Q614" t="n">
        <v>1</v>
      </c>
      <c r="R614" s="2" t="inlineStr">
        <is>
          <t>Kortskaftad ärgspik</t>
        </is>
      </c>
      <c r="S614">
        <f>HYPERLINK("https://klasma.github.io/Logging_1785/artfynd/A 14738-2024 artfynd.xlsx", "A 14738-2024")</f>
        <v/>
      </c>
      <c r="T614">
        <f>HYPERLINK("https://klasma.github.io/Logging_1785/kartor/A 14738-2024 karta.png", "A 14738-2024")</f>
        <v/>
      </c>
      <c r="V614">
        <f>HYPERLINK("https://klasma.github.io/Logging_1785/klagomål/A 14738-2024 FSC-klagomål.docx", "A 14738-2024")</f>
        <v/>
      </c>
      <c r="W614">
        <f>HYPERLINK("https://klasma.github.io/Logging_1785/klagomålsmail/A 14738-2024 FSC-klagomål mail.docx", "A 14738-2024")</f>
        <v/>
      </c>
      <c r="X614">
        <f>HYPERLINK("https://klasma.github.io/Logging_1785/tillsyn/A 14738-2024 tillsynsbegäran.docx", "A 14738-2024")</f>
        <v/>
      </c>
      <c r="Y614">
        <f>HYPERLINK("https://klasma.github.io/Logging_1785/tillsynsmail/A 14738-2024 tillsynsbegäran mail.docx", "A 14738-2024")</f>
        <v/>
      </c>
    </row>
    <row r="615" ht="15" customHeight="1">
      <c r="A615" t="inlineStr">
        <is>
          <t>A 16317-2024</t>
        </is>
      </c>
      <c r="B615" s="1" t="n">
        <v>45407</v>
      </c>
      <c r="C615" s="1" t="n">
        <v>45736</v>
      </c>
      <c r="D615" t="inlineStr">
        <is>
          <t>VÄRMLANDS LÄN</t>
        </is>
      </c>
      <c r="E615" t="inlineStr">
        <is>
          <t>FILIPSTAD</t>
        </is>
      </c>
      <c r="G615" t="n">
        <v>6.8</v>
      </c>
      <c r="H615" t="n">
        <v>0</v>
      </c>
      <c r="I615" t="n">
        <v>1</v>
      </c>
      <c r="J615" t="n">
        <v>0</v>
      </c>
      <c r="K615" t="n">
        <v>0</v>
      </c>
      <c r="L615" t="n">
        <v>0</v>
      </c>
      <c r="M615" t="n">
        <v>0</v>
      </c>
      <c r="N615" t="n">
        <v>0</v>
      </c>
      <c r="O615" t="n">
        <v>0</v>
      </c>
      <c r="P615" t="n">
        <v>0</v>
      </c>
      <c r="Q615" t="n">
        <v>1</v>
      </c>
      <c r="R615" s="2" t="inlineStr">
        <is>
          <t>Skuggblåslav</t>
        </is>
      </c>
      <c r="S615">
        <f>HYPERLINK("https://klasma.github.io/Logging_1782/artfynd/A 16317-2024 artfynd.xlsx", "A 16317-2024")</f>
        <v/>
      </c>
      <c r="T615">
        <f>HYPERLINK("https://klasma.github.io/Logging_1782/kartor/A 16317-2024 karta.png", "A 16317-2024")</f>
        <v/>
      </c>
      <c r="V615">
        <f>HYPERLINK("https://klasma.github.io/Logging_1782/klagomål/A 16317-2024 FSC-klagomål.docx", "A 16317-2024")</f>
        <v/>
      </c>
      <c r="W615">
        <f>HYPERLINK("https://klasma.github.io/Logging_1782/klagomålsmail/A 16317-2024 FSC-klagomål mail.docx", "A 16317-2024")</f>
        <v/>
      </c>
      <c r="X615">
        <f>HYPERLINK("https://klasma.github.io/Logging_1782/tillsyn/A 16317-2024 tillsynsbegäran.docx", "A 16317-2024")</f>
        <v/>
      </c>
      <c r="Y615">
        <f>HYPERLINK("https://klasma.github.io/Logging_1782/tillsynsmail/A 16317-2024 tillsynsbegäran mail.docx", "A 16317-2024")</f>
        <v/>
      </c>
    </row>
    <row r="616" ht="15" customHeight="1">
      <c r="A616" t="inlineStr">
        <is>
          <t>A 17095-2024</t>
        </is>
      </c>
      <c r="B616" s="1" t="n">
        <v>45412</v>
      </c>
      <c r="C616" s="1" t="n">
        <v>45736</v>
      </c>
      <c r="D616" t="inlineStr">
        <is>
          <t>VÄRMLANDS LÄN</t>
        </is>
      </c>
      <c r="E616" t="inlineStr">
        <is>
          <t>HAGFORS</t>
        </is>
      </c>
      <c r="F616" t="inlineStr">
        <is>
          <t>Bergvik skog väst AB</t>
        </is>
      </c>
      <c r="G616" t="n">
        <v>8.300000000000001</v>
      </c>
      <c r="H616" t="n">
        <v>0</v>
      </c>
      <c r="I616" t="n">
        <v>0</v>
      </c>
      <c r="J616" t="n">
        <v>1</v>
      </c>
      <c r="K616" t="n">
        <v>0</v>
      </c>
      <c r="L616" t="n">
        <v>0</v>
      </c>
      <c r="M616" t="n">
        <v>0</v>
      </c>
      <c r="N616" t="n">
        <v>0</v>
      </c>
      <c r="O616" t="n">
        <v>1</v>
      </c>
      <c r="P616" t="n">
        <v>0</v>
      </c>
      <c r="Q616" t="n">
        <v>1</v>
      </c>
      <c r="R616" s="2" t="inlineStr">
        <is>
          <t>Garnlav</t>
        </is>
      </c>
      <c r="S616">
        <f>HYPERLINK("https://klasma.github.io/Logging_1783/artfynd/A 17095-2024 artfynd.xlsx", "A 17095-2024")</f>
        <v/>
      </c>
      <c r="T616">
        <f>HYPERLINK("https://klasma.github.io/Logging_1783/kartor/A 17095-2024 karta.png", "A 17095-2024")</f>
        <v/>
      </c>
      <c r="V616">
        <f>HYPERLINK("https://klasma.github.io/Logging_1783/klagomål/A 17095-2024 FSC-klagomål.docx", "A 17095-2024")</f>
        <v/>
      </c>
      <c r="W616">
        <f>HYPERLINK("https://klasma.github.io/Logging_1783/klagomålsmail/A 17095-2024 FSC-klagomål mail.docx", "A 17095-2024")</f>
        <v/>
      </c>
      <c r="X616">
        <f>HYPERLINK("https://klasma.github.io/Logging_1783/tillsyn/A 17095-2024 tillsynsbegäran.docx", "A 17095-2024")</f>
        <v/>
      </c>
      <c r="Y616">
        <f>HYPERLINK("https://klasma.github.io/Logging_1783/tillsynsmail/A 17095-2024 tillsynsbegäran mail.docx", "A 17095-2024")</f>
        <v/>
      </c>
    </row>
    <row r="617" ht="15" customHeight="1">
      <c r="A617" t="inlineStr">
        <is>
          <t>A 17084-2024</t>
        </is>
      </c>
      <c r="B617" s="1" t="n">
        <v>45412</v>
      </c>
      <c r="C617" s="1" t="n">
        <v>45736</v>
      </c>
      <c r="D617" t="inlineStr">
        <is>
          <t>VÄRMLANDS LÄN</t>
        </is>
      </c>
      <c r="E617" t="inlineStr">
        <is>
          <t>STORFORS</t>
        </is>
      </c>
      <c r="F617" t="inlineStr">
        <is>
          <t>Kyrkan</t>
        </is>
      </c>
      <c r="G617" t="n">
        <v>1.2</v>
      </c>
      <c r="H617" t="n">
        <v>1</v>
      </c>
      <c r="I617" t="n">
        <v>0</v>
      </c>
      <c r="J617" t="n">
        <v>1</v>
      </c>
      <c r="K617" t="n">
        <v>0</v>
      </c>
      <c r="L617" t="n">
        <v>0</v>
      </c>
      <c r="M617" t="n">
        <v>0</v>
      </c>
      <c r="N617" t="n">
        <v>0</v>
      </c>
      <c r="O617" t="n">
        <v>1</v>
      </c>
      <c r="P617" t="n">
        <v>0</v>
      </c>
      <c r="Q617" t="n">
        <v>1</v>
      </c>
      <c r="R617" s="2" t="inlineStr">
        <is>
          <t>Gulsparv</t>
        </is>
      </c>
      <c r="S617">
        <f>HYPERLINK("https://klasma.github.io/Logging_1760/artfynd/A 17084-2024 artfynd.xlsx", "A 17084-2024")</f>
        <v/>
      </c>
      <c r="T617">
        <f>HYPERLINK("https://klasma.github.io/Logging_1760/kartor/A 17084-2024 karta.png", "A 17084-2024")</f>
        <v/>
      </c>
      <c r="V617">
        <f>HYPERLINK("https://klasma.github.io/Logging_1760/klagomål/A 17084-2024 FSC-klagomål.docx", "A 17084-2024")</f>
        <v/>
      </c>
      <c r="W617">
        <f>HYPERLINK("https://klasma.github.io/Logging_1760/klagomålsmail/A 17084-2024 FSC-klagomål mail.docx", "A 17084-2024")</f>
        <v/>
      </c>
      <c r="X617">
        <f>HYPERLINK("https://klasma.github.io/Logging_1760/tillsyn/A 17084-2024 tillsynsbegäran.docx", "A 17084-2024")</f>
        <v/>
      </c>
      <c r="Y617">
        <f>HYPERLINK("https://klasma.github.io/Logging_1760/tillsynsmail/A 17084-2024 tillsynsbegäran mail.docx", "A 17084-2024")</f>
        <v/>
      </c>
      <c r="Z617">
        <f>HYPERLINK("https://klasma.github.io/Logging_1760/fåglar/A 17084-2024 prioriterade fågelarter.docx", "A 17084-2024")</f>
        <v/>
      </c>
    </row>
    <row r="618" ht="15" customHeight="1">
      <c r="A618" t="inlineStr">
        <is>
          <t>A 17888-2024</t>
        </is>
      </c>
      <c r="B618" s="1" t="n">
        <v>45419</v>
      </c>
      <c r="C618" s="1" t="n">
        <v>45736</v>
      </c>
      <c r="D618" t="inlineStr">
        <is>
          <t>VÄRMLANDS LÄN</t>
        </is>
      </c>
      <c r="E618" t="inlineStr">
        <is>
          <t>SÄFFLE</t>
        </is>
      </c>
      <c r="F618" t="inlineStr">
        <is>
          <t>Bergvik skog väst AB</t>
        </is>
      </c>
      <c r="G618" t="n">
        <v>5</v>
      </c>
      <c r="H618" t="n">
        <v>0</v>
      </c>
      <c r="I618" t="n">
        <v>0</v>
      </c>
      <c r="J618" t="n">
        <v>1</v>
      </c>
      <c r="K618" t="n">
        <v>0</v>
      </c>
      <c r="L618" t="n">
        <v>0</v>
      </c>
      <c r="M618" t="n">
        <v>0</v>
      </c>
      <c r="N618" t="n">
        <v>0</v>
      </c>
      <c r="O618" t="n">
        <v>1</v>
      </c>
      <c r="P618" t="n">
        <v>0</v>
      </c>
      <c r="Q618" t="n">
        <v>1</v>
      </c>
      <c r="R618" s="2" t="inlineStr">
        <is>
          <t>Skogsklocka</t>
        </is>
      </c>
      <c r="S618">
        <f>HYPERLINK("https://klasma.github.io/Logging_1785/artfynd/A 17888-2024 artfynd.xlsx", "A 17888-2024")</f>
        <v/>
      </c>
      <c r="T618">
        <f>HYPERLINK("https://klasma.github.io/Logging_1785/kartor/A 17888-2024 karta.png", "A 17888-2024")</f>
        <v/>
      </c>
      <c r="V618">
        <f>HYPERLINK("https://klasma.github.io/Logging_1785/klagomål/A 17888-2024 FSC-klagomål.docx", "A 17888-2024")</f>
        <v/>
      </c>
      <c r="W618">
        <f>HYPERLINK("https://klasma.github.io/Logging_1785/klagomålsmail/A 17888-2024 FSC-klagomål mail.docx", "A 17888-2024")</f>
        <v/>
      </c>
      <c r="X618">
        <f>HYPERLINK("https://klasma.github.io/Logging_1785/tillsyn/A 17888-2024 tillsynsbegäran.docx", "A 17888-2024")</f>
        <v/>
      </c>
      <c r="Y618">
        <f>HYPERLINK("https://klasma.github.io/Logging_1785/tillsynsmail/A 17888-2024 tillsynsbegäran mail.docx", "A 17888-2024")</f>
        <v/>
      </c>
    </row>
    <row r="619" ht="15" customHeight="1">
      <c r="A619" t="inlineStr">
        <is>
          <t>A 17928-2024</t>
        </is>
      </c>
      <c r="B619" s="1" t="n">
        <v>45419</v>
      </c>
      <c r="C619" s="1" t="n">
        <v>45736</v>
      </c>
      <c r="D619" t="inlineStr">
        <is>
          <t>VÄRMLANDS LÄN</t>
        </is>
      </c>
      <c r="E619" t="inlineStr">
        <is>
          <t>ARVIKA</t>
        </is>
      </c>
      <c r="G619" t="n">
        <v>6.7</v>
      </c>
      <c r="H619" t="n">
        <v>0</v>
      </c>
      <c r="I619" t="n">
        <v>1</v>
      </c>
      <c r="J619" t="n">
        <v>0</v>
      </c>
      <c r="K619" t="n">
        <v>0</v>
      </c>
      <c r="L619" t="n">
        <v>0</v>
      </c>
      <c r="M619" t="n">
        <v>0</v>
      </c>
      <c r="N619" t="n">
        <v>0</v>
      </c>
      <c r="O619" t="n">
        <v>0</v>
      </c>
      <c r="P619" t="n">
        <v>0</v>
      </c>
      <c r="Q619" t="n">
        <v>1</v>
      </c>
      <c r="R619" s="2" t="inlineStr">
        <is>
          <t>Bårdlav</t>
        </is>
      </c>
      <c r="S619">
        <f>HYPERLINK("https://klasma.github.io/Logging_1784/artfynd/A 17928-2024 artfynd.xlsx", "A 17928-2024")</f>
        <v/>
      </c>
      <c r="T619">
        <f>HYPERLINK("https://klasma.github.io/Logging_1784/kartor/A 17928-2024 karta.png", "A 17928-2024")</f>
        <v/>
      </c>
      <c r="V619">
        <f>HYPERLINK("https://klasma.github.io/Logging_1784/klagomål/A 17928-2024 FSC-klagomål.docx", "A 17928-2024")</f>
        <v/>
      </c>
      <c r="W619">
        <f>HYPERLINK("https://klasma.github.io/Logging_1784/klagomålsmail/A 17928-2024 FSC-klagomål mail.docx", "A 17928-2024")</f>
        <v/>
      </c>
      <c r="X619">
        <f>HYPERLINK("https://klasma.github.io/Logging_1784/tillsyn/A 17928-2024 tillsynsbegäran.docx", "A 17928-2024")</f>
        <v/>
      </c>
      <c r="Y619">
        <f>HYPERLINK("https://klasma.github.io/Logging_1784/tillsynsmail/A 17928-2024 tillsynsbegäran mail.docx", "A 17928-2024")</f>
        <v/>
      </c>
    </row>
    <row r="620" ht="15" customHeight="1">
      <c r="A620" t="inlineStr">
        <is>
          <t>A 19026-2024</t>
        </is>
      </c>
      <c r="B620" s="1" t="n">
        <v>45427</v>
      </c>
      <c r="C620" s="1" t="n">
        <v>45736</v>
      </c>
      <c r="D620" t="inlineStr">
        <is>
          <t>VÄRMLANDS LÄN</t>
        </is>
      </c>
      <c r="E620" t="inlineStr">
        <is>
          <t>ARVIKA</t>
        </is>
      </c>
      <c r="F620" t="inlineStr">
        <is>
          <t>Bergvik skog väst AB</t>
        </is>
      </c>
      <c r="G620" t="n">
        <v>1.1</v>
      </c>
      <c r="H620" t="n">
        <v>0</v>
      </c>
      <c r="I620" t="n">
        <v>1</v>
      </c>
      <c r="J620" t="n">
        <v>0</v>
      </c>
      <c r="K620" t="n">
        <v>0</v>
      </c>
      <c r="L620" t="n">
        <v>0</v>
      </c>
      <c r="M620" t="n">
        <v>0</v>
      </c>
      <c r="N620" t="n">
        <v>0</v>
      </c>
      <c r="O620" t="n">
        <v>0</v>
      </c>
      <c r="P620" t="n">
        <v>0</v>
      </c>
      <c r="Q620" t="n">
        <v>1</v>
      </c>
      <c r="R620" s="2" t="inlineStr">
        <is>
          <t>Blomkålssvamp</t>
        </is>
      </c>
      <c r="S620">
        <f>HYPERLINK("https://klasma.github.io/Logging_1784/artfynd/A 19026-2024 artfynd.xlsx", "A 19026-2024")</f>
        <v/>
      </c>
      <c r="T620">
        <f>HYPERLINK("https://klasma.github.io/Logging_1784/kartor/A 19026-2024 karta.png", "A 19026-2024")</f>
        <v/>
      </c>
      <c r="V620">
        <f>HYPERLINK("https://klasma.github.io/Logging_1784/klagomål/A 19026-2024 FSC-klagomål.docx", "A 19026-2024")</f>
        <v/>
      </c>
      <c r="W620">
        <f>HYPERLINK("https://klasma.github.io/Logging_1784/klagomålsmail/A 19026-2024 FSC-klagomål mail.docx", "A 19026-2024")</f>
        <v/>
      </c>
      <c r="X620">
        <f>HYPERLINK("https://klasma.github.io/Logging_1784/tillsyn/A 19026-2024 tillsynsbegäran.docx", "A 19026-2024")</f>
        <v/>
      </c>
      <c r="Y620">
        <f>HYPERLINK("https://klasma.github.io/Logging_1784/tillsynsmail/A 19026-2024 tillsynsbegäran mail.docx", "A 19026-2024")</f>
        <v/>
      </c>
    </row>
    <row r="621" ht="15" customHeight="1">
      <c r="A621" t="inlineStr">
        <is>
          <t>A 19446-2024</t>
        </is>
      </c>
      <c r="B621" s="1" t="n">
        <v>45429</v>
      </c>
      <c r="C621" s="1" t="n">
        <v>45736</v>
      </c>
      <c r="D621" t="inlineStr">
        <is>
          <t>VÄRMLANDS LÄN</t>
        </is>
      </c>
      <c r="E621" t="inlineStr">
        <is>
          <t>KIL</t>
        </is>
      </c>
      <c r="G621" t="n">
        <v>4.1</v>
      </c>
      <c r="H621" t="n">
        <v>1</v>
      </c>
      <c r="I621" t="n">
        <v>0</v>
      </c>
      <c r="J621" t="n">
        <v>0</v>
      </c>
      <c r="K621" t="n">
        <v>0</v>
      </c>
      <c r="L621" t="n">
        <v>0</v>
      </c>
      <c r="M621" t="n">
        <v>0</v>
      </c>
      <c r="N621" t="n">
        <v>0</v>
      </c>
      <c r="O621" t="n">
        <v>0</v>
      </c>
      <c r="P621" t="n">
        <v>0</v>
      </c>
      <c r="Q621" t="n">
        <v>1</v>
      </c>
      <c r="R621" s="2" t="inlineStr">
        <is>
          <t>Mattlummer</t>
        </is>
      </c>
      <c r="S621">
        <f>HYPERLINK("https://klasma.github.io/Logging_1715/artfynd/A 19446-2024 artfynd.xlsx", "A 19446-2024")</f>
        <v/>
      </c>
      <c r="T621">
        <f>HYPERLINK("https://klasma.github.io/Logging_1715/kartor/A 19446-2024 karta.png", "A 19446-2024")</f>
        <v/>
      </c>
      <c r="V621">
        <f>HYPERLINK("https://klasma.github.io/Logging_1715/klagomål/A 19446-2024 FSC-klagomål.docx", "A 19446-2024")</f>
        <v/>
      </c>
      <c r="W621">
        <f>HYPERLINK("https://klasma.github.io/Logging_1715/klagomålsmail/A 19446-2024 FSC-klagomål mail.docx", "A 19446-2024")</f>
        <v/>
      </c>
      <c r="X621">
        <f>HYPERLINK("https://klasma.github.io/Logging_1715/tillsyn/A 19446-2024 tillsynsbegäran.docx", "A 19446-2024")</f>
        <v/>
      </c>
      <c r="Y621">
        <f>HYPERLINK("https://klasma.github.io/Logging_1715/tillsynsmail/A 19446-2024 tillsynsbegäran mail.docx", "A 19446-2024")</f>
        <v/>
      </c>
    </row>
    <row r="622" ht="15" customHeight="1">
      <c r="A622" t="inlineStr">
        <is>
          <t>A 19760-2024</t>
        </is>
      </c>
      <c r="B622" s="1" t="n">
        <v>45432</v>
      </c>
      <c r="C622" s="1" t="n">
        <v>45736</v>
      </c>
      <c r="D622" t="inlineStr">
        <is>
          <t>VÄRMLANDS LÄN</t>
        </is>
      </c>
      <c r="E622" t="inlineStr">
        <is>
          <t>TORSBY</t>
        </is>
      </c>
      <c r="F622" t="inlineStr">
        <is>
          <t>Bergvik skog väst AB</t>
        </is>
      </c>
      <c r="G622" t="n">
        <v>7.9</v>
      </c>
      <c r="H622" t="n">
        <v>1</v>
      </c>
      <c r="I622" t="n">
        <v>0</v>
      </c>
      <c r="J622" t="n">
        <v>1</v>
      </c>
      <c r="K622" t="n">
        <v>0</v>
      </c>
      <c r="L622" t="n">
        <v>0</v>
      </c>
      <c r="M622" t="n">
        <v>0</v>
      </c>
      <c r="N622" t="n">
        <v>0</v>
      </c>
      <c r="O622" t="n">
        <v>1</v>
      </c>
      <c r="P622" t="n">
        <v>0</v>
      </c>
      <c r="Q622" t="n">
        <v>1</v>
      </c>
      <c r="R622" s="2" t="inlineStr">
        <is>
          <t>Utter</t>
        </is>
      </c>
      <c r="S622">
        <f>HYPERLINK("https://klasma.github.io/Logging_1737/artfynd/A 19760-2024 artfynd.xlsx", "A 19760-2024")</f>
        <v/>
      </c>
      <c r="T622">
        <f>HYPERLINK("https://klasma.github.io/Logging_1737/kartor/A 19760-2024 karta.png", "A 19760-2024")</f>
        <v/>
      </c>
      <c r="V622">
        <f>HYPERLINK("https://klasma.github.io/Logging_1737/klagomål/A 19760-2024 FSC-klagomål.docx", "A 19760-2024")</f>
        <v/>
      </c>
      <c r="W622">
        <f>HYPERLINK("https://klasma.github.io/Logging_1737/klagomålsmail/A 19760-2024 FSC-klagomål mail.docx", "A 19760-2024")</f>
        <v/>
      </c>
      <c r="X622">
        <f>HYPERLINK("https://klasma.github.io/Logging_1737/tillsyn/A 19760-2024 tillsynsbegäran.docx", "A 19760-2024")</f>
        <v/>
      </c>
      <c r="Y622">
        <f>HYPERLINK("https://klasma.github.io/Logging_1737/tillsynsmail/A 19760-2024 tillsynsbegäran mail.docx", "A 19760-2024")</f>
        <v/>
      </c>
    </row>
    <row r="623" ht="15" customHeight="1">
      <c r="A623" t="inlineStr">
        <is>
          <t>A 20951-2024</t>
        </is>
      </c>
      <c r="B623" s="1" t="n">
        <v>45439</v>
      </c>
      <c r="C623" s="1" t="n">
        <v>45736</v>
      </c>
      <c r="D623" t="inlineStr">
        <is>
          <t>VÄRMLANDS LÄN</t>
        </is>
      </c>
      <c r="E623" t="inlineStr">
        <is>
          <t>SUNNE</t>
        </is>
      </c>
      <c r="F623" t="inlineStr">
        <is>
          <t>Bergvik skog väst AB</t>
        </is>
      </c>
      <c r="G623" t="n">
        <v>1.1</v>
      </c>
      <c r="H623" t="n">
        <v>1</v>
      </c>
      <c r="I623" t="n">
        <v>0</v>
      </c>
      <c r="J623" t="n">
        <v>1</v>
      </c>
      <c r="K623" t="n">
        <v>0</v>
      </c>
      <c r="L623" t="n">
        <v>0</v>
      </c>
      <c r="M623" t="n">
        <v>0</v>
      </c>
      <c r="N623" t="n">
        <v>0</v>
      </c>
      <c r="O623" t="n">
        <v>1</v>
      </c>
      <c r="P623" t="n">
        <v>0</v>
      </c>
      <c r="Q623" t="n">
        <v>1</v>
      </c>
      <c r="R623" s="2" t="inlineStr">
        <is>
          <t>Spillkråka</t>
        </is>
      </c>
      <c r="S623">
        <f>HYPERLINK("https://klasma.github.io/Logging_1766/artfynd/A 20951-2024 artfynd.xlsx", "A 20951-2024")</f>
        <v/>
      </c>
      <c r="T623">
        <f>HYPERLINK("https://klasma.github.io/Logging_1766/kartor/A 20951-2024 karta.png", "A 20951-2024")</f>
        <v/>
      </c>
      <c r="V623">
        <f>HYPERLINK("https://klasma.github.io/Logging_1766/klagomål/A 20951-2024 FSC-klagomål.docx", "A 20951-2024")</f>
        <v/>
      </c>
      <c r="W623">
        <f>HYPERLINK("https://klasma.github.io/Logging_1766/klagomålsmail/A 20951-2024 FSC-klagomål mail.docx", "A 20951-2024")</f>
        <v/>
      </c>
      <c r="X623">
        <f>HYPERLINK("https://klasma.github.io/Logging_1766/tillsyn/A 20951-2024 tillsynsbegäran.docx", "A 20951-2024")</f>
        <v/>
      </c>
      <c r="Y623">
        <f>HYPERLINK("https://klasma.github.io/Logging_1766/tillsynsmail/A 20951-2024 tillsynsbegäran mail.docx", "A 20951-2024")</f>
        <v/>
      </c>
      <c r="Z623">
        <f>HYPERLINK("https://klasma.github.io/Logging_1766/fåglar/A 20951-2024 prioriterade fågelarter.docx", "A 20951-2024")</f>
        <v/>
      </c>
    </row>
    <row r="624" ht="15" customHeight="1">
      <c r="A624" t="inlineStr">
        <is>
          <t>A 23083-2024</t>
        </is>
      </c>
      <c r="B624" s="1" t="n">
        <v>45450</v>
      </c>
      <c r="C624" s="1" t="n">
        <v>45736</v>
      </c>
      <c r="D624" t="inlineStr">
        <is>
          <t>VÄRMLANDS LÄN</t>
        </is>
      </c>
      <c r="E624" t="inlineStr">
        <is>
          <t>ARVIKA</t>
        </is>
      </c>
      <c r="F624" t="inlineStr">
        <is>
          <t>Bergvik skog väst AB</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HYPERLINK("https://klasma.github.io/Logging_1784/artfynd/A 23083-2024 artfynd.xlsx", "A 23083-2024")</f>
        <v/>
      </c>
      <c r="T624">
        <f>HYPERLINK("https://klasma.github.io/Logging_1784/kartor/A 23083-2024 karta.png", "A 23083-2024")</f>
        <v/>
      </c>
      <c r="U624">
        <f>HYPERLINK("https://klasma.github.io/Logging_1784/knärot/A 23083-2024 karta knärot.png", "A 23083-2024")</f>
        <v/>
      </c>
      <c r="V624">
        <f>HYPERLINK("https://klasma.github.io/Logging_1784/klagomål/A 23083-2024 FSC-klagomål.docx", "A 23083-2024")</f>
        <v/>
      </c>
      <c r="W624">
        <f>HYPERLINK("https://klasma.github.io/Logging_1784/klagomålsmail/A 23083-2024 FSC-klagomål mail.docx", "A 23083-2024")</f>
        <v/>
      </c>
      <c r="X624">
        <f>HYPERLINK("https://klasma.github.io/Logging_1784/tillsyn/A 23083-2024 tillsynsbegäran.docx", "A 23083-2024")</f>
        <v/>
      </c>
      <c r="Y624">
        <f>HYPERLINK("https://klasma.github.io/Logging_1784/tillsynsmail/A 23083-2024 tillsynsbegäran mail.docx", "A 23083-2024")</f>
        <v/>
      </c>
    </row>
    <row r="625" ht="15" customHeight="1">
      <c r="A625" t="inlineStr">
        <is>
          <t>A 23338-2024</t>
        </is>
      </c>
      <c r="B625" s="1" t="n">
        <v>45453</v>
      </c>
      <c r="C625" s="1" t="n">
        <v>45736</v>
      </c>
      <c r="D625" t="inlineStr">
        <is>
          <t>VÄRMLANDS LÄN</t>
        </is>
      </c>
      <c r="E625" t="inlineStr">
        <is>
          <t>KARLSTAD</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HYPERLINK("https://klasma.github.io/Logging_1780/artfynd/A 23338-2024 artfynd.xlsx", "A 23338-2024")</f>
        <v/>
      </c>
      <c r="T625">
        <f>HYPERLINK("https://klasma.github.io/Logging_1780/kartor/A 23338-2024 karta.png", "A 23338-2024")</f>
        <v/>
      </c>
      <c r="V625">
        <f>HYPERLINK("https://klasma.github.io/Logging_1780/klagomål/A 23338-2024 FSC-klagomål.docx", "A 23338-2024")</f>
        <v/>
      </c>
      <c r="W625">
        <f>HYPERLINK("https://klasma.github.io/Logging_1780/klagomålsmail/A 23338-2024 FSC-klagomål mail.docx", "A 23338-2024")</f>
        <v/>
      </c>
      <c r="X625">
        <f>HYPERLINK("https://klasma.github.io/Logging_1780/tillsyn/A 23338-2024 tillsynsbegäran.docx", "A 23338-2024")</f>
        <v/>
      </c>
      <c r="Y625">
        <f>HYPERLINK("https://klasma.github.io/Logging_1780/tillsynsmail/A 23338-2024 tillsynsbegäran mail.docx", "A 23338-2024")</f>
        <v/>
      </c>
    </row>
    <row r="626" ht="15" customHeight="1">
      <c r="A626" t="inlineStr">
        <is>
          <t>A 23377-2024</t>
        </is>
      </c>
      <c r="B626" s="1" t="n">
        <v>45453</v>
      </c>
      <c r="C626" s="1" t="n">
        <v>45736</v>
      </c>
      <c r="D626" t="inlineStr">
        <is>
          <t>VÄRMLANDS LÄN</t>
        </is>
      </c>
      <c r="E626" t="inlineStr">
        <is>
          <t>FILIPSTAD</t>
        </is>
      </c>
      <c r="F626" t="inlineStr">
        <is>
          <t>Bergvik skog väst AB</t>
        </is>
      </c>
      <c r="G626" t="n">
        <v>5.1</v>
      </c>
      <c r="H626" t="n">
        <v>1</v>
      </c>
      <c r="I626" t="n">
        <v>0</v>
      </c>
      <c r="J626" t="n">
        <v>0</v>
      </c>
      <c r="K626" t="n">
        <v>1</v>
      </c>
      <c r="L626" t="n">
        <v>0</v>
      </c>
      <c r="M626" t="n">
        <v>0</v>
      </c>
      <c r="N626" t="n">
        <v>0</v>
      </c>
      <c r="O626" t="n">
        <v>1</v>
      </c>
      <c r="P626" t="n">
        <v>1</v>
      </c>
      <c r="Q626" t="n">
        <v>1</v>
      </c>
      <c r="R626" s="2" t="inlineStr">
        <is>
          <t>Tallbit</t>
        </is>
      </c>
      <c r="S626">
        <f>HYPERLINK("https://klasma.github.io/Logging_1782/artfynd/A 23377-2024 artfynd.xlsx", "A 23377-2024")</f>
        <v/>
      </c>
      <c r="T626">
        <f>HYPERLINK("https://klasma.github.io/Logging_1782/kartor/A 23377-2024 karta.png", "A 23377-2024")</f>
        <v/>
      </c>
      <c r="V626">
        <f>HYPERLINK("https://klasma.github.io/Logging_1782/klagomål/A 23377-2024 FSC-klagomål.docx", "A 23377-2024")</f>
        <v/>
      </c>
      <c r="W626">
        <f>HYPERLINK("https://klasma.github.io/Logging_1782/klagomålsmail/A 23377-2024 FSC-klagomål mail.docx", "A 23377-2024")</f>
        <v/>
      </c>
      <c r="X626">
        <f>HYPERLINK("https://klasma.github.io/Logging_1782/tillsyn/A 23377-2024 tillsynsbegäran.docx", "A 23377-2024")</f>
        <v/>
      </c>
      <c r="Y626">
        <f>HYPERLINK("https://klasma.github.io/Logging_1782/tillsynsmail/A 23377-2024 tillsynsbegäran mail.docx", "A 23377-2024")</f>
        <v/>
      </c>
      <c r="Z626">
        <f>HYPERLINK("https://klasma.github.io/Logging_1782/fåglar/A 23377-2024 prioriterade fågelarter.docx", "A 23377-2024")</f>
        <v/>
      </c>
    </row>
    <row r="627" ht="15" customHeight="1">
      <c r="A627" t="inlineStr">
        <is>
          <t>A 25789-2024</t>
        </is>
      </c>
      <c r="B627" s="1" t="n">
        <v>45467</v>
      </c>
      <c r="C627" s="1" t="n">
        <v>45736</v>
      </c>
      <c r="D627" t="inlineStr">
        <is>
          <t>VÄRMLANDS LÄN</t>
        </is>
      </c>
      <c r="E627" t="inlineStr">
        <is>
          <t>TORSBY</t>
        </is>
      </c>
      <c r="F627" t="inlineStr">
        <is>
          <t>Bergvik skog väst AB</t>
        </is>
      </c>
      <c r="G627" t="n">
        <v>9</v>
      </c>
      <c r="H627" t="n">
        <v>1</v>
      </c>
      <c r="I627" t="n">
        <v>0</v>
      </c>
      <c r="J627" t="n">
        <v>1</v>
      </c>
      <c r="K627" t="n">
        <v>0</v>
      </c>
      <c r="L627" t="n">
        <v>0</v>
      </c>
      <c r="M627" t="n">
        <v>0</v>
      </c>
      <c r="N627" t="n">
        <v>0</v>
      </c>
      <c r="O627" t="n">
        <v>1</v>
      </c>
      <c r="P627" t="n">
        <v>0</v>
      </c>
      <c r="Q627" t="n">
        <v>1</v>
      </c>
      <c r="R627" s="2" t="inlineStr">
        <is>
          <t>Järpe</t>
        </is>
      </c>
      <c r="S627">
        <f>HYPERLINK("https://klasma.github.io/Logging_1737/artfynd/A 25789-2024 artfynd.xlsx", "A 25789-2024")</f>
        <v/>
      </c>
      <c r="T627">
        <f>HYPERLINK("https://klasma.github.io/Logging_1737/kartor/A 25789-2024 karta.png", "A 25789-2024")</f>
        <v/>
      </c>
      <c r="V627">
        <f>HYPERLINK("https://klasma.github.io/Logging_1737/klagomål/A 25789-2024 FSC-klagomål.docx", "A 25789-2024")</f>
        <v/>
      </c>
      <c r="W627">
        <f>HYPERLINK("https://klasma.github.io/Logging_1737/klagomålsmail/A 25789-2024 FSC-klagomål mail.docx", "A 25789-2024")</f>
        <v/>
      </c>
      <c r="X627">
        <f>HYPERLINK("https://klasma.github.io/Logging_1737/tillsyn/A 25789-2024 tillsynsbegäran.docx", "A 25789-2024")</f>
        <v/>
      </c>
      <c r="Y627">
        <f>HYPERLINK("https://klasma.github.io/Logging_1737/tillsynsmail/A 25789-2024 tillsynsbegäran mail.docx", "A 25789-2024")</f>
        <v/>
      </c>
      <c r="Z627">
        <f>HYPERLINK("https://klasma.github.io/Logging_1737/fåglar/A 25789-2024 prioriterade fågelarter.docx", "A 25789-2024")</f>
        <v/>
      </c>
    </row>
    <row r="628" ht="15" customHeight="1">
      <c r="A628" t="inlineStr">
        <is>
          <t>A 27726-2024</t>
        </is>
      </c>
      <c r="B628" s="1" t="n">
        <v>45475</v>
      </c>
      <c r="C628" s="1" t="n">
        <v>45736</v>
      </c>
      <c r="D628" t="inlineStr">
        <is>
          <t>VÄRMLANDS LÄN</t>
        </is>
      </c>
      <c r="E628" t="inlineStr">
        <is>
          <t>ÅRJÄNG</t>
        </is>
      </c>
      <c r="G628" t="n">
        <v>4.6</v>
      </c>
      <c r="H628" t="n">
        <v>0</v>
      </c>
      <c r="I628" t="n">
        <v>0</v>
      </c>
      <c r="J628" t="n">
        <v>0</v>
      </c>
      <c r="K628" t="n">
        <v>1</v>
      </c>
      <c r="L628" t="n">
        <v>0</v>
      </c>
      <c r="M628" t="n">
        <v>0</v>
      </c>
      <c r="N628" t="n">
        <v>0</v>
      </c>
      <c r="O628" t="n">
        <v>1</v>
      </c>
      <c r="P628" t="n">
        <v>1</v>
      </c>
      <c r="Q628" t="n">
        <v>1</v>
      </c>
      <c r="R628" s="2" t="inlineStr">
        <is>
          <t>Slåttergubbe</t>
        </is>
      </c>
      <c r="S628">
        <f>HYPERLINK("https://klasma.github.io/Logging_1765/artfynd/A 27726-2024 artfynd.xlsx", "A 27726-2024")</f>
        <v/>
      </c>
      <c r="T628">
        <f>HYPERLINK("https://klasma.github.io/Logging_1765/kartor/A 27726-2024 karta.png", "A 27726-2024")</f>
        <v/>
      </c>
      <c r="V628">
        <f>HYPERLINK("https://klasma.github.io/Logging_1765/klagomål/A 27726-2024 FSC-klagomål.docx", "A 27726-2024")</f>
        <v/>
      </c>
      <c r="W628">
        <f>HYPERLINK("https://klasma.github.io/Logging_1765/klagomålsmail/A 27726-2024 FSC-klagomål mail.docx", "A 27726-2024")</f>
        <v/>
      </c>
      <c r="X628">
        <f>HYPERLINK("https://klasma.github.io/Logging_1765/tillsyn/A 27726-2024 tillsynsbegäran.docx", "A 27726-2024")</f>
        <v/>
      </c>
      <c r="Y628">
        <f>HYPERLINK("https://klasma.github.io/Logging_1765/tillsynsmail/A 27726-2024 tillsynsbegäran mail.docx", "A 27726-2024")</f>
        <v/>
      </c>
    </row>
    <row r="629" ht="15" customHeight="1">
      <c r="A629" t="inlineStr">
        <is>
          <t>A 28237-2024</t>
        </is>
      </c>
      <c r="B629" s="1" t="n">
        <v>45477</v>
      </c>
      <c r="C629" s="1" t="n">
        <v>45736</v>
      </c>
      <c r="D629" t="inlineStr">
        <is>
          <t>VÄRMLANDS LÄN</t>
        </is>
      </c>
      <c r="E629" t="inlineStr">
        <is>
          <t>GRUMS</t>
        </is>
      </c>
      <c r="G629" t="n">
        <v>10.7</v>
      </c>
      <c r="H629" t="n">
        <v>0</v>
      </c>
      <c r="I629" t="n">
        <v>1</v>
      </c>
      <c r="J629" t="n">
        <v>0</v>
      </c>
      <c r="K629" t="n">
        <v>0</v>
      </c>
      <c r="L629" t="n">
        <v>0</v>
      </c>
      <c r="M629" t="n">
        <v>0</v>
      </c>
      <c r="N629" t="n">
        <v>0</v>
      </c>
      <c r="O629" t="n">
        <v>0</v>
      </c>
      <c r="P629" t="n">
        <v>0</v>
      </c>
      <c r="Q629" t="n">
        <v>1</v>
      </c>
      <c r="R629" s="2" t="inlineStr">
        <is>
          <t>Vågbandad barkbock</t>
        </is>
      </c>
      <c r="S629">
        <f>HYPERLINK("https://klasma.github.io/Logging_1764/artfynd/A 28237-2024 artfynd.xlsx", "A 28237-2024")</f>
        <v/>
      </c>
      <c r="T629">
        <f>HYPERLINK("https://klasma.github.io/Logging_1764/kartor/A 28237-2024 karta.png", "A 28237-2024")</f>
        <v/>
      </c>
      <c r="V629">
        <f>HYPERLINK("https://klasma.github.io/Logging_1764/klagomål/A 28237-2024 FSC-klagomål.docx", "A 28237-2024")</f>
        <v/>
      </c>
      <c r="W629">
        <f>HYPERLINK("https://klasma.github.io/Logging_1764/klagomålsmail/A 28237-2024 FSC-klagomål mail.docx", "A 28237-2024")</f>
        <v/>
      </c>
      <c r="X629">
        <f>HYPERLINK("https://klasma.github.io/Logging_1764/tillsyn/A 28237-2024 tillsynsbegäran.docx", "A 28237-2024")</f>
        <v/>
      </c>
      <c r="Y629">
        <f>HYPERLINK("https://klasma.github.io/Logging_1764/tillsynsmail/A 28237-2024 tillsynsbegäran mail.docx", "A 28237-2024")</f>
        <v/>
      </c>
    </row>
    <row r="630" ht="15" customHeight="1">
      <c r="A630" t="inlineStr">
        <is>
          <t>A 28792-2024</t>
        </is>
      </c>
      <c r="B630" s="1" t="n">
        <v>45478</v>
      </c>
      <c r="C630" s="1" t="n">
        <v>45736</v>
      </c>
      <c r="D630" t="inlineStr">
        <is>
          <t>VÄRMLANDS LÄN</t>
        </is>
      </c>
      <c r="E630" t="inlineStr">
        <is>
          <t>ÅRJÄNG</t>
        </is>
      </c>
      <c r="F630" t="inlineStr">
        <is>
          <t>Bergvik skog väst AB</t>
        </is>
      </c>
      <c r="G630" t="n">
        <v>3.5</v>
      </c>
      <c r="H630" t="n">
        <v>1</v>
      </c>
      <c r="I630" t="n">
        <v>0</v>
      </c>
      <c r="J630" t="n">
        <v>1</v>
      </c>
      <c r="K630" t="n">
        <v>0</v>
      </c>
      <c r="L630" t="n">
        <v>0</v>
      </c>
      <c r="M630" t="n">
        <v>0</v>
      </c>
      <c r="N630" t="n">
        <v>0</v>
      </c>
      <c r="O630" t="n">
        <v>1</v>
      </c>
      <c r="P630" t="n">
        <v>0</v>
      </c>
      <c r="Q630" t="n">
        <v>1</v>
      </c>
      <c r="R630" s="2" t="inlineStr">
        <is>
          <t>Utter</t>
        </is>
      </c>
      <c r="S630">
        <f>HYPERLINK("https://klasma.github.io/Logging_1765/artfynd/A 28792-2024 artfynd.xlsx", "A 28792-2024")</f>
        <v/>
      </c>
      <c r="T630">
        <f>HYPERLINK("https://klasma.github.io/Logging_1765/kartor/A 28792-2024 karta.png", "A 28792-2024")</f>
        <v/>
      </c>
      <c r="V630">
        <f>HYPERLINK("https://klasma.github.io/Logging_1765/klagomål/A 28792-2024 FSC-klagomål.docx", "A 28792-2024")</f>
        <v/>
      </c>
      <c r="W630">
        <f>HYPERLINK("https://klasma.github.io/Logging_1765/klagomålsmail/A 28792-2024 FSC-klagomål mail.docx", "A 28792-2024")</f>
        <v/>
      </c>
      <c r="X630">
        <f>HYPERLINK("https://klasma.github.io/Logging_1765/tillsyn/A 28792-2024 tillsynsbegäran.docx", "A 28792-2024")</f>
        <v/>
      </c>
      <c r="Y630">
        <f>HYPERLINK("https://klasma.github.io/Logging_1765/tillsynsmail/A 28792-2024 tillsynsbegäran mail.docx", "A 28792-2024")</f>
        <v/>
      </c>
    </row>
    <row r="631" ht="15" customHeight="1">
      <c r="A631" t="inlineStr">
        <is>
          <t>A 34186-2024</t>
        </is>
      </c>
      <c r="B631" s="1" t="n">
        <v>45524</v>
      </c>
      <c r="C631" s="1" t="n">
        <v>45736</v>
      </c>
      <c r="D631" t="inlineStr">
        <is>
          <t>VÄRMLANDS LÄN</t>
        </is>
      </c>
      <c r="E631" t="inlineStr">
        <is>
          <t>EDA</t>
        </is>
      </c>
      <c r="G631" t="n">
        <v>1.3</v>
      </c>
      <c r="H631" t="n">
        <v>0</v>
      </c>
      <c r="I631" t="n">
        <v>1</v>
      </c>
      <c r="J631" t="n">
        <v>0</v>
      </c>
      <c r="K631" t="n">
        <v>0</v>
      </c>
      <c r="L631" t="n">
        <v>0</v>
      </c>
      <c r="M631" t="n">
        <v>0</v>
      </c>
      <c r="N631" t="n">
        <v>0</v>
      </c>
      <c r="O631" t="n">
        <v>0</v>
      </c>
      <c r="P631" t="n">
        <v>0</v>
      </c>
      <c r="Q631" t="n">
        <v>1</v>
      </c>
      <c r="R631" s="2" t="inlineStr">
        <is>
          <t>Bårdlav</t>
        </is>
      </c>
      <c r="S631">
        <f>HYPERLINK("https://klasma.github.io/Logging_1730/artfynd/A 34186-2024 artfynd.xlsx", "A 34186-2024")</f>
        <v/>
      </c>
      <c r="T631">
        <f>HYPERLINK("https://klasma.github.io/Logging_1730/kartor/A 34186-2024 karta.png", "A 34186-2024")</f>
        <v/>
      </c>
      <c r="V631">
        <f>HYPERLINK("https://klasma.github.io/Logging_1730/klagomål/A 34186-2024 FSC-klagomål.docx", "A 34186-2024")</f>
        <v/>
      </c>
      <c r="W631">
        <f>HYPERLINK("https://klasma.github.io/Logging_1730/klagomålsmail/A 34186-2024 FSC-klagomål mail.docx", "A 34186-2024")</f>
        <v/>
      </c>
      <c r="X631">
        <f>HYPERLINK("https://klasma.github.io/Logging_1730/tillsyn/A 34186-2024 tillsynsbegäran.docx", "A 34186-2024")</f>
        <v/>
      </c>
      <c r="Y631">
        <f>HYPERLINK("https://klasma.github.io/Logging_1730/tillsynsmail/A 34186-2024 tillsynsbegäran mail.docx", "A 34186-2024")</f>
        <v/>
      </c>
    </row>
    <row r="632" ht="15" customHeight="1">
      <c r="A632" t="inlineStr">
        <is>
          <t>A 35077-2024</t>
        </is>
      </c>
      <c r="B632" s="1" t="n">
        <v>45527</v>
      </c>
      <c r="C632" s="1" t="n">
        <v>45736</v>
      </c>
      <c r="D632" t="inlineStr">
        <is>
          <t>VÄRMLANDS LÄN</t>
        </is>
      </c>
      <c r="E632" t="inlineStr">
        <is>
          <t>GRUMS</t>
        </is>
      </c>
      <c r="G632" t="n">
        <v>2.1</v>
      </c>
      <c r="H632" t="n">
        <v>1</v>
      </c>
      <c r="I632" t="n">
        <v>0</v>
      </c>
      <c r="J632" t="n">
        <v>0</v>
      </c>
      <c r="K632" t="n">
        <v>1</v>
      </c>
      <c r="L632" t="n">
        <v>0</v>
      </c>
      <c r="M632" t="n">
        <v>0</v>
      </c>
      <c r="N632" t="n">
        <v>0</v>
      </c>
      <c r="O632" t="n">
        <v>1</v>
      </c>
      <c r="P632" t="n">
        <v>1</v>
      </c>
      <c r="Q632" t="n">
        <v>1</v>
      </c>
      <c r="R632" s="2" t="inlineStr">
        <is>
          <t>Knärot</t>
        </is>
      </c>
      <c r="S632">
        <f>HYPERLINK("https://klasma.github.io/Logging_1764/artfynd/A 35077-2024 artfynd.xlsx", "A 35077-2024")</f>
        <v/>
      </c>
      <c r="T632">
        <f>HYPERLINK("https://klasma.github.io/Logging_1764/kartor/A 35077-2024 karta.png", "A 35077-2024")</f>
        <v/>
      </c>
      <c r="U632">
        <f>HYPERLINK("https://klasma.github.io/Logging_1764/knärot/A 35077-2024 karta knärot.png", "A 35077-2024")</f>
        <v/>
      </c>
      <c r="V632">
        <f>HYPERLINK("https://klasma.github.io/Logging_1764/klagomål/A 35077-2024 FSC-klagomål.docx", "A 35077-2024")</f>
        <v/>
      </c>
      <c r="W632">
        <f>HYPERLINK("https://klasma.github.io/Logging_1764/klagomålsmail/A 35077-2024 FSC-klagomål mail.docx", "A 35077-2024")</f>
        <v/>
      </c>
      <c r="X632">
        <f>HYPERLINK("https://klasma.github.io/Logging_1764/tillsyn/A 35077-2024 tillsynsbegäran.docx", "A 35077-2024")</f>
        <v/>
      </c>
      <c r="Y632">
        <f>HYPERLINK("https://klasma.github.io/Logging_1764/tillsynsmail/A 35077-2024 tillsynsbegäran mail.docx", "A 35077-2024")</f>
        <v/>
      </c>
    </row>
    <row r="633" ht="15" customHeight="1">
      <c r="A633" t="inlineStr">
        <is>
          <t>A 35334-2024</t>
        </is>
      </c>
      <c r="B633" s="1" t="n">
        <v>45530</v>
      </c>
      <c r="C633" s="1" t="n">
        <v>45736</v>
      </c>
      <c r="D633" t="inlineStr">
        <is>
          <t>VÄRMLANDS LÄN</t>
        </is>
      </c>
      <c r="E633" t="inlineStr">
        <is>
          <t>FORSHAGA</t>
        </is>
      </c>
      <c r="F633" t="inlineStr">
        <is>
          <t>Kommuner</t>
        </is>
      </c>
      <c r="G633" t="n">
        <v>3.2</v>
      </c>
      <c r="H633" t="n">
        <v>1</v>
      </c>
      <c r="I633" t="n">
        <v>0</v>
      </c>
      <c r="J633" t="n">
        <v>0</v>
      </c>
      <c r="K633" t="n">
        <v>0</v>
      </c>
      <c r="L633" t="n">
        <v>0</v>
      </c>
      <c r="M633" t="n">
        <v>0</v>
      </c>
      <c r="N633" t="n">
        <v>0</v>
      </c>
      <c r="O633" t="n">
        <v>0</v>
      </c>
      <c r="P633" t="n">
        <v>0</v>
      </c>
      <c r="Q633" t="n">
        <v>1</v>
      </c>
      <c r="R633" s="2" t="inlineStr">
        <is>
          <t>Nattviol</t>
        </is>
      </c>
      <c r="S633">
        <f>HYPERLINK("https://klasma.github.io/Logging_1763/artfynd/A 35334-2024 artfynd.xlsx", "A 35334-2024")</f>
        <v/>
      </c>
      <c r="T633">
        <f>HYPERLINK("https://klasma.github.io/Logging_1763/kartor/A 35334-2024 karta.png", "A 35334-2024")</f>
        <v/>
      </c>
      <c r="V633">
        <f>HYPERLINK("https://klasma.github.io/Logging_1763/klagomål/A 35334-2024 FSC-klagomål.docx", "A 35334-2024")</f>
        <v/>
      </c>
      <c r="W633">
        <f>HYPERLINK("https://klasma.github.io/Logging_1763/klagomålsmail/A 35334-2024 FSC-klagomål mail.docx", "A 35334-2024")</f>
        <v/>
      </c>
      <c r="X633">
        <f>HYPERLINK("https://klasma.github.io/Logging_1763/tillsyn/A 35334-2024 tillsynsbegäran.docx", "A 35334-2024")</f>
        <v/>
      </c>
      <c r="Y633">
        <f>HYPERLINK("https://klasma.github.io/Logging_1763/tillsynsmail/A 35334-2024 tillsynsbegäran mail.docx", "A 35334-2024")</f>
        <v/>
      </c>
    </row>
    <row r="634" ht="15" customHeight="1">
      <c r="A634" t="inlineStr">
        <is>
          <t>A 35717-2024</t>
        </is>
      </c>
      <c r="B634" s="1" t="n">
        <v>45532</v>
      </c>
      <c r="C634" s="1" t="n">
        <v>45736</v>
      </c>
      <c r="D634" t="inlineStr">
        <is>
          <t>VÄRMLANDS LÄN</t>
        </is>
      </c>
      <c r="E634" t="inlineStr">
        <is>
          <t>SUNNE</t>
        </is>
      </c>
      <c r="G634" t="n">
        <v>4.5</v>
      </c>
      <c r="H634" t="n">
        <v>0</v>
      </c>
      <c r="I634" t="n">
        <v>1</v>
      </c>
      <c r="J634" t="n">
        <v>0</v>
      </c>
      <c r="K634" t="n">
        <v>0</v>
      </c>
      <c r="L634" t="n">
        <v>0</v>
      </c>
      <c r="M634" t="n">
        <v>0</v>
      </c>
      <c r="N634" t="n">
        <v>0</v>
      </c>
      <c r="O634" t="n">
        <v>0</v>
      </c>
      <c r="P634" t="n">
        <v>0</v>
      </c>
      <c r="Q634" t="n">
        <v>1</v>
      </c>
      <c r="R634" s="2" t="inlineStr">
        <is>
          <t>Stor revmossa</t>
        </is>
      </c>
      <c r="S634">
        <f>HYPERLINK("https://klasma.github.io/Logging_1766/artfynd/A 35717-2024 artfynd.xlsx", "A 35717-2024")</f>
        <v/>
      </c>
      <c r="T634">
        <f>HYPERLINK("https://klasma.github.io/Logging_1766/kartor/A 35717-2024 karta.png", "A 35717-2024")</f>
        <v/>
      </c>
      <c r="V634">
        <f>HYPERLINK("https://klasma.github.io/Logging_1766/klagomål/A 35717-2024 FSC-klagomål.docx", "A 35717-2024")</f>
        <v/>
      </c>
      <c r="W634">
        <f>HYPERLINK("https://klasma.github.io/Logging_1766/klagomålsmail/A 35717-2024 FSC-klagomål mail.docx", "A 35717-2024")</f>
        <v/>
      </c>
      <c r="X634">
        <f>HYPERLINK("https://klasma.github.io/Logging_1766/tillsyn/A 35717-2024 tillsynsbegäran.docx", "A 35717-2024")</f>
        <v/>
      </c>
      <c r="Y634">
        <f>HYPERLINK("https://klasma.github.io/Logging_1766/tillsynsmail/A 35717-2024 tillsynsbegäran mail.docx", "A 35717-2024")</f>
        <v/>
      </c>
    </row>
    <row r="635" ht="15" customHeight="1">
      <c r="A635" t="inlineStr">
        <is>
          <t>A 35926-2024</t>
        </is>
      </c>
      <c r="B635" s="1" t="n">
        <v>45533</v>
      </c>
      <c r="C635" s="1" t="n">
        <v>45736</v>
      </c>
      <c r="D635" t="inlineStr">
        <is>
          <t>VÄRMLANDS LÄN</t>
        </is>
      </c>
      <c r="E635" t="inlineStr">
        <is>
          <t>SUNNE</t>
        </is>
      </c>
      <c r="G635" t="n">
        <v>2.1</v>
      </c>
      <c r="H635" t="n">
        <v>0</v>
      </c>
      <c r="I635" t="n">
        <v>1</v>
      </c>
      <c r="J635" t="n">
        <v>0</v>
      </c>
      <c r="K635" t="n">
        <v>0</v>
      </c>
      <c r="L635" t="n">
        <v>0</v>
      </c>
      <c r="M635" t="n">
        <v>0</v>
      </c>
      <c r="N635" t="n">
        <v>0</v>
      </c>
      <c r="O635" t="n">
        <v>0</v>
      </c>
      <c r="P635" t="n">
        <v>0</v>
      </c>
      <c r="Q635" t="n">
        <v>1</v>
      </c>
      <c r="R635" s="2" t="inlineStr">
        <is>
          <t>Vågbandad barkbock</t>
        </is>
      </c>
      <c r="S635">
        <f>HYPERLINK("https://klasma.github.io/Logging_1766/artfynd/A 35926-2024 artfynd.xlsx", "A 35926-2024")</f>
        <v/>
      </c>
      <c r="T635">
        <f>HYPERLINK("https://klasma.github.io/Logging_1766/kartor/A 35926-2024 karta.png", "A 35926-2024")</f>
        <v/>
      </c>
      <c r="V635">
        <f>HYPERLINK("https://klasma.github.io/Logging_1766/klagomål/A 35926-2024 FSC-klagomål.docx", "A 35926-2024")</f>
        <v/>
      </c>
      <c r="W635">
        <f>HYPERLINK("https://klasma.github.io/Logging_1766/klagomålsmail/A 35926-2024 FSC-klagomål mail.docx", "A 35926-2024")</f>
        <v/>
      </c>
      <c r="X635">
        <f>HYPERLINK("https://klasma.github.io/Logging_1766/tillsyn/A 35926-2024 tillsynsbegäran.docx", "A 35926-2024")</f>
        <v/>
      </c>
      <c r="Y635">
        <f>HYPERLINK("https://klasma.github.io/Logging_1766/tillsynsmail/A 35926-2024 tillsynsbegäran mail.docx", "A 35926-2024")</f>
        <v/>
      </c>
    </row>
    <row r="636" ht="15" customHeight="1">
      <c r="A636" t="inlineStr">
        <is>
          <t>A 36273-2024</t>
        </is>
      </c>
      <c r="B636" s="1" t="n">
        <v>45534</v>
      </c>
      <c r="C636" s="1" t="n">
        <v>45736</v>
      </c>
      <c r="D636" t="inlineStr">
        <is>
          <t>VÄRMLANDS LÄN</t>
        </is>
      </c>
      <c r="E636" t="inlineStr">
        <is>
          <t>SÄFFLE</t>
        </is>
      </c>
      <c r="G636" t="n">
        <v>4.8</v>
      </c>
      <c r="H636" t="n">
        <v>0</v>
      </c>
      <c r="I636" t="n">
        <v>1</v>
      </c>
      <c r="J636" t="n">
        <v>0</v>
      </c>
      <c r="K636" t="n">
        <v>0</v>
      </c>
      <c r="L636" t="n">
        <v>0</v>
      </c>
      <c r="M636" t="n">
        <v>0</v>
      </c>
      <c r="N636" t="n">
        <v>0</v>
      </c>
      <c r="O636" t="n">
        <v>0</v>
      </c>
      <c r="P636" t="n">
        <v>0</v>
      </c>
      <c r="Q636" t="n">
        <v>1</v>
      </c>
      <c r="R636" s="2" t="inlineStr">
        <is>
          <t>Vätteros</t>
        </is>
      </c>
      <c r="S636">
        <f>HYPERLINK("https://klasma.github.io/Logging_1785/artfynd/A 36273-2024 artfynd.xlsx", "A 36273-2024")</f>
        <v/>
      </c>
      <c r="T636">
        <f>HYPERLINK("https://klasma.github.io/Logging_1785/kartor/A 36273-2024 karta.png", "A 36273-2024")</f>
        <v/>
      </c>
      <c r="V636">
        <f>HYPERLINK("https://klasma.github.io/Logging_1785/klagomål/A 36273-2024 FSC-klagomål.docx", "A 36273-2024")</f>
        <v/>
      </c>
      <c r="W636">
        <f>HYPERLINK("https://klasma.github.io/Logging_1785/klagomålsmail/A 36273-2024 FSC-klagomål mail.docx", "A 36273-2024")</f>
        <v/>
      </c>
      <c r="X636">
        <f>HYPERLINK("https://klasma.github.io/Logging_1785/tillsyn/A 36273-2024 tillsynsbegäran.docx", "A 36273-2024")</f>
        <v/>
      </c>
      <c r="Y636">
        <f>HYPERLINK("https://klasma.github.io/Logging_1785/tillsynsmail/A 36273-2024 tillsynsbegäran mail.docx", "A 36273-2024")</f>
        <v/>
      </c>
    </row>
    <row r="637" ht="15" customHeight="1">
      <c r="A637" t="inlineStr">
        <is>
          <t>A 36475-2024</t>
        </is>
      </c>
      <c r="B637" s="1" t="n">
        <v>45537</v>
      </c>
      <c r="C637" s="1" t="n">
        <v>45736</v>
      </c>
      <c r="D637" t="inlineStr">
        <is>
          <t>VÄRMLANDS LÄN</t>
        </is>
      </c>
      <c r="E637" t="inlineStr">
        <is>
          <t>ARVIKA</t>
        </is>
      </c>
      <c r="F637" t="inlineStr">
        <is>
          <t>Kommuner</t>
        </is>
      </c>
      <c r="G637" t="n">
        <v>2.2</v>
      </c>
      <c r="H637" t="n">
        <v>0</v>
      </c>
      <c r="I637" t="n">
        <v>0</v>
      </c>
      <c r="J637" t="n">
        <v>0</v>
      </c>
      <c r="K637" t="n">
        <v>1</v>
      </c>
      <c r="L637" t="n">
        <v>0</v>
      </c>
      <c r="M637" t="n">
        <v>0</v>
      </c>
      <c r="N637" t="n">
        <v>0</v>
      </c>
      <c r="O637" t="n">
        <v>1</v>
      </c>
      <c r="P637" t="n">
        <v>1</v>
      </c>
      <c r="Q637" t="n">
        <v>1</v>
      </c>
      <c r="R637" s="2" t="inlineStr">
        <is>
          <t>Slåttergubbemal</t>
        </is>
      </c>
      <c r="S637">
        <f>HYPERLINK("https://klasma.github.io/Logging_1784/artfynd/A 36475-2024 artfynd.xlsx", "A 36475-2024")</f>
        <v/>
      </c>
      <c r="T637">
        <f>HYPERLINK("https://klasma.github.io/Logging_1784/kartor/A 36475-2024 karta.png", "A 36475-2024")</f>
        <v/>
      </c>
      <c r="V637">
        <f>HYPERLINK("https://klasma.github.io/Logging_1784/klagomål/A 36475-2024 FSC-klagomål.docx", "A 36475-2024")</f>
        <v/>
      </c>
      <c r="W637">
        <f>HYPERLINK("https://klasma.github.io/Logging_1784/klagomålsmail/A 36475-2024 FSC-klagomål mail.docx", "A 36475-2024")</f>
        <v/>
      </c>
      <c r="X637">
        <f>HYPERLINK("https://klasma.github.io/Logging_1784/tillsyn/A 36475-2024 tillsynsbegäran.docx", "A 36475-2024")</f>
        <v/>
      </c>
      <c r="Y637">
        <f>HYPERLINK("https://klasma.github.io/Logging_1784/tillsynsmail/A 36475-2024 tillsynsbegäran mail.docx", "A 36475-2024")</f>
        <v/>
      </c>
    </row>
    <row r="638" ht="15" customHeight="1">
      <c r="A638" t="inlineStr">
        <is>
          <t>A 36962-2024</t>
        </is>
      </c>
      <c r="B638" s="1" t="n">
        <v>45538</v>
      </c>
      <c r="C638" s="1" t="n">
        <v>45736</v>
      </c>
      <c r="D638" t="inlineStr">
        <is>
          <t>VÄRMLANDS LÄN</t>
        </is>
      </c>
      <c r="E638" t="inlineStr">
        <is>
          <t>TORSBY</t>
        </is>
      </c>
      <c r="G638" t="n">
        <v>17</v>
      </c>
      <c r="H638" t="n">
        <v>0</v>
      </c>
      <c r="I638" t="n">
        <v>1</v>
      </c>
      <c r="J638" t="n">
        <v>0</v>
      </c>
      <c r="K638" t="n">
        <v>0</v>
      </c>
      <c r="L638" t="n">
        <v>0</v>
      </c>
      <c r="M638" t="n">
        <v>0</v>
      </c>
      <c r="N638" t="n">
        <v>0</v>
      </c>
      <c r="O638" t="n">
        <v>0</v>
      </c>
      <c r="P638" t="n">
        <v>0</v>
      </c>
      <c r="Q638" t="n">
        <v>1</v>
      </c>
      <c r="R638" s="2" t="inlineStr">
        <is>
          <t>Dropptaggsvamp</t>
        </is>
      </c>
      <c r="S638">
        <f>HYPERLINK("https://klasma.github.io/Logging_1737/artfynd/A 36962-2024 artfynd.xlsx", "A 36962-2024")</f>
        <v/>
      </c>
      <c r="T638">
        <f>HYPERLINK("https://klasma.github.io/Logging_1737/kartor/A 36962-2024 karta.png", "A 36962-2024")</f>
        <v/>
      </c>
      <c r="V638">
        <f>HYPERLINK("https://klasma.github.io/Logging_1737/klagomål/A 36962-2024 FSC-klagomål.docx", "A 36962-2024")</f>
        <v/>
      </c>
      <c r="W638">
        <f>HYPERLINK("https://klasma.github.io/Logging_1737/klagomålsmail/A 36962-2024 FSC-klagomål mail.docx", "A 36962-2024")</f>
        <v/>
      </c>
      <c r="X638">
        <f>HYPERLINK("https://klasma.github.io/Logging_1737/tillsyn/A 36962-2024 tillsynsbegäran.docx", "A 36962-2024")</f>
        <v/>
      </c>
      <c r="Y638">
        <f>HYPERLINK("https://klasma.github.io/Logging_1737/tillsynsmail/A 36962-2024 tillsynsbegäran mail.docx", "A 36962-2024")</f>
        <v/>
      </c>
    </row>
    <row r="639" ht="15" customHeight="1">
      <c r="A639" t="inlineStr">
        <is>
          <t>A 37292-2024</t>
        </is>
      </c>
      <c r="B639" s="1" t="n">
        <v>45540</v>
      </c>
      <c r="C639" s="1" t="n">
        <v>45736</v>
      </c>
      <c r="D639" t="inlineStr">
        <is>
          <t>VÄRMLANDS LÄN</t>
        </is>
      </c>
      <c r="E639" t="inlineStr">
        <is>
          <t>TORSBY</t>
        </is>
      </c>
      <c r="G639" t="n">
        <v>5.4</v>
      </c>
      <c r="H639" t="n">
        <v>0</v>
      </c>
      <c r="I639" t="n">
        <v>0</v>
      </c>
      <c r="J639" t="n">
        <v>1</v>
      </c>
      <c r="K639" t="n">
        <v>0</v>
      </c>
      <c r="L639" t="n">
        <v>0</v>
      </c>
      <c r="M639" t="n">
        <v>0</v>
      </c>
      <c r="N639" t="n">
        <v>0</v>
      </c>
      <c r="O639" t="n">
        <v>1</v>
      </c>
      <c r="P639" t="n">
        <v>0</v>
      </c>
      <c r="Q639" t="n">
        <v>1</v>
      </c>
      <c r="R639" s="2" t="inlineStr">
        <is>
          <t>Garnlav</t>
        </is>
      </c>
      <c r="S639">
        <f>HYPERLINK("https://klasma.github.io/Logging_1737/artfynd/A 37292-2024 artfynd.xlsx", "A 37292-2024")</f>
        <v/>
      </c>
      <c r="T639">
        <f>HYPERLINK("https://klasma.github.io/Logging_1737/kartor/A 37292-2024 karta.png", "A 37292-2024")</f>
        <v/>
      </c>
      <c r="V639">
        <f>HYPERLINK("https://klasma.github.io/Logging_1737/klagomål/A 37292-2024 FSC-klagomål.docx", "A 37292-2024")</f>
        <v/>
      </c>
      <c r="W639">
        <f>HYPERLINK("https://klasma.github.io/Logging_1737/klagomålsmail/A 37292-2024 FSC-klagomål mail.docx", "A 37292-2024")</f>
        <v/>
      </c>
      <c r="X639">
        <f>HYPERLINK("https://klasma.github.io/Logging_1737/tillsyn/A 37292-2024 tillsynsbegäran.docx", "A 37292-2024")</f>
        <v/>
      </c>
      <c r="Y639">
        <f>HYPERLINK("https://klasma.github.io/Logging_1737/tillsynsmail/A 37292-2024 tillsynsbegäran mail.docx", "A 37292-2024")</f>
        <v/>
      </c>
    </row>
    <row r="640" ht="15" customHeight="1">
      <c r="A640" t="inlineStr">
        <is>
          <t>A 38039-2024</t>
        </is>
      </c>
      <c r="B640" s="1" t="n">
        <v>45544</v>
      </c>
      <c r="C640" s="1" t="n">
        <v>45736</v>
      </c>
      <c r="D640" t="inlineStr">
        <is>
          <t>VÄRMLANDS LÄN</t>
        </is>
      </c>
      <c r="E640" t="inlineStr">
        <is>
          <t>KIL</t>
        </is>
      </c>
      <c r="G640" t="n">
        <v>4</v>
      </c>
      <c r="H640" t="n">
        <v>0</v>
      </c>
      <c r="I640" t="n">
        <v>1</v>
      </c>
      <c r="J640" t="n">
        <v>0</v>
      </c>
      <c r="K640" t="n">
        <v>0</v>
      </c>
      <c r="L640" t="n">
        <v>0</v>
      </c>
      <c r="M640" t="n">
        <v>0</v>
      </c>
      <c r="N640" t="n">
        <v>0</v>
      </c>
      <c r="O640" t="n">
        <v>0</v>
      </c>
      <c r="P640" t="n">
        <v>0</v>
      </c>
      <c r="Q640" t="n">
        <v>1</v>
      </c>
      <c r="R640" s="2" t="inlineStr">
        <is>
          <t>Vedticka</t>
        </is>
      </c>
      <c r="S640">
        <f>HYPERLINK("https://klasma.github.io/Logging_1715/artfynd/A 38039-2024 artfynd.xlsx", "A 38039-2024")</f>
        <v/>
      </c>
      <c r="T640">
        <f>HYPERLINK("https://klasma.github.io/Logging_1715/kartor/A 38039-2024 karta.png", "A 38039-2024")</f>
        <v/>
      </c>
      <c r="V640">
        <f>HYPERLINK("https://klasma.github.io/Logging_1715/klagomål/A 38039-2024 FSC-klagomål.docx", "A 38039-2024")</f>
        <v/>
      </c>
      <c r="W640">
        <f>HYPERLINK("https://klasma.github.io/Logging_1715/klagomålsmail/A 38039-2024 FSC-klagomål mail.docx", "A 38039-2024")</f>
        <v/>
      </c>
      <c r="X640">
        <f>HYPERLINK("https://klasma.github.io/Logging_1715/tillsyn/A 38039-2024 tillsynsbegäran.docx", "A 38039-2024")</f>
        <v/>
      </c>
      <c r="Y640">
        <f>HYPERLINK("https://klasma.github.io/Logging_1715/tillsynsmail/A 38039-2024 tillsynsbegäran mail.docx", "A 38039-2024")</f>
        <v/>
      </c>
    </row>
    <row r="641" ht="15" customHeight="1">
      <c r="A641" t="inlineStr">
        <is>
          <t>A 38420-2024</t>
        </is>
      </c>
      <c r="B641" s="1" t="n">
        <v>45546</v>
      </c>
      <c r="C641" s="1" t="n">
        <v>45736</v>
      </c>
      <c r="D641" t="inlineStr">
        <is>
          <t>VÄRMLANDS LÄN</t>
        </is>
      </c>
      <c r="E641" t="inlineStr">
        <is>
          <t>GRUMS</t>
        </is>
      </c>
      <c r="F641" t="inlineStr">
        <is>
          <t>Bergvik skog väst AB</t>
        </is>
      </c>
      <c r="G641" t="n">
        <v>3</v>
      </c>
      <c r="H641" t="n">
        <v>1</v>
      </c>
      <c r="I641" t="n">
        <v>0</v>
      </c>
      <c r="J641" t="n">
        <v>0</v>
      </c>
      <c r="K641" t="n">
        <v>0</v>
      </c>
      <c r="L641" t="n">
        <v>0</v>
      </c>
      <c r="M641" t="n">
        <v>0</v>
      </c>
      <c r="N641" t="n">
        <v>0</v>
      </c>
      <c r="O641" t="n">
        <v>0</v>
      </c>
      <c r="P641" t="n">
        <v>0</v>
      </c>
      <c r="Q641" t="n">
        <v>1</v>
      </c>
      <c r="R641" s="2" t="inlineStr">
        <is>
          <t>Kopparödla</t>
        </is>
      </c>
      <c r="S641">
        <f>HYPERLINK("https://klasma.github.io/Logging_1764/artfynd/A 38420-2024 artfynd.xlsx", "A 38420-2024")</f>
        <v/>
      </c>
      <c r="T641">
        <f>HYPERLINK("https://klasma.github.io/Logging_1764/kartor/A 38420-2024 karta.png", "A 38420-2024")</f>
        <v/>
      </c>
      <c r="V641">
        <f>HYPERLINK("https://klasma.github.io/Logging_1764/klagomål/A 38420-2024 FSC-klagomål.docx", "A 38420-2024")</f>
        <v/>
      </c>
      <c r="W641">
        <f>HYPERLINK("https://klasma.github.io/Logging_1764/klagomålsmail/A 38420-2024 FSC-klagomål mail.docx", "A 38420-2024")</f>
        <v/>
      </c>
      <c r="X641">
        <f>HYPERLINK("https://klasma.github.io/Logging_1764/tillsyn/A 38420-2024 tillsynsbegäran.docx", "A 38420-2024")</f>
        <v/>
      </c>
      <c r="Y641">
        <f>HYPERLINK("https://klasma.github.io/Logging_1764/tillsynsmail/A 38420-2024 tillsynsbegäran mail.docx", "A 38420-2024")</f>
        <v/>
      </c>
    </row>
    <row r="642" ht="15" customHeight="1">
      <c r="A642" t="inlineStr">
        <is>
          <t>A 40033-2024</t>
        </is>
      </c>
      <c r="B642" s="1" t="n">
        <v>45553</v>
      </c>
      <c r="C642" s="1" t="n">
        <v>45736</v>
      </c>
      <c r="D642" t="inlineStr">
        <is>
          <t>VÄRMLANDS LÄN</t>
        </is>
      </c>
      <c r="E642" t="inlineStr">
        <is>
          <t>TORSBY</t>
        </is>
      </c>
      <c r="G642" t="n">
        <v>6.2</v>
      </c>
      <c r="H642" t="n">
        <v>0</v>
      </c>
      <c r="I642" t="n">
        <v>0</v>
      </c>
      <c r="J642" t="n">
        <v>1</v>
      </c>
      <c r="K642" t="n">
        <v>0</v>
      </c>
      <c r="L642" t="n">
        <v>0</v>
      </c>
      <c r="M642" t="n">
        <v>0</v>
      </c>
      <c r="N642" t="n">
        <v>0</v>
      </c>
      <c r="O642" t="n">
        <v>1</v>
      </c>
      <c r="P642" t="n">
        <v>0</v>
      </c>
      <c r="Q642" t="n">
        <v>1</v>
      </c>
      <c r="R642" s="2" t="inlineStr">
        <is>
          <t>Violettgrå tagellav</t>
        </is>
      </c>
      <c r="S642">
        <f>HYPERLINK("https://klasma.github.io/Logging_1737/artfynd/A 40033-2024 artfynd.xlsx", "A 40033-2024")</f>
        <v/>
      </c>
      <c r="T642">
        <f>HYPERLINK("https://klasma.github.io/Logging_1737/kartor/A 40033-2024 karta.png", "A 40033-2024")</f>
        <v/>
      </c>
      <c r="V642">
        <f>HYPERLINK("https://klasma.github.io/Logging_1737/klagomål/A 40033-2024 FSC-klagomål.docx", "A 40033-2024")</f>
        <v/>
      </c>
      <c r="W642">
        <f>HYPERLINK("https://klasma.github.io/Logging_1737/klagomålsmail/A 40033-2024 FSC-klagomål mail.docx", "A 40033-2024")</f>
        <v/>
      </c>
      <c r="X642">
        <f>HYPERLINK("https://klasma.github.io/Logging_1737/tillsyn/A 40033-2024 tillsynsbegäran.docx", "A 40033-2024")</f>
        <v/>
      </c>
      <c r="Y642">
        <f>HYPERLINK("https://klasma.github.io/Logging_1737/tillsynsmail/A 40033-2024 tillsynsbegäran mail.docx", "A 40033-2024")</f>
        <v/>
      </c>
    </row>
    <row r="643" ht="15" customHeight="1">
      <c r="A643" t="inlineStr">
        <is>
          <t>A 40934-2024</t>
        </is>
      </c>
      <c r="B643" s="1" t="n">
        <v>45558</v>
      </c>
      <c r="C643" s="1" t="n">
        <v>45736</v>
      </c>
      <c r="D643" t="inlineStr">
        <is>
          <t>VÄRMLANDS LÄN</t>
        </is>
      </c>
      <c r="E643" t="inlineStr">
        <is>
          <t>TORSBY</t>
        </is>
      </c>
      <c r="G643" t="n">
        <v>8.1</v>
      </c>
      <c r="H643" t="n">
        <v>0</v>
      </c>
      <c r="I643" t="n">
        <v>0</v>
      </c>
      <c r="J643" t="n">
        <v>1</v>
      </c>
      <c r="K643" t="n">
        <v>0</v>
      </c>
      <c r="L643" t="n">
        <v>0</v>
      </c>
      <c r="M643" t="n">
        <v>0</v>
      </c>
      <c r="N643" t="n">
        <v>0</v>
      </c>
      <c r="O643" t="n">
        <v>1</v>
      </c>
      <c r="P643" t="n">
        <v>0</v>
      </c>
      <c r="Q643" t="n">
        <v>1</v>
      </c>
      <c r="R643" s="2" t="inlineStr">
        <is>
          <t>Lunglav</t>
        </is>
      </c>
      <c r="S643">
        <f>HYPERLINK("https://klasma.github.io/Logging_1737/artfynd/A 40934-2024 artfynd.xlsx", "A 40934-2024")</f>
        <v/>
      </c>
      <c r="T643">
        <f>HYPERLINK("https://klasma.github.io/Logging_1737/kartor/A 40934-2024 karta.png", "A 40934-2024")</f>
        <v/>
      </c>
      <c r="V643">
        <f>HYPERLINK("https://klasma.github.io/Logging_1737/klagomål/A 40934-2024 FSC-klagomål.docx", "A 40934-2024")</f>
        <v/>
      </c>
      <c r="W643">
        <f>HYPERLINK("https://klasma.github.io/Logging_1737/klagomålsmail/A 40934-2024 FSC-klagomål mail.docx", "A 40934-2024")</f>
        <v/>
      </c>
      <c r="X643">
        <f>HYPERLINK("https://klasma.github.io/Logging_1737/tillsyn/A 40934-2024 tillsynsbegäran.docx", "A 40934-2024")</f>
        <v/>
      </c>
      <c r="Y643">
        <f>HYPERLINK("https://klasma.github.io/Logging_1737/tillsynsmail/A 40934-2024 tillsynsbegäran mail.docx", "A 40934-2024")</f>
        <v/>
      </c>
    </row>
    <row r="644" ht="15" customHeight="1">
      <c r="A644" t="inlineStr">
        <is>
          <t>A 41350-2024</t>
        </is>
      </c>
      <c r="B644" s="1" t="n">
        <v>45559</v>
      </c>
      <c r="C644" s="1" t="n">
        <v>45736</v>
      </c>
      <c r="D644" t="inlineStr">
        <is>
          <t>VÄRMLANDS LÄN</t>
        </is>
      </c>
      <c r="E644" t="inlineStr">
        <is>
          <t>TORSBY</t>
        </is>
      </c>
      <c r="G644" t="n">
        <v>5.5</v>
      </c>
      <c r="H644" t="n">
        <v>0</v>
      </c>
      <c r="I644" t="n">
        <v>0</v>
      </c>
      <c r="J644" t="n">
        <v>1</v>
      </c>
      <c r="K644" t="n">
        <v>0</v>
      </c>
      <c r="L644" t="n">
        <v>0</v>
      </c>
      <c r="M644" t="n">
        <v>0</v>
      </c>
      <c r="N644" t="n">
        <v>0</v>
      </c>
      <c r="O644" t="n">
        <v>1</v>
      </c>
      <c r="P644" t="n">
        <v>0</v>
      </c>
      <c r="Q644" t="n">
        <v>1</v>
      </c>
      <c r="R644" s="2" t="inlineStr">
        <is>
          <t>Garnlav</t>
        </is>
      </c>
      <c r="S644">
        <f>HYPERLINK("https://klasma.github.io/Logging_1737/artfynd/A 41350-2024 artfynd.xlsx", "A 41350-2024")</f>
        <v/>
      </c>
      <c r="T644">
        <f>HYPERLINK("https://klasma.github.io/Logging_1737/kartor/A 41350-2024 karta.png", "A 41350-2024")</f>
        <v/>
      </c>
      <c r="V644">
        <f>HYPERLINK("https://klasma.github.io/Logging_1737/klagomål/A 41350-2024 FSC-klagomål.docx", "A 41350-2024")</f>
        <v/>
      </c>
      <c r="W644">
        <f>HYPERLINK("https://klasma.github.io/Logging_1737/klagomålsmail/A 41350-2024 FSC-klagomål mail.docx", "A 41350-2024")</f>
        <v/>
      </c>
      <c r="X644">
        <f>HYPERLINK("https://klasma.github.io/Logging_1737/tillsyn/A 41350-2024 tillsynsbegäran.docx", "A 41350-2024")</f>
        <v/>
      </c>
      <c r="Y644">
        <f>HYPERLINK("https://klasma.github.io/Logging_1737/tillsynsmail/A 41350-2024 tillsynsbegäran mail.docx", "A 41350-2024")</f>
        <v/>
      </c>
    </row>
    <row r="645" ht="15" customHeight="1">
      <c r="A645" t="inlineStr">
        <is>
          <t>A 41477-2024</t>
        </is>
      </c>
      <c r="B645" s="1" t="n">
        <v>45560</v>
      </c>
      <c r="C645" s="1" t="n">
        <v>45736</v>
      </c>
      <c r="D645" t="inlineStr">
        <is>
          <t>VÄRMLANDS LÄN</t>
        </is>
      </c>
      <c r="E645" t="inlineStr">
        <is>
          <t>TORSBY</t>
        </is>
      </c>
      <c r="G645" t="n">
        <v>6.7</v>
      </c>
      <c r="H645" t="n">
        <v>0</v>
      </c>
      <c r="I645" t="n">
        <v>0</v>
      </c>
      <c r="J645" t="n">
        <v>1</v>
      </c>
      <c r="K645" t="n">
        <v>0</v>
      </c>
      <c r="L645" t="n">
        <v>0</v>
      </c>
      <c r="M645" t="n">
        <v>0</v>
      </c>
      <c r="N645" t="n">
        <v>0</v>
      </c>
      <c r="O645" t="n">
        <v>1</v>
      </c>
      <c r="P645" t="n">
        <v>0</v>
      </c>
      <c r="Q645" t="n">
        <v>1</v>
      </c>
      <c r="R645" s="2" t="inlineStr">
        <is>
          <t>Garnlav</t>
        </is>
      </c>
      <c r="S645">
        <f>HYPERLINK("https://klasma.github.io/Logging_1737/artfynd/A 41477-2024 artfynd.xlsx", "A 41477-2024")</f>
        <v/>
      </c>
      <c r="T645">
        <f>HYPERLINK("https://klasma.github.io/Logging_1737/kartor/A 41477-2024 karta.png", "A 41477-2024")</f>
        <v/>
      </c>
      <c r="V645">
        <f>HYPERLINK("https://klasma.github.io/Logging_1737/klagomål/A 41477-2024 FSC-klagomål.docx", "A 41477-2024")</f>
        <v/>
      </c>
      <c r="W645">
        <f>HYPERLINK("https://klasma.github.io/Logging_1737/klagomålsmail/A 41477-2024 FSC-klagomål mail.docx", "A 41477-2024")</f>
        <v/>
      </c>
      <c r="X645">
        <f>HYPERLINK("https://klasma.github.io/Logging_1737/tillsyn/A 41477-2024 tillsynsbegäran.docx", "A 41477-2024")</f>
        <v/>
      </c>
      <c r="Y645">
        <f>HYPERLINK("https://klasma.github.io/Logging_1737/tillsynsmail/A 41477-2024 tillsynsbegäran mail.docx", "A 41477-2024")</f>
        <v/>
      </c>
    </row>
    <row r="646" ht="15" customHeight="1">
      <c r="A646" t="inlineStr">
        <is>
          <t>A 43896-2024</t>
        </is>
      </c>
      <c r="B646" s="1" t="n">
        <v>45572</v>
      </c>
      <c r="C646" s="1" t="n">
        <v>45736</v>
      </c>
      <c r="D646" t="inlineStr">
        <is>
          <t>VÄRMLANDS LÄN</t>
        </is>
      </c>
      <c r="E646" t="inlineStr">
        <is>
          <t>SÄFFLE</t>
        </is>
      </c>
      <c r="G646" t="n">
        <v>1.1</v>
      </c>
      <c r="H646" t="n">
        <v>0</v>
      </c>
      <c r="I646" t="n">
        <v>0</v>
      </c>
      <c r="J646" t="n">
        <v>1</v>
      </c>
      <c r="K646" t="n">
        <v>0</v>
      </c>
      <c r="L646" t="n">
        <v>0</v>
      </c>
      <c r="M646" t="n">
        <v>0</v>
      </c>
      <c r="N646" t="n">
        <v>0</v>
      </c>
      <c r="O646" t="n">
        <v>1</v>
      </c>
      <c r="P646" t="n">
        <v>0</v>
      </c>
      <c r="Q646" t="n">
        <v>1</v>
      </c>
      <c r="R646" s="2" t="inlineStr">
        <is>
          <t>Trollfibbla</t>
        </is>
      </c>
      <c r="S646">
        <f>HYPERLINK("https://klasma.github.io/Logging_1785/artfynd/A 43896-2024 artfynd.xlsx", "A 43896-2024")</f>
        <v/>
      </c>
      <c r="T646">
        <f>HYPERLINK("https://klasma.github.io/Logging_1785/kartor/A 43896-2024 karta.png", "A 43896-2024")</f>
        <v/>
      </c>
      <c r="V646">
        <f>HYPERLINK("https://klasma.github.io/Logging_1785/klagomål/A 43896-2024 FSC-klagomål.docx", "A 43896-2024")</f>
        <v/>
      </c>
      <c r="W646">
        <f>HYPERLINK("https://klasma.github.io/Logging_1785/klagomålsmail/A 43896-2024 FSC-klagomål mail.docx", "A 43896-2024")</f>
        <v/>
      </c>
      <c r="X646">
        <f>HYPERLINK("https://klasma.github.io/Logging_1785/tillsyn/A 43896-2024 tillsynsbegäran.docx", "A 43896-2024")</f>
        <v/>
      </c>
      <c r="Y646">
        <f>HYPERLINK("https://klasma.github.io/Logging_1785/tillsynsmail/A 43896-2024 tillsynsbegäran mail.docx", "A 43896-2024")</f>
        <v/>
      </c>
    </row>
    <row r="647" ht="15" customHeight="1">
      <c r="A647" t="inlineStr">
        <is>
          <t>A 45088-2024</t>
        </is>
      </c>
      <c r="B647" s="1" t="n">
        <v>45575</v>
      </c>
      <c r="C647" s="1" t="n">
        <v>45736</v>
      </c>
      <c r="D647" t="inlineStr">
        <is>
          <t>VÄRMLANDS LÄN</t>
        </is>
      </c>
      <c r="E647" t="inlineStr">
        <is>
          <t>ÅRJÄNG</t>
        </is>
      </c>
      <c r="F647" t="inlineStr">
        <is>
          <t>Bergvik skog väst AB</t>
        </is>
      </c>
      <c r="G647" t="n">
        <v>0.9</v>
      </c>
      <c r="H647" t="n">
        <v>1</v>
      </c>
      <c r="I647" t="n">
        <v>0</v>
      </c>
      <c r="J647" t="n">
        <v>0</v>
      </c>
      <c r="K647" t="n">
        <v>0</v>
      </c>
      <c r="L647" t="n">
        <v>0</v>
      </c>
      <c r="M647" t="n">
        <v>0</v>
      </c>
      <c r="N647" t="n">
        <v>0</v>
      </c>
      <c r="O647" t="n">
        <v>0</v>
      </c>
      <c r="P647" t="n">
        <v>0</v>
      </c>
      <c r="Q647" t="n">
        <v>1</v>
      </c>
      <c r="R647" s="2" t="inlineStr">
        <is>
          <t>Fläcknycklar</t>
        </is>
      </c>
      <c r="S647">
        <f>HYPERLINK("https://klasma.github.io/Logging_1765/artfynd/A 45088-2024 artfynd.xlsx", "A 45088-2024")</f>
        <v/>
      </c>
      <c r="T647">
        <f>HYPERLINK("https://klasma.github.io/Logging_1765/kartor/A 45088-2024 karta.png", "A 45088-2024")</f>
        <v/>
      </c>
      <c r="V647">
        <f>HYPERLINK("https://klasma.github.io/Logging_1765/klagomål/A 45088-2024 FSC-klagomål.docx", "A 45088-2024")</f>
        <v/>
      </c>
      <c r="W647">
        <f>HYPERLINK("https://klasma.github.io/Logging_1765/klagomålsmail/A 45088-2024 FSC-klagomål mail.docx", "A 45088-2024")</f>
        <v/>
      </c>
      <c r="X647">
        <f>HYPERLINK("https://klasma.github.io/Logging_1765/tillsyn/A 45088-2024 tillsynsbegäran.docx", "A 45088-2024")</f>
        <v/>
      </c>
      <c r="Y647">
        <f>HYPERLINK("https://klasma.github.io/Logging_1765/tillsynsmail/A 45088-2024 tillsynsbegäran mail.docx", "A 45088-2024")</f>
        <v/>
      </c>
    </row>
    <row r="648" ht="15" customHeight="1">
      <c r="A648" t="inlineStr">
        <is>
          <t>A 45264-2024</t>
        </is>
      </c>
      <c r="B648" s="1" t="n">
        <v>45576</v>
      </c>
      <c r="C648" s="1" t="n">
        <v>45736</v>
      </c>
      <c r="D648" t="inlineStr">
        <is>
          <t>VÄRMLANDS LÄN</t>
        </is>
      </c>
      <c r="E648" t="inlineStr">
        <is>
          <t>HAGFORS</t>
        </is>
      </c>
      <c r="F648" t="inlineStr">
        <is>
          <t>Bergvik skog väst AB</t>
        </is>
      </c>
      <c r="G648" t="n">
        <v>3.5</v>
      </c>
      <c r="H648" t="n">
        <v>1</v>
      </c>
      <c r="I648" t="n">
        <v>0</v>
      </c>
      <c r="J648" t="n">
        <v>0</v>
      </c>
      <c r="K648" t="n">
        <v>0</v>
      </c>
      <c r="L648" t="n">
        <v>0</v>
      </c>
      <c r="M648" t="n">
        <v>0</v>
      </c>
      <c r="N648" t="n">
        <v>0</v>
      </c>
      <c r="O648" t="n">
        <v>0</v>
      </c>
      <c r="P648" t="n">
        <v>0</v>
      </c>
      <c r="Q648" t="n">
        <v>1</v>
      </c>
      <c r="R648" s="2" t="inlineStr">
        <is>
          <t>Nattviol</t>
        </is>
      </c>
      <c r="S648">
        <f>HYPERLINK("https://klasma.github.io/Logging_1783/artfynd/A 45264-2024 artfynd.xlsx", "A 45264-2024")</f>
        <v/>
      </c>
      <c r="T648">
        <f>HYPERLINK("https://klasma.github.io/Logging_1783/kartor/A 45264-2024 karta.png", "A 45264-2024")</f>
        <v/>
      </c>
      <c r="V648">
        <f>HYPERLINK("https://klasma.github.io/Logging_1783/klagomål/A 45264-2024 FSC-klagomål.docx", "A 45264-2024")</f>
        <v/>
      </c>
      <c r="W648">
        <f>HYPERLINK("https://klasma.github.io/Logging_1783/klagomålsmail/A 45264-2024 FSC-klagomål mail.docx", "A 45264-2024")</f>
        <v/>
      </c>
      <c r="X648">
        <f>HYPERLINK("https://klasma.github.io/Logging_1783/tillsyn/A 45264-2024 tillsynsbegäran.docx", "A 45264-2024")</f>
        <v/>
      </c>
      <c r="Y648">
        <f>HYPERLINK("https://klasma.github.io/Logging_1783/tillsynsmail/A 45264-2024 tillsynsbegäran mail.docx", "A 45264-2024")</f>
        <v/>
      </c>
    </row>
    <row r="649" ht="15" customHeight="1">
      <c r="A649" t="inlineStr">
        <is>
          <t>A 46668-2024</t>
        </is>
      </c>
      <c r="B649" s="1" t="n">
        <v>45583</v>
      </c>
      <c r="C649" s="1" t="n">
        <v>45736</v>
      </c>
      <c r="D649" t="inlineStr">
        <is>
          <t>VÄRMLANDS LÄN</t>
        </is>
      </c>
      <c r="E649" t="inlineStr">
        <is>
          <t>KARLSTAD</t>
        </is>
      </c>
      <c r="F649" t="inlineStr">
        <is>
          <t>Kommuner</t>
        </is>
      </c>
      <c r="G649" t="n">
        <v>1.2</v>
      </c>
      <c r="H649" t="n">
        <v>1</v>
      </c>
      <c r="I649" t="n">
        <v>0</v>
      </c>
      <c r="J649" t="n">
        <v>1</v>
      </c>
      <c r="K649" t="n">
        <v>0</v>
      </c>
      <c r="L649" t="n">
        <v>0</v>
      </c>
      <c r="M649" t="n">
        <v>0</v>
      </c>
      <c r="N649" t="n">
        <v>0</v>
      </c>
      <c r="O649" t="n">
        <v>1</v>
      </c>
      <c r="P649" t="n">
        <v>0</v>
      </c>
      <c r="Q649" t="n">
        <v>1</v>
      </c>
      <c r="R649" s="2" t="inlineStr">
        <is>
          <t>Brun gräsfjäril</t>
        </is>
      </c>
      <c r="S649">
        <f>HYPERLINK("https://klasma.github.io/Logging_1780/artfynd/A 46668-2024 artfynd.xlsx", "A 46668-2024")</f>
        <v/>
      </c>
      <c r="T649">
        <f>HYPERLINK("https://klasma.github.io/Logging_1780/kartor/A 46668-2024 karta.png", "A 46668-2024")</f>
        <v/>
      </c>
      <c r="V649">
        <f>HYPERLINK("https://klasma.github.io/Logging_1780/klagomål/A 46668-2024 FSC-klagomål.docx", "A 46668-2024")</f>
        <v/>
      </c>
      <c r="W649">
        <f>HYPERLINK("https://klasma.github.io/Logging_1780/klagomålsmail/A 46668-2024 FSC-klagomål mail.docx", "A 46668-2024")</f>
        <v/>
      </c>
      <c r="X649">
        <f>HYPERLINK("https://klasma.github.io/Logging_1780/tillsyn/A 46668-2024 tillsynsbegäran.docx", "A 46668-2024")</f>
        <v/>
      </c>
      <c r="Y649">
        <f>HYPERLINK("https://klasma.github.io/Logging_1780/tillsynsmail/A 46668-2024 tillsynsbegäran mail.docx", "A 46668-2024")</f>
        <v/>
      </c>
    </row>
    <row r="650" ht="15" customHeight="1">
      <c r="A650" t="inlineStr">
        <is>
          <t>A 46620-2024</t>
        </is>
      </c>
      <c r="B650" s="1" t="n">
        <v>45583</v>
      </c>
      <c r="C650" s="1" t="n">
        <v>45736</v>
      </c>
      <c r="D650" t="inlineStr">
        <is>
          <t>VÄRMLANDS LÄN</t>
        </is>
      </c>
      <c r="E650" t="inlineStr">
        <is>
          <t>FORSHAGA</t>
        </is>
      </c>
      <c r="G650" t="n">
        <v>2.5</v>
      </c>
      <c r="H650" t="n">
        <v>1</v>
      </c>
      <c r="I650" t="n">
        <v>0</v>
      </c>
      <c r="J650" t="n">
        <v>0</v>
      </c>
      <c r="K650" t="n">
        <v>0</v>
      </c>
      <c r="L650" t="n">
        <v>0</v>
      </c>
      <c r="M650" t="n">
        <v>0</v>
      </c>
      <c r="N650" t="n">
        <v>0</v>
      </c>
      <c r="O650" t="n">
        <v>0</v>
      </c>
      <c r="P650" t="n">
        <v>0</v>
      </c>
      <c r="Q650" t="n">
        <v>1</v>
      </c>
      <c r="R650" s="2" t="inlineStr">
        <is>
          <t>Mattlummer</t>
        </is>
      </c>
      <c r="S650">
        <f>HYPERLINK("https://klasma.github.io/Logging_1763/artfynd/A 46620-2024 artfynd.xlsx", "A 46620-2024")</f>
        <v/>
      </c>
      <c r="T650">
        <f>HYPERLINK("https://klasma.github.io/Logging_1763/kartor/A 46620-2024 karta.png", "A 46620-2024")</f>
        <v/>
      </c>
      <c r="V650">
        <f>HYPERLINK("https://klasma.github.io/Logging_1763/klagomål/A 46620-2024 FSC-klagomål.docx", "A 46620-2024")</f>
        <v/>
      </c>
      <c r="W650">
        <f>HYPERLINK("https://klasma.github.io/Logging_1763/klagomålsmail/A 46620-2024 FSC-klagomål mail.docx", "A 46620-2024")</f>
        <v/>
      </c>
      <c r="X650">
        <f>HYPERLINK("https://klasma.github.io/Logging_1763/tillsyn/A 46620-2024 tillsynsbegäran.docx", "A 46620-2024")</f>
        <v/>
      </c>
      <c r="Y650">
        <f>HYPERLINK("https://klasma.github.io/Logging_1763/tillsynsmail/A 46620-2024 tillsynsbegäran mail.docx", "A 46620-2024")</f>
        <v/>
      </c>
    </row>
    <row r="651" ht="15" customHeight="1">
      <c r="A651" t="inlineStr">
        <is>
          <t>A 47217-2024</t>
        </is>
      </c>
      <c r="B651" s="1" t="n">
        <v>45586</v>
      </c>
      <c r="C651" s="1" t="n">
        <v>45736</v>
      </c>
      <c r="D651" t="inlineStr">
        <is>
          <t>VÄRMLANDS LÄN</t>
        </is>
      </c>
      <c r="E651" t="inlineStr">
        <is>
          <t>ARVIKA</t>
        </is>
      </c>
      <c r="G651" t="n">
        <v>5.6</v>
      </c>
      <c r="H651" t="n">
        <v>1</v>
      </c>
      <c r="I651" t="n">
        <v>0</v>
      </c>
      <c r="J651" t="n">
        <v>0</v>
      </c>
      <c r="K651" t="n">
        <v>1</v>
      </c>
      <c r="L651" t="n">
        <v>0</v>
      </c>
      <c r="M651" t="n">
        <v>0</v>
      </c>
      <c r="N651" t="n">
        <v>0</v>
      </c>
      <c r="O651" t="n">
        <v>1</v>
      </c>
      <c r="P651" t="n">
        <v>1</v>
      </c>
      <c r="Q651" t="n">
        <v>1</v>
      </c>
      <c r="R651" s="2" t="inlineStr">
        <is>
          <t>Knärot</t>
        </is>
      </c>
      <c r="S651">
        <f>HYPERLINK("https://klasma.github.io/Logging_1784/artfynd/A 47217-2024 artfynd.xlsx", "A 47217-2024")</f>
        <v/>
      </c>
      <c r="T651">
        <f>HYPERLINK("https://klasma.github.io/Logging_1784/kartor/A 47217-2024 karta.png", "A 47217-2024")</f>
        <v/>
      </c>
      <c r="U651">
        <f>HYPERLINK("https://klasma.github.io/Logging_1784/knärot/A 47217-2024 karta knärot.png", "A 47217-2024")</f>
        <v/>
      </c>
      <c r="V651">
        <f>HYPERLINK("https://klasma.github.io/Logging_1784/klagomål/A 47217-2024 FSC-klagomål.docx", "A 47217-2024")</f>
        <v/>
      </c>
      <c r="W651">
        <f>HYPERLINK("https://klasma.github.io/Logging_1784/klagomålsmail/A 47217-2024 FSC-klagomål mail.docx", "A 47217-2024")</f>
        <v/>
      </c>
      <c r="X651">
        <f>HYPERLINK("https://klasma.github.io/Logging_1784/tillsyn/A 47217-2024 tillsynsbegäran.docx", "A 47217-2024")</f>
        <v/>
      </c>
      <c r="Y651">
        <f>HYPERLINK("https://klasma.github.io/Logging_1784/tillsynsmail/A 47217-2024 tillsynsbegäran mail.docx", "A 47217-2024")</f>
        <v/>
      </c>
    </row>
    <row r="652" ht="15" customHeight="1">
      <c r="A652" t="inlineStr">
        <is>
          <t>A 47689-2024</t>
        </is>
      </c>
      <c r="B652" s="1" t="n">
        <v>45588</v>
      </c>
      <c r="C652" s="1" t="n">
        <v>45736</v>
      </c>
      <c r="D652" t="inlineStr">
        <is>
          <t>VÄRMLANDS LÄN</t>
        </is>
      </c>
      <c r="E652" t="inlineStr">
        <is>
          <t>TORSBY</t>
        </is>
      </c>
      <c r="G652" t="n">
        <v>3.1</v>
      </c>
      <c r="H652" t="n">
        <v>0</v>
      </c>
      <c r="I652" t="n">
        <v>0</v>
      </c>
      <c r="J652" t="n">
        <v>1</v>
      </c>
      <c r="K652" t="n">
        <v>0</v>
      </c>
      <c r="L652" t="n">
        <v>0</v>
      </c>
      <c r="M652" t="n">
        <v>0</v>
      </c>
      <c r="N652" t="n">
        <v>0</v>
      </c>
      <c r="O652" t="n">
        <v>1</v>
      </c>
      <c r="P652" t="n">
        <v>0</v>
      </c>
      <c r="Q652" t="n">
        <v>1</v>
      </c>
      <c r="R652" s="2" t="inlineStr">
        <is>
          <t>Garnlav</t>
        </is>
      </c>
      <c r="S652">
        <f>HYPERLINK("https://klasma.github.io/Logging_1737/artfynd/A 47689-2024 artfynd.xlsx", "A 47689-2024")</f>
        <v/>
      </c>
      <c r="T652">
        <f>HYPERLINK("https://klasma.github.io/Logging_1737/kartor/A 47689-2024 karta.png", "A 47689-2024")</f>
        <v/>
      </c>
      <c r="V652">
        <f>HYPERLINK("https://klasma.github.io/Logging_1737/klagomål/A 47689-2024 FSC-klagomål.docx", "A 47689-2024")</f>
        <v/>
      </c>
      <c r="W652">
        <f>HYPERLINK("https://klasma.github.io/Logging_1737/klagomålsmail/A 47689-2024 FSC-klagomål mail.docx", "A 47689-2024")</f>
        <v/>
      </c>
      <c r="X652">
        <f>HYPERLINK("https://klasma.github.io/Logging_1737/tillsyn/A 47689-2024 tillsynsbegäran.docx", "A 47689-2024")</f>
        <v/>
      </c>
      <c r="Y652">
        <f>HYPERLINK("https://klasma.github.io/Logging_1737/tillsynsmail/A 47689-2024 tillsynsbegäran mail.docx", "A 47689-2024")</f>
        <v/>
      </c>
    </row>
    <row r="653" ht="15" customHeight="1">
      <c r="A653" t="inlineStr">
        <is>
          <t>A 48010-2024</t>
        </is>
      </c>
      <c r="B653" s="1" t="n">
        <v>45589</v>
      </c>
      <c r="C653" s="1" t="n">
        <v>45736</v>
      </c>
      <c r="D653" t="inlineStr">
        <is>
          <t>VÄRMLANDS LÄN</t>
        </is>
      </c>
      <c r="E653" t="inlineStr">
        <is>
          <t>ARVIKA</t>
        </is>
      </c>
      <c r="G653" t="n">
        <v>6.7</v>
      </c>
      <c r="H653" t="n">
        <v>1</v>
      </c>
      <c r="I653" t="n">
        <v>0</v>
      </c>
      <c r="J653" t="n">
        <v>0</v>
      </c>
      <c r="K653" t="n">
        <v>1</v>
      </c>
      <c r="L653" t="n">
        <v>0</v>
      </c>
      <c r="M653" t="n">
        <v>0</v>
      </c>
      <c r="N653" t="n">
        <v>0</v>
      </c>
      <c r="O653" t="n">
        <v>1</v>
      </c>
      <c r="P653" t="n">
        <v>1</v>
      </c>
      <c r="Q653" t="n">
        <v>1</v>
      </c>
      <c r="R653" s="2" t="inlineStr">
        <is>
          <t>Knärot</t>
        </is>
      </c>
      <c r="S653">
        <f>HYPERLINK("https://klasma.github.io/Logging_1784/artfynd/A 48010-2024 artfynd.xlsx", "A 48010-2024")</f>
        <v/>
      </c>
      <c r="T653">
        <f>HYPERLINK("https://klasma.github.io/Logging_1784/kartor/A 48010-2024 karta.png", "A 48010-2024")</f>
        <v/>
      </c>
      <c r="U653">
        <f>HYPERLINK("https://klasma.github.io/Logging_1784/knärot/A 48010-2024 karta knärot.png", "A 48010-2024")</f>
        <v/>
      </c>
      <c r="V653">
        <f>HYPERLINK("https://klasma.github.io/Logging_1784/klagomål/A 48010-2024 FSC-klagomål.docx", "A 48010-2024")</f>
        <v/>
      </c>
      <c r="W653">
        <f>HYPERLINK("https://klasma.github.io/Logging_1784/klagomålsmail/A 48010-2024 FSC-klagomål mail.docx", "A 48010-2024")</f>
        <v/>
      </c>
      <c r="X653">
        <f>HYPERLINK("https://klasma.github.io/Logging_1784/tillsyn/A 48010-2024 tillsynsbegäran.docx", "A 48010-2024")</f>
        <v/>
      </c>
      <c r="Y653">
        <f>HYPERLINK("https://klasma.github.io/Logging_1784/tillsynsmail/A 48010-2024 tillsynsbegäran mail.docx", "A 48010-2024")</f>
        <v/>
      </c>
    </row>
    <row r="654" ht="15" customHeight="1">
      <c r="A654" t="inlineStr">
        <is>
          <t>A 48842-2024</t>
        </is>
      </c>
      <c r="B654" s="1" t="n">
        <v>45593</v>
      </c>
      <c r="C654" s="1" t="n">
        <v>45736</v>
      </c>
      <c r="D654" t="inlineStr">
        <is>
          <t>VÄRMLANDS LÄN</t>
        </is>
      </c>
      <c r="E654" t="inlineStr">
        <is>
          <t>ÅRJÄNG</t>
        </is>
      </c>
      <c r="G654" t="n">
        <v>5.8</v>
      </c>
      <c r="H654" t="n">
        <v>0</v>
      </c>
      <c r="I654" t="n">
        <v>0</v>
      </c>
      <c r="J654" t="n">
        <v>0</v>
      </c>
      <c r="K654" t="n">
        <v>1</v>
      </c>
      <c r="L654" t="n">
        <v>0</v>
      </c>
      <c r="M654" t="n">
        <v>0</v>
      </c>
      <c r="N654" t="n">
        <v>0</v>
      </c>
      <c r="O654" t="n">
        <v>1</v>
      </c>
      <c r="P654" t="n">
        <v>1</v>
      </c>
      <c r="Q654" t="n">
        <v>1</v>
      </c>
      <c r="R654" s="2" t="inlineStr">
        <is>
          <t>Rotfingersvamp</t>
        </is>
      </c>
      <c r="S654">
        <f>HYPERLINK("https://klasma.github.io/Logging_1765/artfynd/A 48842-2024 artfynd.xlsx", "A 48842-2024")</f>
        <v/>
      </c>
      <c r="T654">
        <f>HYPERLINK("https://klasma.github.io/Logging_1765/kartor/A 48842-2024 karta.png", "A 48842-2024")</f>
        <v/>
      </c>
      <c r="V654">
        <f>HYPERLINK("https://klasma.github.io/Logging_1765/klagomål/A 48842-2024 FSC-klagomål.docx", "A 48842-2024")</f>
        <v/>
      </c>
      <c r="W654">
        <f>HYPERLINK("https://klasma.github.io/Logging_1765/klagomålsmail/A 48842-2024 FSC-klagomål mail.docx", "A 48842-2024")</f>
        <v/>
      </c>
      <c r="X654">
        <f>HYPERLINK("https://klasma.github.io/Logging_1765/tillsyn/A 48842-2024 tillsynsbegäran.docx", "A 48842-2024")</f>
        <v/>
      </c>
      <c r="Y654">
        <f>HYPERLINK("https://klasma.github.io/Logging_1765/tillsynsmail/A 48842-2024 tillsynsbegäran mail.docx", "A 48842-2024")</f>
        <v/>
      </c>
    </row>
    <row r="655" ht="15" customHeight="1">
      <c r="A655" t="inlineStr">
        <is>
          <t>A 51839-2024</t>
        </is>
      </c>
      <c r="B655" s="1" t="n">
        <v>45607</v>
      </c>
      <c r="C655" s="1" t="n">
        <v>45736</v>
      </c>
      <c r="D655" t="inlineStr">
        <is>
          <t>VÄRMLANDS LÄN</t>
        </is>
      </c>
      <c r="E655" t="inlineStr">
        <is>
          <t>HAGFORS</t>
        </is>
      </c>
      <c r="G655" t="n">
        <v>2.5</v>
      </c>
      <c r="H655" t="n">
        <v>0</v>
      </c>
      <c r="I655" t="n">
        <v>0</v>
      </c>
      <c r="J655" t="n">
        <v>1</v>
      </c>
      <c r="K655" t="n">
        <v>0</v>
      </c>
      <c r="L655" t="n">
        <v>0</v>
      </c>
      <c r="M655" t="n">
        <v>0</v>
      </c>
      <c r="N655" t="n">
        <v>0</v>
      </c>
      <c r="O655" t="n">
        <v>1</v>
      </c>
      <c r="P655" t="n">
        <v>0</v>
      </c>
      <c r="Q655" t="n">
        <v>1</v>
      </c>
      <c r="R655" s="2" t="inlineStr">
        <is>
          <t>Garnlav</t>
        </is>
      </c>
      <c r="S655">
        <f>HYPERLINK("https://klasma.github.io/Logging_1783/artfynd/A 51839-2024 artfynd.xlsx", "A 51839-2024")</f>
        <v/>
      </c>
      <c r="T655">
        <f>HYPERLINK("https://klasma.github.io/Logging_1783/kartor/A 51839-2024 karta.png", "A 51839-2024")</f>
        <v/>
      </c>
      <c r="V655">
        <f>HYPERLINK("https://klasma.github.io/Logging_1783/klagomål/A 51839-2024 FSC-klagomål.docx", "A 51839-2024")</f>
        <v/>
      </c>
      <c r="W655">
        <f>HYPERLINK("https://klasma.github.io/Logging_1783/klagomålsmail/A 51839-2024 FSC-klagomål mail.docx", "A 51839-2024")</f>
        <v/>
      </c>
      <c r="X655">
        <f>HYPERLINK("https://klasma.github.io/Logging_1783/tillsyn/A 51839-2024 tillsynsbegäran.docx", "A 51839-2024")</f>
        <v/>
      </c>
      <c r="Y655">
        <f>HYPERLINK("https://klasma.github.io/Logging_1783/tillsynsmail/A 51839-2024 tillsynsbegäran mail.docx", "A 51839-2024")</f>
        <v/>
      </c>
    </row>
    <row r="656" ht="15" customHeight="1">
      <c r="A656" t="inlineStr">
        <is>
          <t>A 53862-2024</t>
        </is>
      </c>
      <c r="B656" s="1" t="n">
        <v>45615</v>
      </c>
      <c r="C656" s="1" t="n">
        <v>45736</v>
      </c>
      <c r="D656" t="inlineStr">
        <is>
          <t>VÄRMLANDS LÄN</t>
        </is>
      </c>
      <c r="E656" t="inlineStr">
        <is>
          <t>TORSBY</t>
        </is>
      </c>
      <c r="G656" t="n">
        <v>3.4</v>
      </c>
      <c r="H656" t="n">
        <v>0</v>
      </c>
      <c r="I656" t="n">
        <v>0</v>
      </c>
      <c r="J656" t="n">
        <v>1</v>
      </c>
      <c r="K656" t="n">
        <v>0</v>
      </c>
      <c r="L656" t="n">
        <v>0</v>
      </c>
      <c r="M656" t="n">
        <v>0</v>
      </c>
      <c r="N656" t="n">
        <v>0</v>
      </c>
      <c r="O656" t="n">
        <v>1</v>
      </c>
      <c r="P656" t="n">
        <v>0</v>
      </c>
      <c r="Q656" t="n">
        <v>1</v>
      </c>
      <c r="R656" s="2" t="inlineStr">
        <is>
          <t>Kolflarnlav</t>
        </is>
      </c>
      <c r="S656">
        <f>HYPERLINK("https://klasma.github.io/Logging_1737/artfynd/A 53862-2024 artfynd.xlsx", "A 53862-2024")</f>
        <v/>
      </c>
      <c r="T656">
        <f>HYPERLINK("https://klasma.github.io/Logging_1737/kartor/A 53862-2024 karta.png", "A 53862-2024")</f>
        <v/>
      </c>
      <c r="V656">
        <f>HYPERLINK("https://klasma.github.io/Logging_1737/klagomål/A 53862-2024 FSC-klagomål.docx", "A 53862-2024")</f>
        <v/>
      </c>
      <c r="W656">
        <f>HYPERLINK("https://klasma.github.io/Logging_1737/klagomålsmail/A 53862-2024 FSC-klagomål mail.docx", "A 53862-2024")</f>
        <v/>
      </c>
      <c r="X656">
        <f>HYPERLINK("https://klasma.github.io/Logging_1737/tillsyn/A 53862-2024 tillsynsbegäran.docx", "A 53862-2024")</f>
        <v/>
      </c>
      <c r="Y656">
        <f>HYPERLINK("https://klasma.github.io/Logging_1737/tillsynsmail/A 53862-2024 tillsynsbegäran mail.docx", "A 53862-2024")</f>
        <v/>
      </c>
    </row>
    <row r="657" ht="15" customHeight="1">
      <c r="A657" t="inlineStr">
        <is>
          <t>A 54009-2024</t>
        </is>
      </c>
      <c r="B657" s="1" t="n">
        <v>45616</v>
      </c>
      <c r="C657" s="1" t="n">
        <v>45736</v>
      </c>
      <c r="D657" t="inlineStr">
        <is>
          <t>VÄRMLANDS LÄN</t>
        </is>
      </c>
      <c r="E657" t="inlineStr">
        <is>
          <t>TORSBY</t>
        </is>
      </c>
      <c r="F657" t="inlineStr">
        <is>
          <t>Bergvik skog väst AB</t>
        </is>
      </c>
      <c r="G657" t="n">
        <v>8.800000000000001</v>
      </c>
      <c r="H657" t="n">
        <v>1</v>
      </c>
      <c r="I657" t="n">
        <v>1</v>
      </c>
      <c r="J657" t="n">
        <v>0</v>
      </c>
      <c r="K657" t="n">
        <v>0</v>
      </c>
      <c r="L657" t="n">
        <v>0</v>
      </c>
      <c r="M657" t="n">
        <v>0</v>
      </c>
      <c r="N657" t="n">
        <v>0</v>
      </c>
      <c r="O657" t="n">
        <v>0</v>
      </c>
      <c r="P657" t="n">
        <v>0</v>
      </c>
      <c r="Q657" t="n">
        <v>1</v>
      </c>
      <c r="R657" s="2" t="inlineStr">
        <is>
          <t>Korallrot</t>
        </is>
      </c>
      <c r="S657">
        <f>HYPERLINK("https://klasma.github.io/Logging_1737/artfynd/A 54009-2024 artfynd.xlsx", "A 54009-2024")</f>
        <v/>
      </c>
      <c r="T657">
        <f>HYPERLINK("https://klasma.github.io/Logging_1737/kartor/A 54009-2024 karta.png", "A 54009-2024")</f>
        <v/>
      </c>
      <c r="V657">
        <f>HYPERLINK("https://klasma.github.io/Logging_1737/klagomål/A 54009-2024 FSC-klagomål.docx", "A 54009-2024")</f>
        <v/>
      </c>
      <c r="W657">
        <f>HYPERLINK("https://klasma.github.io/Logging_1737/klagomålsmail/A 54009-2024 FSC-klagomål mail.docx", "A 54009-2024")</f>
        <v/>
      </c>
      <c r="X657">
        <f>HYPERLINK("https://klasma.github.io/Logging_1737/tillsyn/A 54009-2024 tillsynsbegäran.docx", "A 54009-2024")</f>
        <v/>
      </c>
      <c r="Y657">
        <f>HYPERLINK("https://klasma.github.io/Logging_1737/tillsynsmail/A 54009-2024 tillsynsbegäran mail.docx", "A 54009-2024")</f>
        <v/>
      </c>
    </row>
    <row r="658" ht="15" customHeight="1">
      <c r="A658" t="inlineStr">
        <is>
          <t>A 54029-2024</t>
        </is>
      </c>
      <c r="B658" s="1" t="n">
        <v>45616</v>
      </c>
      <c r="C658" s="1" t="n">
        <v>45736</v>
      </c>
      <c r="D658" t="inlineStr">
        <is>
          <t>VÄRMLANDS LÄN</t>
        </is>
      </c>
      <c r="E658" t="inlineStr">
        <is>
          <t>TORSBY</t>
        </is>
      </c>
      <c r="G658" t="n">
        <v>10.2</v>
      </c>
      <c r="H658" t="n">
        <v>0</v>
      </c>
      <c r="I658" t="n">
        <v>1</v>
      </c>
      <c r="J658" t="n">
        <v>0</v>
      </c>
      <c r="K658" t="n">
        <v>0</v>
      </c>
      <c r="L658" t="n">
        <v>0</v>
      </c>
      <c r="M658" t="n">
        <v>0</v>
      </c>
      <c r="N658" t="n">
        <v>0</v>
      </c>
      <c r="O658" t="n">
        <v>0</v>
      </c>
      <c r="P658" t="n">
        <v>0</v>
      </c>
      <c r="Q658" t="n">
        <v>1</v>
      </c>
      <c r="R658" s="2" t="inlineStr">
        <is>
          <t>Vedticka</t>
        </is>
      </c>
      <c r="S658">
        <f>HYPERLINK("https://klasma.github.io/Logging_1737/artfynd/A 54029-2024 artfynd.xlsx", "A 54029-2024")</f>
        <v/>
      </c>
      <c r="T658">
        <f>HYPERLINK("https://klasma.github.io/Logging_1737/kartor/A 54029-2024 karta.png", "A 54029-2024")</f>
        <v/>
      </c>
      <c r="V658">
        <f>HYPERLINK("https://klasma.github.io/Logging_1737/klagomål/A 54029-2024 FSC-klagomål.docx", "A 54029-2024")</f>
        <v/>
      </c>
      <c r="W658">
        <f>HYPERLINK("https://klasma.github.io/Logging_1737/klagomålsmail/A 54029-2024 FSC-klagomål mail.docx", "A 54029-2024")</f>
        <v/>
      </c>
      <c r="X658">
        <f>HYPERLINK("https://klasma.github.io/Logging_1737/tillsyn/A 54029-2024 tillsynsbegäran.docx", "A 54029-2024")</f>
        <v/>
      </c>
      <c r="Y658">
        <f>HYPERLINK("https://klasma.github.io/Logging_1737/tillsynsmail/A 54029-2024 tillsynsbegäran mail.docx", "A 54029-2024")</f>
        <v/>
      </c>
    </row>
    <row r="659" ht="15" customHeight="1">
      <c r="A659" t="inlineStr">
        <is>
          <t>A 54544-2024</t>
        </is>
      </c>
      <c r="B659" s="1" t="n">
        <v>45617</v>
      </c>
      <c r="C659" s="1" t="n">
        <v>45736</v>
      </c>
      <c r="D659" t="inlineStr">
        <is>
          <t>VÄRMLANDS LÄN</t>
        </is>
      </c>
      <c r="E659" t="inlineStr">
        <is>
          <t>SUNNE</t>
        </is>
      </c>
      <c r="G659" t="n">
        <v>0.9</v>
      </c>
      <c r="H659" t="n">
        <v>0</v>
      </c>
      <c r="I659" t="n">
        <v>0</v>
      </c>
      <c r="J659" t="n">
        <v>1</v>
      </c>
      <c r="K659" t="n">
        <v>0</v>
      </c>
      <c r="L659" t="n">
        <v>0</v>
      </c>
      <c r="M659" t="n">
        <v>0</v>
      </c>
      <c r="N659" t="n">
        <v>0</v>
      </c>
      <c r="O659" t="n">
        <v>1</v>
      </c>
      <c r="P659" t="n">
        <v>0</v>
      </c>
      <c r="Q659" t="n">
        <v>1</v>
      </c>
      <c r="R659" s="2" t="inlineStr">
        <is>
          <t>Violettgrå tagellav</t>
        </is>
      </c>
      <c r="S659">
        <f>HYPERLINK("https://klasma.github.io/Logging_1766/artfynd/A 54544-2024 artfynd.xlsx", "A 54544-2024")</f>
        <v/>
      </c>
      <c r="T659">
        <f>HYPERLINK("https://klasma.github.io/Logging_1766/kartor/A 54544-2024 karta.png", "A 54544-2024")</f>
        <v/>
      </c>
      <c r="V659">
        <f>HYPERLINK("https://klasma.github.io/Logging_1766/klagomål/A 54544-2024 FSC-klagomål.docx", "A 54544-2024")</f>
        <v/>
      </c>
      <c r="W659">
        <f>HYPERLINK("https://klasma.github.io/Logging_1766/klagomålsmail/A 54544-2024 FSC-klagomål mail.docx", "A 54544-2024")</f>
        <v/>
      </c>
      <c r="X659">
        <f>HYPERLINK("https://klasma.github.io/Logging_1766/tillsyn/A 54544-2024 tillsynsbegäran.docx", "A 54544-2024")</f>
        <v/>
      </c>
      <c r="Y659">
        <f>HYPERLINK("https://klasma.github.io/Logging_1766/tillsynsmail/A 54544-2024 tillsynsbegäran mail.docx", "A 54544-2024")</f>
        <v/>
      </c>
    </row>
    <row r="660" ht="15" customHeight="1">
      <c r="A660" t="inlineStr">
        <is>
          <t>A 54788-2024</t>
        </is>
      </c>
      <c r="B660" s="1" t="n">
        <v>45618</v>
      </c>
      <c r="C660" s="1" t="n">
        <v>45736</v>
      </c>
      <c r="D660" t="inlineStr">
        <is>
          <t>VÄRMLANDS LÄN</t>
        </is>
      </c>
      <c r="E660" t="inlineStr">
        <is>
          <t>TORSBY</t>
        </is>
      </c>
      <c r="G660" t="n">
        <v>2.4</v>
      </c>
      <c r="H660" t="n">
        <v>0</v>
      </c>
      <c r="I660" t="n">
        <v>0</v>
      </c>
      <c r="J660" t="n">
        <v>1</v>
      </c>
      <c r="K660" t="n">
        <v>0</v>
      </c>
      <c r="L660" t="n">
        <v>0</v>
      </c>
      <c r="M660" t="n">
        <v>0</v>
      </c>
      <c r="N660" t="n">
        <v>0</v>
      </c>
      <c r="O660" t="n">
        <v>1</v>
      </c>
      <c r="P660" t="n">
        <v>0</v>
      </c>
      <c r="Q660" t="n">
        <v>1</v>
      </c>
      <c r="R660" s="2" t="inlineStr">
        <is>
          <t>Mörk kolflarnlav</t>
        </is>
      </c>
      <c r="S660">
        <f>HYPERLINK("https://klasma.github.io/Logging_1737/artfynd/A 54788-2024 artfynd.xlsx", "A 54788-2024")</f>
        <v/>
      </c>
      <c r="T660">
        <f>HYPERLINK("https://klasma.github.io/Logging_1737/kartor/A 54788-2024 karta.png", "A 54788-2024")</f>
        <v/>
      </c>
      <c r="V660">
        <f>HYPERLINK("https://klasma.github.io/Logging_1737/klagomål/A 54788-2024 FSC-klagomål.docx", "A 54788-2024")</f>
        <v/>
      </c>
      <c r="W660">
        <f>HYPERLINK("https://klasma.github.io/Logging_1737/klagomålsmail/A 54788-2024 FSC-klagomål mail.docx", "A 54788-2024")</f>
        <v/>
      </c>
      <c r="X660">
        <f>HYPERLINK("https://klasma.github.io/Logging_1737/tillsyn/A 54788-2024 tillsynsbegäran.docx", "A 54788-2024")</f>
        <v/>
      </c>
      <c r="Y660">
        <f>HYPERLINK("https://klasma.github.io/Logging_1737/tillsynsmail/A 54788-2024 tillsynsbegäran mail.docx", "A 54788-2024")</f>
        <v/>
      </c>
    </row>
    <row r="661" ht="15" customHeight="1">
      <c r="A661" t="inlineStr">
        <is>
          <t>A 54786-2024</t>
        </is>
      </c>
      <c r="B661" s="1" t="n">
        <v>45618</v>
      </c>
      <c r="C661" s="1" t="n">
        <v>45736</v>
      </c>
      <c r="D661" t="inlineStr">
        <is>
          <t>VÄRMLANDS LÄN</t>
        </is>
      </c>
      <c r="E661" t="inlineStr">
        <is>
          <t>TORSBY</t>
        </is>
      </c>
      <c r="G661" t="n">
        <v>3.8</v>
      </c>
      <c r="H661" t="n">
        <v>0</v>
      </c>
      <c r="I661" t="n">
        <v>0</v>
      </c>
      <c r="J661" t="n">
        <v>1</v>
      </c>
      <c r="K661" t="n">
        <v>0</v>
      </c>
      <c r="L661" t="n">
        <v>0</v>
      </c>
      <c r="M661" t="n">
        <v>0</v>
      </c>
      <c r="N661" t="n">
        <v>0</v>
      </c>
      <c r="O661" t="n">
        <v>1</v>
      </c>
      <c r="P661" t="n">
        <v>0</v>
      </c>
      <c r="Q661" t="n">
        <v>1</v>
      </c>
      <c r="R661" s="2" t="inlineStr">
        <is>
          <t>Dvärgbägarlav</t>
        </is>
      </c>
      <c r="S661">
        <f>HYPERLINK("https://klasma.github.io/Logging_1737/artfynd/A 54786-2024 artfynd.xlsx", "A 54786-2024")</f>
        <v/>
      </c>
      <c r="T661">
        <f>HYPERLINK("https://klasma.github.io/Logging_1737/kartor/A 54786-2024 karta.png", "A 54786-2024")</f>
        <v/>
      </c>
      <c r="V661">
        <f>HYPERLINK("https://klasma.github.io/Logging_1737/klagomål/A 54786-2024 FSC-klagomål.docx", "A 54786-2024")</f>
        <v/>
      </c>
      <c r="W661">
        <f>HYPERLINK("https://klasma.github.io/Logging_1737/klagomålsmail/A 54786-2024 FSC-klagomål mail.docx", "A 54786-2024")</f>
        <v/>
      </c>
      <c r="X661">
        <f>HYPERLINK("https://klasma.github.io/Logging_1737/tillsyn/A 54786-2024 tillsynsbegäran.docx", "A 54786-2024")</f>
        <v/>
      </c>
      <c r="Y661">
        <f>HYPERLINK("https://klasma.github.io/Logging_1737/tillsynsmail/A 54786-2024 tillsynsbegäran mail.docx", "A 54786-2024")</f>
        <v/>
      </c>
    </row>
    <row r="662" ht="15" customHeight="1">
      <c r="A662" t="inlineStr">
        <is>
          <t>A 55482-2024</t>
        </is>
      </c>
      <c r="B662" s="1" t="n">
        <v>45622</v>
      </c>
      <c r="C662" s="1" t="n">
        <v>45736</v>
      </c>
      <c r="D662" t="inlineStr">
        <is>
          <t>VÄRMLANDS LÄN</t>
        </is>
      </c>
      <c r="E662" t="inlineStr">
        <is>
          <t>SUNNE</t>
        </is>
      </c>
      <c r="G662" t="n">
        <v>4.9</v>
      </c>
      <c r="H662" t="n">
        <v>0</v>
      </c>
      <c r="I662" t="n">
        <v>0</v>
      </c>
      <c r="J662" t="n">
        <v>1</v>
      </c>
      <c r="K662" t="n">
        <v>0</v>
      </c>
      <c r="L662" t="n">
        <v>0</v>
      </c>
      <c r="M662" t="n">
        <v>0</v>
      </c>
      <c r="N662" t="n">
        <v>0</v>
      </c>
      <c r="O662" t="n">
        <v>1</v>
      </c>
      <c r="P662" t="n">
        <v>0</v>
      </c>
      <c r="Q662" t="n">
        <v>1</v>
      </c>
      <c r="R662" s="2" t="inlineStr">
        <is>
          <t>Garnlav</t>
        </is>
      </c>
      <c r="S662">
        <f>HYPERLINK("https://klasma.github.io/Logging_1766/artfynd/A 55482-2024 artfynd.xlsx", "A 55482-2024")</f>
        <v/>
      </c>
      <c r="T662">
        <f>HYPERLINK("https://klasma.github.io/Logging_1766/kartor/A 55482-2024 karta.png", "A 55482-2024")</f>
        <v/>
      </c>
      <c r="V662">
        <f>HYPERLINK("https://klasma.github.io/Logging_1766/klagomål/A 55482-2024 FSC-klagomål.docx", "A 55482-2024")</f>
        <v/>
      </c>
      <c r="W662">
        <f>HYPERLINK("https://klasma.github.io/Logging_1766/klagomålsmail/A 55482-2024 FSC-klagomål mail.docx", "A 55482-2024")</f>
        <v/>
      </c>
      <c r="X662">
        <f>HYPERLINK("https://klasma.github.io/Logging_1766/tillsyn/A 55482-2024 tillsynsbegäran.docx", "A 55482-2024")</f>
        <v/>
      </c>
      <c r="Y662">
        <f>HYPERLINK("https://klasma.github.io/Logging_1766/tillsynsmail/A 55482-2024 tillsynsbegäran mail.docx", "A 55482-2024")</f>
        <v/>
      </c>
    </row>
    <row r="663" ht="15" customHeight="1">
      <c r="A663" t="inlineStr">
        <is>
          <t>A 56133-2024</t>
        </is>
      </c>
      <c r="B663" s="1" t="n">
        <v>45624</v>
      </c>
      <c r="C663" s="1" t="n">
        <v>45736</v>
      </c>
      <c r="D663" t="inlineStr">
        <is>
          <t>VÄRMLANDS LÄN</t>
        </is>
      </c>
      <c r="E663" t="inlineStr">
        <is>
          <t>TORSBY</t>
        </is>
      </c>
      <c r="G663" t="n">
        <v>2.4</v>
      </c>
      <c r="H663" t="n">
        <v>0</v>
      </c>
      <c r="I663" t="n">
        <v>1</v>
      </c>
      <c r="J663" t="n">
        <v>0</v>
      </c>
      <c r="K663" t="n">
        <v>0</v>
      </c>
      <c r="L663" t="n">
        <v>0</v>
      </c>
      <c r="M663" t="n">
        <v>0</v>
      </c>
      <c r="N663" t="n">
        <v>0</v>
      </c>
      <c r="O663" t="n">
        <v>0</v>
      </c>
      <c r="P663" t="n">
        <v>0</v>
      </c>
      <c r="Q663" t="n">
        <v>1</v>
      </c>
      <c r="R663" s="2" t="inlineStr">
        <is>
          <t>Vedticka</t>
        </is>
      </c>
      <c r="S663">
        <f>HYPERLINK("https://klasma.github.io/Logging_1737/artfynd/A 56133-2024 artfynd.xlsx", "A 56133-2024")</f>
        <v/>
      </c>
      <c r="T663">
        <f>HYPERLINK("https://klasma.github.io/Logging_1737/kartor/A 56133-2024 karta.png", "A 56133-2024")</f>
        <v/>
      </c>
      <c r="V663">
        <f>HYPERLINK("https://klasma.github.io/Logging_1737/klagomål/A 56133-2024 FSC-klagomål.docx", "A 56133-2024")</f>
        <v/>
      </c>
      <c r="W663">
        <f>HYPERLINK("https://klasma.github.io/Logging_1737/klagomålsmail/A 56133-2024 FSC-klagomål mail.docx", "A 56133-2024")</f>
        <v/>
      </c>
      <c r="X663">
        <f>HYPERLINK("https://klasma.github.io/Logging_1737/tillsyn/A 56133-2024 tillsynsbegäran.docx", "A 56133-2024")</f>
        <v/>
      </c>
      <c r="Y663">
        <f>HYPERLINK("https://klasma.github.io/Logging_1737/tillsynsmail/A 56133-2024 tillsynsbegäran mail.docx", "A 56133-2024")</f>
        <v/>
      </c>
    </row>
    <row r="664" ht="15" customHeight="1">
      <c r="A664" t="inlineStr">
        <is>
          <t>A 56582-2024</t>
        </is>
      </c>
      <c r="B664" s="1" t="n">
        <v>45625</v>
      </c>
      <c r="C664" s="1" t="n">
        <v>45736</v>
      </c>
      <c r="D664" t="inlineStr">
        <is>
          <t>VÄRMLANDS LÄN</t>
        </is>
      </c>
      <c r="E664" t="inlineStr">
        <is>
          <t>HAGFORS</t>
        </is>
      </c>
      <c r="F664" t="inlineStr">
        <is>
          <t>Bergvik skog väst AB</t>
        </is>
      </c>
      <c r="G664" t="n">
        <v>8</v>
      </c>
      <c r="H664" t="n">
        <v>1</v>
      </c>
      <c r="I664" t="n">
        <v>0</v>
      </c>
      <c r="J664" t="n">
        <v>1</v>
      </c>
      <c r="K664" t="n">
        <v>0</v>
      </c>
      <c r="L664" t="n">
        <v>0</v>
      </c>
      <c r="M664" t="n">
        <v>0</v>
      </c>
      <c r="N664" t="n">
        <v>0</v>
      </c>
      <c r="O664" t="n">
        <v>1</v>
      </c>
      <c r="P664" t="n">
        <v>0</v>
      </c>
      <c r="Q664" t="n">
        <v>1</v>
      </c>
      <c r="R664" s="2" t="inlineStr">
        <is>
          <t>Utter</t>
        </is>
      </c>
      <c r="S664">
        <f>HYPERLINK("https://klasma.github.io/Logging_1783/artfynd/A 56582-2024 artfynd.xlsx", "A 56582-2024")</f>
        <v/>
      </c>
      <c r="T664">
        <f>HYPERLINK("https://klasma.github.io/Logging_1783/kartor/A 56582-2024 karta.png", "A 56582-2024")</f>
        <v/>
      </c>
      <c r="V664">
        <f>HYPERLINK("https://klasma.github.io/Logging_1783/klagomål/A 56582-2024 FSC-klagomål.docx", "A 56582-2024")</f>
        <v/>
      </c>
      <c r="W664">
        <f>HYPERLINK("https://klasma.github.io/Logging_1783/klagomålsmail/A 56582-2024 FSC-klagomål mail.docx", "A 56582-2024")</f>
        <v/>
      </c>
      <c r="X664">
        <f>HYPERLINK("https://klasma.github.io/Logging_1783/tillsyn/A 56582-2024 tillsynsbegäran.docx", "A 56582-2024")</f>
        <v/>
      </c>
      <c r="Y664">
        <f>HYPERLINK("https://klasma.github.io/Logging_1783/tillsynsmail/A 56582-2024 tillsynsbegäran mail.docx", "A 56582-2024")</f>
        <v/>
      </c>
    </row>
    <row r="665" ht="15" customHeight="1">
      <c r="A665" t="inlineStr">
        <is>
          <t>A 56990-2024</t>
        </is>
      </c>
      <c r="B665" s="1" t="n">
        <v>45628</v>
      </c>
      <c r="C665" s="1" t="n">
        <v>45736</v>
      </c>
      <c r="D665" t="inlineStr">
        <is>
          <t>VÄRMLANDS LÄN</t>
        </is>
      </c>
      <c r="E665" t="inlineStr">
        <is>
          <t>TORSBY</t>
        </is>
      </c>
      <c r="F665" t="inlineStr">
        <is>
          <t>Bergvik skog väst AB</t>
        </is>
      </c>
      <c r="G665" t="n">
        <v>8.699999999999999</v>
      </c>
      <c r="H665" t="n">
        <v>1</v>
      </c>
      <c r="I665" t="n">
        <v>0</v>
      </c>
      <c r="J665" t="n">
        <v>1</v>
      </c>
      <c r="K665" t="n">
        <v>0</v>
      </c>
      <c r="L665" t="n">
        <v>0</v>
      </c>
      <c r="M665" t="n">
        <v>0</v>
      </c>
      <c r="N665" t="n">
        <v>0</v>
      </c>
      <c r="O665" t="n">
        <v>1</v>
      </c>
      <c r="P665" t="n">
        <v>0</v>
      </c>
      <c r="Q665" t="n">
        <v>1</v>
      </c>
      <c r="R665" s="2" t="inlineStr">
        <is>
          <t>Grönsångare</t>
        </is>
      </c>
      <c r="S665">
        <f>HYPERLINK("https://klasma.github.io/Logging_1737/artfynd/A 56990-2024 artfynd.xlsx", "A 56990-2024")</f>
        <v/>
      </c>
      <c r="T665">
        <f>HYPERLINK("https://klasma.github.io/Logging_1737/kartor/A 56990-2024 karta.png", "A 56990-2024")</f>
        <v/>
      </c>
      <c r="V665">
        <f>HYPERLINK("https://klasma.github.io/Logging_1737/klagomål/A 56990-2024 FSC-klagomål.docx", "A 56990-2024")</f>
        <v/>
      </c>
      <c r="W665">
        <f>HYPERLINK("https://klasma.github.io/Logging_1737/klagomålsmail/A 56990-2024 FSC-klagomål mail.docx", "A 56990-2024")</f>
        <v/>
      </c>
      <c r="X665">
        <f>HYPERLINK("https://klasma.github.io/Logging_1737/tillsyn/A 56990-2024 tillsynsbegäran.docx", "A 56990-2024")</f>
        <v/>
      </c>
      <c r="Y665">
        <f>HYPERLINK("https://klasma.github.io/Logging_1737/tillsynsmail/A 56990-2024 tillsynsbegäran mail.docx", "A 56990-2024")</f>
        <v/>
      </c>
      <c r="Z665">
        <f>HYPERLINK("https://klasma.github.io/Logging_1737/fåglar/A 56990-2024 prioriterade fågelarter.docx", "A 56990-2024")</f>
        <v/>
      </c>
    </row>
    <row r="666" ht="15" customHeight="1">
      <c r="A666" t="inlineStr">
        <is>
          <t>A 57349-2024</t>
        </is>
      </c>
      <c r="B666" s="1" t="n">
        <v>45629</v>
      </c>
      <c r="C666" s="1" t="n">
        <v>45736</v>
      </c>
      <c r="D666" t="inlineStr">
        <is>
          <t>VÄRMLANDS LÄN</t>
        </is>
      </c>
      <c r="E666" t="inlineStr">
        <is>
          <t>KARLSTAD</t>
        </is>
      </c>
      <c r="G666" t="n">
        <v>2</v>
      </c>
      <c r="H666" t="n">
        <v>1</v>
      </c>
      <c r="I666" t="n">
        <v>0</v>
      </c>
      <c r="J666" t="n">
        <v>0</v>
      </c>
      <c r="K666" t="n">
        <v>1</v>
      </c>
      <c r="L666" t="n">
        <v>0</v>
      </c>
      <c r="M666" t="n">
        <v>0</v>
      </c>
      <c r="N666" t="n">
        <v>0</v>
      </c>
      <c r="O666" t="n">
        <v>1</v>
      </c>
      <c r="P666" t="n">
        <v>1</v>
      </c>
      <c r="Q666" t="n">
        <v>1</v>
      </c>
      <c r="R666" s="2" t="inlineStr">
        <is>
          <t>Bombmurkla</t>
        </is>
      </c>
      <c r="S666">
        <f>HYPERLINK("https://klasma.github.io/Logging_1780/artfynd/A 57349-2024 artfynd.xlsx", "A 57349-2024")</f>
        <v/>
      </c>
      <c r="T666">
        <f>HYPERLINK("https://klasma.github.io/Logging_1780/kartor/A 57349-2024 karta.png", "A 57349-2024")</f>
        <v/>
      </c>
      <c r="V666">
        <f>HYPERLINK("https://klasma.github.io/Logging_1780/klagomål/A 57349-2024 FSC-klagomål.docx", "A 57349-2024")</f>
        <v/>
      </c>
      <c r="W666">
        <f>HYPERLINK("https://klasma.github.io/Logging_1780/klagomålsmail/A 57349-2024 FSC-klagomål mail.docx", "A 57349-2024")</f>
        <v/>
      </c>
      <c r="X666">
        <f>HYPERLINK("https://klasma.github.io/Logging_1780/tillsyn/A 57349-2024 tillsynsbegäran.docx", "A 57349-2024")</f>
        <v/>
      </c>
      <c r="Y666">
        <f>HYPERLINK("https://klasma.github.io/Logging_1780/tillsynsmail/A 57349-2024 tillsynsbegäran mail.docx", "A 57349-2024")</f>
        <v/>
      </c>
    </row>
    <row r="667" ht="15" customHeight="1">
      <c r="A667" t="inlineStr">
        <is>
          <t>A 58014-2024</t>
        </is>
      </c>
      <c r="B667" s="1" t="n">
        <v>45631</v>
      </c>
      <c r="C667" s="1" t="n">
        <v>45736</v>
      </c>
      <c r="D667" t="inlineStr">
        <is>
          <t>VÄRMLANDS LÄN</t>
        </is>
      </c>
      <c r="E667" t="inlineStr">
        <is>
          <t>TORSBY</t>
        </is>
      </c>
      <c r="G667" t="n">
        <v>2.2</v>
      </c>
      <c r="H667" t="n">
        <v>0</v>
      </c>
      <c r="I667" t="n">
        <v>1</v>
      </c>
      <c r="J667" t="n">
        <v>0</v>
      </c>
      <c r="K667" t="n">
        <v>0</v>
      </c>
      <c r="L667" t="n">
        <v>0</v>
      </c>
      <c r="M667" t="n">
        <v>0</v>
      </c>
      <c r="N667" t="n">
        <v>0</v>
      </c>
      <c r="O667" t="n">
        <v>0</v>
      </c>
      <c r="P667" t="n">
        <v>0</v>
      </c>
      <c r="Q667" t="n">
        <v>1</v>
      </c>
      <c r="R667" s="2" t="inlineStr">
        <is>
          <t>Kattfotslav</t>
        </is>
      </c>
      <c r="S667">
        <f>HYPERLINK("https://klasma.github.io/Logging_1737/artfynd/A 58014-2024 artfynd.xlsx", "A 58014-2024")</f>
        <v/>
      </c>
      <c r="T667">
        <f>HYPERLINK("https://klasma.github.io/Logging_1737/kartor/A 58014-2024 karta.png", "A 58014-2024")</f>
        <v/>
      </c>
      <c r="V667">
        <f>HYPERLINK("https://klasma.github.io/Logging_1737/klagomål/A 58014-2024 FSC-klagomål.docx", "A 58014-2024")</f>
        <v/>
      </c>
      <c r="W667">
        <f>HYPERLINK("https://klasma.github.io/Logging_1737/klagomålsmail/A 58014-2024 FSC-klagomål mail.docx", "A 58014-2024")</f>
        <v/>
      </c>
      <c r="X667">
        <f>HYPERLINK("https://klasma.github.io/Logging_1737/tillsyn/A 58014-2024 tillsynsbegäran.docx", "A 58014-2024")</f>
        <v/>
      </c>
      <c r="Y667">
        <f>HYPERLINK("https://klasma.github.io/Logging_1737/tillsynsmail/A 58014-2024 tillsynsbegäran mail.docx", "A 58014-2024")</f>
        <v/>
      </c>
    </row>
    <row r="668" ht="15" customHeight="1">
      <c r="A668" t="inlineStr">
        <is>
          <t>A 58108-2024</t>
        </is>
      </c>
      <c r="B668" s="1" t="n">
        <v>45632</v>
      </c>
      <c r="C668" s="1" t="n">
        <v>45736</v>
      </c>
      <c r="D668" t="inlineStr">
        <is>
          <t>VÄRMLANDS LÄN</t>
        </is>
      </c>
      <c r="E668" t="inlineStr">
        <is>
          <t>ARVIKA</t>
        </is>
      </c>
      <c r="G668" t="n">
        <v>10.5</v>
      </c>
      <c r="H668" t="n">
        <v>1</v>
      </c>
      <c r="I668" t="n">
        <v>0</v>
      </c>
      <c r="J668" t="n">
        <v>0</v>
      </c>
      <c r="K668" t="n">
        <v>1</v>
      </c>
      <c r="L668" t="n">
        <v>0</v>
      </c>
      <c r="M668" t="n">
        <v>0</v>
      </c>
      <c r="N668" t="n">
        <v>0</v>
      </c>
      <c r="O668" t="n">
        <v>1</v>
      </c>
      <c r="P668" t="n">
        <v>1</v>
      </c>
      <c r="Q668" t="n">
        <v>1</v>
      </c>
      <c r="R668" s="2" t="inlineStr">
        <is>
          <t>Knärot</t>
        </is>
      </c>
      <c r="S668">
        <f>HYPERLINK("https://klasma.github.io/Logging_1784/artfynd/A 58108-2024 artfynd.xlsx", "A 58108-2024")</f>
        <v/>
      </c>
      <c r="T668">
        <f>HYPERLINK("https://klasma.github.io/Logging_1784/kartor/A 58108-2024 karta.png", "A 58108-2024")</f>
        <v/>
      </c>
      <c r="U668">
        <f>HYPERLINK("https://klasma.github.io/Logging_1784/knärot/A 58108-2024 karta knärot.png", "A 58108-2024")</f>
        <v/>
      </c>
      <c r="V668">
        <f>HYPERLINK("https://klasma.github.io/Logging_1784/klagomål/A 58108-2024 FSC-klagomål.docx", "A 58108-2024")</f>
        <v/>
      </c>
      <c r="W668">
        <f>HYPERLINK("https://klasma.github.io/Logging_1784/klagomålsmail/A 58108-2024 FSC-klagomål mail.docx", "A 58108-2024")</f>
        <v/>
      </c>
      <c r="X668">
        <f>HYPERLINK("https://klasma.github.io/Logging_1784/tillsyn/A 58108-2024 tillsynsbegäran.docx", "A 58108-2024")</f>
        <v/>
      </c>
      <c r="Y668">
        <f>HYPERLINK("https://klasma.github.io/Logging_1784/tillsynsmail/A 58108-2024 tillsynsbegäran mail.docx", "A 58108-2024")</f>
        <v/>
      </c>
    </row>
    <row r="669" ht="15" customHeight="1">
      <c r="A669" t="inlineStr">
        <is>
          <t>A 58517-2024</t>
        </is>
      </c>
      <c r="B669" s="1" t="n">
        <v>45635</v>
      </c>
      <c r="C669" s="1" t="n">
        <v>45736</v>
      </c>
      <c r="D669" t="inlineStr">
        <is>
          <t>VÄRMLANDS LÄN</t>
        </is>
      </c>
      <c r="E669" t="inlineStr">
        <is>
          <t>SUNNE</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HYPERLINK("https://klasma.github.io/Logging_1766/artfynd/A 58517-2024 artfynd.xlsx", "A 58517-2024")</f>
        <v/>
      </c>
      <c r="T669">
        <f>HYPERLINK("https://klasma.github.io/Logging_1766/kartor/A 58517-2024 karta.png", "A 58517-2024")</f>
        <v/>
      </c>
      <c r="V669">
        <f>HYPERLINK("https://klasma.github.io/Logging_1766/klagomål/A 58517-2024 FSC-klagomål.docx", "A 58517-2024")</f>
        <v/>
      </c>
      <c r="W669">
        <f>HYPERLINK("https://klasma.github.io/Logging_1766/klagomålsmail/A 58517-2024 FSC-klagomål mail.docx", "A 58517-2024")</f>
        <v/>
      </c>
      <c r="X669">
        <f>HYPERLINK("https://klasma.github.io/Logging_1766/tillsyn/A 58517-2024 tillsynsbegäran.docx", "A 58517-2024")</f>
        <v/>
      </c>
      <c r="Y669">
        <f>HYPERLINK("https://klasma.github.io/Logging_1766/tillsynsmail/A 58517-2024 tillsynsbegäran mail.docx", "A 58517-2024")</f>
        <v/>
      </c>
    </row>
    <row r="670" ht="15" customHeight="1">
      <c r="A670" t="inlineStr">
        <is>
          <t>A 59330-2024</t>
        </is>
      </c>
      <c r="B670" s="1" t="n">
        <v>45637</v>
      </c>
      <c r="C670" s="1" t="n">
        <v>45736</v>
      </c>
      <c r="D670" t="inlineStr">
        <is>
          <t>VÄRMLANDS LÄN</t>
        </is>
      </c>
      <c r="E670" t="inlineStr">
        <is>
          <t>HAGFORS</t>
        </is>
      </c>
      <c r="G670" t="n">
        <v>3.7</v>
      </c>
      <c r="H670" t="n">
        <v>0</v>
      </c>
      <c r="I670" t="n">
        <v>0</v>
      </c>
      <c r="J670" t="n">
        <v>1</v>
      </c>
      <c r="K670" t="n">
        <v>0</v>
      </c>
      <c r="L670" t="n">
        <v>0</v>
      </c>
      <c r="M670" t="n">
        <v>0</v>
      </c>
      <c r="N670" t="n">
        <v>0</v>
      </c>
      <c r="O670" t="n">
        <v>1</v>
      </c>
      <c r="P670" t="n">
        <v>0</v>
      </c>
      <c r="Q670" t="n">
        <v>1</v>
      </c>
      <c r="R670" s="2" t="inlineStr">
        <is>
          <t>Gränsticka</t>
        </is>
      </c>
      <c r="S670">
        <f>HYPERLINK("https://klasma.github.io/Logging_1783/artfynd/A 59330-2024 artfynd.xlsx", "A 59330-2024")</f>
        <v/>
      </c>
      <c r="T670">
        <f>HYPERLINK("https://klasma.github.io/Logging_1783/kartor/A 59330-2024 karta.png", "A 59330-2024")</f>
        <v/>
      </c>
      <c r="V670">
        <f>HYPERLINK("https://klasma.github.io/Logging_1783/klagomål/A 59330-2024 FSC-klagomål.docx", "A 59330-2024")</f>
        <v/>
      </c>
      <c r="W670">
        <f>HYPERLINK("https://klasma.github.io/Logging_1783/klagomålsmail/A 59330-2024 FSC-klagomål mail.docx", "A 59330-2024")</f>
        <v/>
      </c>
      <c r="X670">
        <f>HYPERLINK("https://klasma.github.io/Logging_1783/tillsyn/A 59330-2024 tillsynsbegäran.docx", "A 59330-2024")</f>
        <v/>
      </c>
      <c r="Y670">
        <f>HYPERLINK("https://klasma.github.io/Logging_1783/tillsynsmail/A 59330-2024 tillsynsbegäran mail.docx", "A 59330-2024")</f>
        <v/>
      </c>
    </row>
    <row r="671" ht="15" customHeight="1">
      <c r="A671" t="inlineStr">
        <is>
          <t>A 60280-2024</t>
        </is>
      </c>
      <c r="B671" s="1" t="n">
        <v>45642</v>
      </c>
      <c r="C671" s="1" t="n">
        <v>45736</v>
      </c>
      <c r="D671" t="inlineStr">
        <is>
          <t>VÄRMLANDS LÄN</t>
        </is>
      </c>
      <c r="E671" t="inlineStr">
        <is>
          <t>KARLSTAD</t>
        </is>
      </c>
      <c r="G671" t="n">
        <v>5</v>
      </c>
      <c r="H671" t="n">
        <v>1</v>
      </c>
      <c r="I671" t="n">
        <v>0</v>
      </c>
      <c r="J671" t="n">
        <v>0</v>
      </c>
      <c r="K671" t="n">
        <v>0</v>
      </c>
      <c r="L671" t="n">
        <v>1</v>
      </c>
      <c r="M671" t="n">
        <v>0</v>
      </c>
      <c r="N671" t="n">
        <v>0</v>
      </c>
      <c r="O671" t="n">
        <v>1</v>
      </c>
      <c r="P671" t="n">
        <v>1</v>
      </c>
      <c r="Q671" t="n">
        <v>1</v>
      </c>
      <c r="R671" s="2" t="inlineStr">
        <is>
          <t>Grönfink</t>
        </is>
      </c>
      <c r="S671">
        <f>HYPERLINK("https://klasma.github.io/Logging_1780/artfynd/A 60280-2024 artfynd.xlsx", "A 60280-2024")</f>
        <v/>
      </c>
      <c r="T671">
        <f>HYPERLINK("https://klasma.github.io/Logging_1780/kartor/A 60280-2024 karta.png", "A 60280-2024")</f>
        <v/>
      </c>
      <c r="V671">
        <f>HYPERLINK("https://klasma.github.io/Logging_1780/klagomål/A 60280-2024 FSC-klagomål.docx", "A 60280-2024")</f>
        <v/>
      </c>
      <c r="W671">
        <f>HYPERLINK("https://klasma.github.io/Logging_1780/klagomålsmail/A 60280-2024 FSC-klagomål mail.docx", "A 60280-2024")</f>
        <v/>
      </c>
      <c r="X671">
        <f>HYPERLINK("https://klasma.github.io/Logging_1780/tillsyn/A 60280-2024 tillsynsbegäran.docx", "A 60280-2024")</f>
        <v/>
      </c>
      <c r="Y671">
        <f>HYPERLINK("https://klasma.github.io/Logging_1780/tillsynsmail/A 60280-2024 tillsynsbegäran mail.docx", "A 60280-2024")</f>
        <v/>
      </c>
      <c r="Z671">
        <f>HYPERLINK("https://klasma.github.io/Logging_1780/fåglar/A 60280-2024 prioriterade fågelarter.docx", "A 60280-2024")</f>
        <v/>
      </c>
    </row>
    <row r="672" ht="15" customHeight="1">
      <c r="A672" t="inlineStr">
        <is>
          <t>A 865-2025</t>
        </is>
      </c>
      <c r="B672" s="1" t="n">
        <v>45665</v>
      </c>
      <c r="C672" s="1" t="n">
        <v>45736</v>
      </c>
      <c r="D672" t="inlineStr">
        <is>
          <t>VÄRMLANDS LÄN</t>
        </is>
      </c>
      <c r="E672" t="inlineStr">
        <is>
          <t>ARVIKA</t>
        </is>
      </c>
      <c r="G672" t="n">
        <v>7.7</v>
      </c>
      <c r="H672" t="n">
        <v>0</v>
      </c>
      <c r="I672" t="n">
        <v>0</v>
      </c>
      <c r="J672" t="n">
        <v>1</v>
      </c>
      <c r="K672" t="n">
        <v>0</v>
      </c>
      <c r="L672" t="n">
        <v>0</v>
      </c>
      <c r="M672" t="n">
        <v>0</v>
      </c>
      <c r="N672" t="n">
        <v>0</v>
      </c>
      <c r="O672" t="n">
        <v>1</v>
      </c>
      <c r="P672" t="n">
        <v>0</v>
      </c>
      <c r="Q672" t="n">
        <v>1</v>
      </c>
      <c r="R672" s="2" t="inlineStr">
        <is>
          <t>Skogsklocka</t>
        </is>
      </c>
      <c r="S672">
        <f>HYPERLINK("https://klasma.github.io/Logging_1784/artfynd/A 865-2025 artfynd.xlsx", "A 865-2025")</f>
        <v/>
      </c>
      <c r="T672">
        <f>HYPERLINK("https://klasma.github.io/Logging_1784/kartor/A 865-2025 karta.png", "A 865-2025")</f>
        <v/>
      </c>
      <c r="V672">
        <f>HYPERLINK("https://klasma.github.io/Logging_1784/klagomål/A 865-2025 FSC-klagomål.docx", "A 865-2025")</f>
        <v/>
      </c>
      <c r="W672">
        <f>HYPERLINK("https://klasma.github.io/Logging_1784/klagomålsmail/A 865-2025 FSC-klagomål mail.docx", "A 865-2025")</f>
        <v/>
      </c>
      <c r="X672">
        <f>HYPERLINK("https://klasma.github.io/Logging_1784/tillsyn/A 865-2025 tillsynsbegäran.docx", "A 865-2025")</f>
        <v/>
      </c>
      <c r="Y672">
        <f>HYPERLINK("https://klasma.github.io/Logging_1784/tillsynsmail/A 865-2025 tillsynsbegäran mail.docx", "A 865-2025")</f>
        <v/>
      </c>
    </row>
    <row r="673" ht="15" customHeight="1">
      <c r="A673" t="inlineStr">
        <is>
          <t>A 874-2025</t>
        </is>
      </c>
      <c r="B673" s="1" t="n">
        <v>45665</v>
      </c>
      <c r="C673" s="1" t="n">
        <v>45736</v>
      </c>
      <c r="D673" t="inlineStr">
        <is>
          <t>VÄRMLANDS LÄN</t>
        </is>
      </c>
      <c r="E673" t="inlineStr">
        <is>
          <t>FILIPSTAD</t>
        </is>
      </c>
      <c r="F673" t="inlineStr">
        <is>
          <t>Kyrkan</t>
        </is>
      </c>
      <c r="G673" t="n">
        <v>4.8</v>
      </c>
      <c r="H673" t="n">
        <v>0</v>
      </c>
      <c r="I673" t="n">
        <v>1</v>
      </c>
      <c r="J673" t="n">
        <v>0</v>
      </c>
      <c r="K673" t="n">
        <v>0</v>
      </c>
      <c r="L673" t="n">
        <v>0</v>
      </c>
      <c r="M673" t="n">
        <v>0</v>
      </c>
      <c r="N673" t="n">
        <v>0</v>
      </c>
      <c r="O673" t="n">
        <v>0</v>
      </c>
      <c r="P673" t="n">
        <v>0</v>
      </c>
      <c r="Q673" t="n">
        <v>1</v>
      </c>
      <c r="R673" s="2" t="inlineStr">
        <is>
          <t>Kamjordstjärna</t>
        </is>
      </c>
      <c r="S673">
        <f>HYPERLINK("https://klasma.github.io/Logging_1782/artfynd/A 874-2025 artfynd.xlsx", "A 874-2025")</f>
        <v/>
      </c>
      <c r="T673">
        <f>HYPERLINK("https://klasma.github.io/Logging_1782/kartor/A 874-2025 karta.png", "A 874-2025")</f>
        <v/>
      </c>
      <c r="V673">
        <f>HYPERLINK("https://klasma.github.io/Logging_1782/klagomål/A 874-2025 FSC-klagomål.docx", "A 874-2025")</f>
        <v/>
      </c>
      <c r="W673">
        <f>HYPERLINK("https://klasma.github.io/Logging_1782/klagomålsmail/A 874-2025 FSC-klagomål mail.docx", "A 874-2025")</f>
        <v/>
      </c>
      <c r="X673">
        <f>HYPERLINK("https://klasma.github.io/Logging_1782/tillsyn/A 874-2025 tillsynsbegäran.docx", "A 874-2025")</f>
        <v/>
      </c>
      <c r="Y673">
        <f>HYPERLINK("https://klasma.github.io/Logging_1782/tillsynsmail/A 874-2025 tillsynsbegäran mail.docx", "A 874-2025")</f>
        <v/>
      </c>
    </row>
    <row r="674" ht="15" customHeight="1">
      <c r="A674" t="inlineStr">
        <is>
          <t>A 2212-2025</t>
        </is>
      </c>
      <c r="B674" s="1" t="n">
        <v>45673</v>
      </c>
      <c r="C674" s="1" t="n">
        <v>45736</v>
      </c>
      <c r="D674" t="inlineStr">
        <is>
          <t>VÄRMLANDS LÄN</t>
        </is>
      </c>
      <c r="E674" t="inlineStr">
        <is>
          <t>ÅRJÄNG</t>
        </is>
      </c>
      <c r="G674" t="n">
        <v>10.7</v>
      </c>
      <c r="H674" t="n">
        <v>0</v>
      </c>
      <c r="I674" t="n">
        <v>1</v>
      </c>
      <c r="J674" t="n">
        <v>0</v>
      </c>
      <c r="K674" t="n">
        <v>0</v>
      </c>
      <c r="L674" t="n">
        <v>0</v>
      </c>
      <c r="M674" t="n">
        <v>0</v>
      </c>
      <c r="N674" t="n">
        <v>0</v>
      </c>
      <c r="O674" t="n">
        <v>0</v>
      </c>
      <c r="P674" t="n">
        <v>0</v>
      </c>
      <c r="Q674" t="n">
        <v>1</v>
      </c>
      <c r="R674" s="2" t="inlineStr">
        <is>
          <t>Bårdlav</t>
        </is>
      </c>
      <c r="S674">
        <f>HYPERLINK("https://klasma.github.io/Logging_1765/artfynd/A 2212-2025 artfynd.xlsx", "A 2212-2025")</f>
        <v/>
      </c>
      <c r="T674">
        <f>HYPERLINK("https://klasma.github.io/Logging_1765/kartor/A 2212-2025 karta.png", "A 2212-2025")</f>
        <v/>
      </c>
      <c r="V674">
        <f>HYPERLINK("https://klasma.github.io/Logging_1765/klagomål/A 2212-2025 FSC-klagomål.docx", "A 2212-2025")</f>
        <v/>
      </c>
      <c r="W674">
        <f>HYPERLINK("https://klasma.github.io/Logging_1765/klagomålsmail/A 2212-2025 FSC-klagomål mail.docx", "A 2212-2025")</f>
        <v/>
      </c>
      <c r="X674">
        <f>HYPERLINK("https://klasma.github.io/Logging_1765/tillsyn/A 2212-2025 tillsynsbegäran.docx", "A 2212-2025")</f>
        <v/>
      </c>
      <c r="Y674">
        <f>HYPERLINK("https://klasma.github.io/Logging_1765/tillsynsmail/A 2212-2025 tillsynsbegäran mail.docx", "A 2212-2025")</f>
        <v/>
      </c>
    </row>
    <row r="675" ht="15" customHeight="1">
      <c r="A675" t="inlineStr">
        <is>
          <t>A 5055-2025</t>
        </is>
      </c>
      <c r="B675" s="1" t="n">
        <v>45691</v>
      </c>
      <c r="C675" s="1" t="n">
        <v>45736</v>
      </c>
      <c r="D675" t="inlineStr">
        <is>
          <t>VÄRMLANDS LÄN</t>
        </is>
      </c>
      <c r="E675" t="inlineStr">
        <is>
          <t>KARLSTAD</t>
        </is>
      </c>
      <c r="F675" t="inlineStr">
        <is>
          <t>Kommuner</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HYPERLINK("https://klasma.github.io/Logging_1780/artfynd/A 5055-2025 artfynd.xlsx", "A 5055-2025")</f>
        <v/>
      </c>
      <c r="T675">
        <f>HYPERLINK("https://klasma.github.io/Logging_1780/kartor/A 5055-2025 karta.png", "A 5055-2025")</f>
        <v/>
      </c>
      <c r="U675">
        <f>HYPERLINK("https://klasma.github.io/Logging_1780/knärot/A 5055-2025 karta knärot.png", "A 5055-2025")</f>
        <v/>
      </c>
      <c r="V675">
        <f>HYPERLINK("https://klasma.github.io/Logging_1780/klagomål/A 5055-2025 FSC-klagomål.docx", "A 5055-2025")</f>
        <v/>
      </c>
      <c r="W675">
        <f>HYPERLINK("https://klasma.github.io/Logging_1780/klagomålsmail/A 5055-2025 FSC-klagomål mail.docx", "A 5055-2025")</f>
        <v/>
      </c>
      <c r="X675">
        <f>HYPERLINK("https://klasma.github.io/Logging_1780/tillsyn/A 5055-2025 tillsynsbegäran.docx", "A 5055-2025")</f>
        <v/>
      </c>
      <c r="Y675">
        <f>HYPERLINK("https://klasma.github.io/Logging_1780/tillsynsmail/A 5055-2025 tillsynsbegäran mail.docx", "A 5055-2025")</f>
        <v/>
      </c>
    </row>
    <row r="676" ht="15" customHeight="1">
      <c r="A676" t="inlineStr">
        <is>
          <t>A 5779-2025</t>
        </is>
      </c>
      <c r="B676" s="1" t="n">
        <v>45694</v>
      </c>
      <c r="C676" s="1" t="n">
        <v>45736</v>
      </c>
      <c r="D676" t="inlineStr">
        <is>
          <t>VÄRMLANDS LÄN</t>
        </is>
      </c>
      <c r="E676" t="inlineStr">
        <is>
          <t>ARVIKA</t>
        </is>
      </c>
      <c r="F676" t="inlineStr">
        <is>
          <t>Bergvik skog väst AB</t>
        </is>
      </c>
      <c r="G676" t="n">
        <v>10.8</v>
      </c>
      <c r="H676" t="n">
        <v>1</v>
      </c>
      <c r="I676" t="n">
        <v>0</v>
      </c>
      <c r="J676" t="n">
        <v>0</v>
      </c>
      <c r="K676" t="n">
        <v>0</v>
      </c>
      <c r="L676" t="n">
        <v>0</v>
      </c>
      <c r="M676" t="n">
        <v>0</v>
      </c>
      <c r="N676" t="n">
        <v>0</v>
      </c>
      <c r="O676" t="n">
        <v>0</v>
      </c>
      <c r="P676" t="n">
        <v>0</v>
      </c>
      <c r="Q676" t="n">
        <v>1</v>
      </c>
      <c r="R676" s="2" t="inlineStr">
        <is>
          <t>Blåsippa</t>
        </is>
      </c>
      <c r="S676">
        <f>HYPERLINK("https://klasma.github.io/Logging_1784/artfynd/A 5779-2025 artfynd.xlsx", "A 5779-2025")</f>
        <v/>
      </c>
      <c r="T676">
        <f>HYPERLINK("https://klasma.github.io/Logging_1784/kartor/A 5779-2025 karta.png", "A 5779-2025")</f>
        <v/>
      </c>
      <c r="V676">
        <f>HYPERLINK("https://klasma.github.io/Logging_1784/klagomål/A 5779-2025 FSC-klagomål.docx", "A 5779-2025")</f>
        <v/>
      </c>
      <c r="W676">
        <f>HYPERLINK("https://klasma.github.io/Logging_1784/klagomålsmail/A 5779-2025 FSC-klagomål mail.docx", "A 5779-2025")</f>
        <v/>
      </c>
      <c r="X676">
        <f>HYPERLINK("https://klasma.github.io/Logging_1784/tillsyn/A 5779-2025 tillsynsbegäran.docx", "A 5779-2025")</f>
        <v/>
      </c>
      <c r="Y676">
        <f>HYPERLINK("https://klasma.github.io/Logging_1784/tillsynsmail/A 5779-2025 tillsynsbegäran mail.docx", "A 5779-2025")</f>
        <v/>
      </c>
    </row>
    <row r="677" ht="15" customHeight="1">
      <c r="A677" t="inlineStr">
        <is>
          <t>A 5726-2025</t>
        </is>
      </c>
      <c r="B677" s="1" t="n">
        <v>45694</v>
      </c>
      <c r="C677" s="1" t="n">
        <v>45736</v>
      </c>
      <c r="D677" t="inlineStr">
        <is>
          <t>VÄRMLANDS LÄN</t>
        </is>
      </c>
      <c r="E677" t="inlineStr">
        <is>
          <t>TORSBY</t>
        </is>
      </c>
      <c r="G677" t="n">
        <v>3.5</v>
      </c>
      <c r="H677" t="n">
        <v>0</v>
      </c>
      <c r="I677" t="n">
        <v>1</v>
      </c>
      <c r="J677" t="n">
        <v>0</v>
      </c>
      <c r="K677" t="n">
        <v>0</v>
      </c>
      <c r="L677" t="n">
        <v>0</v>
      </c>
      <c r="M677" t="n">
        <v>0</v>
      </c>
      <c r="N677" t="n">
        <v>0</v>
      </c>
      <c r="O677" t="n">
        <v>0</v>
      </c>
      <c r="P677" t="n">
        <v>0</v>
      </c>
      <c r="Q677" t="n">
        <v>1</v>
      </c>
      <c r="R677" s="2" t="inlineStr">
        <is>
          <t>Vedticka</t>
        </is>
      </c>
      <c r="S677">
        <f>HYPERLINK("https://klasma.github.io/Logging_1737/artfynd/A 5726-2025 artfynd.xlsx", "A 5726-2025")</f>
        <v/>
      </c>
      <c r="T677">
        <f>HYPERLINK("https://klasma.github.io/Logging_1737/kartor/A 5726-2025 karta.png", "A 5726-2025")</f>
        <v/>
      </c>
      <c r="V677">
        <f>HYPERLINK("https://klasma.github.io/Logging_1737/klagomål/A 5726-2025 FSC-klagomål.docx", "A 5726-2025")</f>
        <v/>
      </c>
      <c r="W677">
        <f>HYPERLINK("https://klasma.github.io/Logging_1737/klagomålsmail/A 5726-2025 FSC-klagomål mail.docx", "A 5726-2025")</f>
        <v/>
      </c>
      <c r="X677">
        <f>HYPERLINK("https://klasma.github.io/Logging_1737/tillsyn/A 5726-2025 tillsynsbegäran.docx", "A 5726-2025")</f>
        <v/>
      </c>
      <c r="Y677">
        <f>HYPERLINK("https://klasma.github.io/Logging_1737/tillsynsmail/A 5726-2025 tillsynsbegäran mail.docx", "A 5726-2025")</f>
        <v/>
      </c>
    </row>
    <row r="678" ht="15" customHeight="1">
      <c r="A678" t="inlineStr">
        <is>
          <t>A 6542-2025</t>
        </is>
      </c>
      <c r="B678" s="1" t="n">
        <v>45699</v>
      </c>
      <c r="C678" s="1" t="n">
        <v>45736</v>
      </c>
      <c r="D678" t="inlineStr">
        <is>
          <t>VÄRMLANDS LÄN</t>
        </is>
      </c>
      <c r="E678" t="inlineStr">
        <is>
          <t>KARLSTAD</t>
        </is>
      </c>
      <c r="G678" t="n">
        <v>13</v>
      </c>
      <c r="H678" t="n">
        <v>0</v>
      </c>
      <c r="I678" t="n">
        <v>0</v>
      </c>
      <c r="J678" t="n">
        <v>1</v>
      </c>
      <c r="K678" t="n">
        <v>0</v>
      </c>
      <c r="L678" t="n">
        <v>0</v>
      </c>
      <c r="M678" t="n">
        <v>0</v>
      </c>
      <c r="N678" t="n">
        <v>0</v>
      </c>
      <c r="O678" t="n">
        <v>1</v>
      </c>
      <c r="P678" t="n">
        <v>0</v>
      </c>
      <c r="Q678" t="n">
        <v>1</v>
      </c>
      <c r="R678" s="2" t="inlineStr">
        <is>
          <t>Gropig brunbagge</t>
        </is>
      </c>
      <c r="S678">
        <f>HYPERLINK("https://klasma.github.io/Logging_1780/artfynd/A 6542-2025 artfynd.xlsx", "A 6542-2025")</f>
        <v/>
      </c>
      <c r="T678">
        <f>HYPERLINK("https://klasma.github.io/Logging_1780/kartor/A 6542-2025 karta.png", "A 6542-2025")</f>
        <v/>
      </c>
      <c r="V678">
        <f>HYPERLINK("https://klasma.github.io/Logging_1780/klagomål/A 6542-2025 FSC-klagomål.docx", "A 6542-2025")</f>
        <v/>
      </c>
      <c r="W678">
        <f>HYPERLINK("https://klasma.github.io/Logging_1780/klagomålsmail/A 6542-2025 FSC-klagomål mail.docx", "A 6542-2025")</f>
        <v/>
      </c>
      <c r="X678">
        <f>HYPERLINK("https://klasma.github.io/Logging_1780/tillsyn/A 6542-2025 tillsynsbegäran.docx", "A 6542-2025")</f>
        <v/>
      </c>
      <c r="Y678">
        <f>HYPERLINK("https://klasma.github.io/Logging_1780/tillsynsmail/A 6542-2025 tillsynsbegäran mail.docx", "A 6542-2025")</f>
        <v/>
      </c>
    </row>
    <row r="679" ht="15" customHeight="1">
      <c r="A679" t="inlineStr">
        <is>
          <t>A 6966-2025</t>
        </is>
      </c>
      <c r="B679" s="1" t="n">
        <v>45701</v>
      </c>
      <c r="C679" s="1" t="n">
        <v>45736</v>
      </c>
      <c r="D679" t="inlineStr">
        <is>
          <t>VÄRMLANDS LÄN</t>
        </is>
      </c>
      <c r="E679" t="inlineStr">
        <is>
          <t>ARVIKA</t>
        </is>
      </c>
      <c r="G679" t="n">
        <v>1.9</v>
      </c>
      <c r="H679" t="n">
        <v>1</v>
      </c>
      <c r="I679" t="n">
        <v>0</v>
      </c>
      <c r="J679" t="n">
        <v>0</v>
      </c>
      <c r="K679" t="n">
        <v>1</v>
      </c>
      <c r="L679" t="n">
        <v>0</v>
      </c>
      <c r="M679" t="n">
        <v>0</v>
      </c>
      <c r="N679" t="n">
        <v>0</v>
      </c>
      <c r="O679" t="n">
        <v>1</v>
      </c>
      <c r="P679" t="n">
        <v>1</v>
      </c>
      <c r="Q679" t="n">
        <v>1</v>
      </c>
      <c r="R679" s="2" t="inlineStr">
        <is>
          <t>Knärot</t>
        </is>
      </c>
      <c r="S679">
        <f>HYPERLINK("https://klasma.github.io/Logging_1784/artfynd/A 6966-2025 artfynd.xlsx", "A 6966-2025")</f>
        <v/>
      </c>
      <c r="T679">
        <f>HYPERLINK("https://klasma.github.io/Logging_1784/kartor/A 6966-2025 karta.png", "A 6966-2025")</f>
        <v/>
      </c>
      <c r="U679">
        <f>HYPERLINK("https://klasma.github.io/Logging_1784/knärot/A 6966-2025 karta knärot.png", "A 6966-2025")</f>
        <v/>
      </c>
      <c r="V679">
        <f>HYPERLINK("https://klasma.github.io/Logging_1784/klagomål/A 6966-2025 FSC-klagomål.docx", "A 6966-2025")</f>
        <v/>
      </c>
      <c r="W679">
        <f>HYPERLINK("https://klasma.github.io/Logging_1784/klagomålsmail/A 6966-2025 FSC-klagomål mail.docx", "A 6966-2025")</f>
        <v/>
      </c>
      <c r="X679">
        <f>HYPERLINK("https://klasma.github.io/Logging_1784/tillsyn/A 6966-2025 tillsynsbegäran.docx", "A 6966-2025")</f>
        <v/>
      </c>
      <c r="Y679">
        <f>HYPERLINK("https://klasma.github.io/Logging_1784/tillsynsmail/A 6966-2025 tillsynsbegäran mail.docx", "A 6966-2025")</f>
        <v/>
      </c>
    </row>
    <row r="680" ht="15" customHeight="1">
      <c r="A680" t="inlineStr">
        <is>
          <t>A 7593-2025</t>
        </is>
      </c>
      <c r="B680" s="1" t="n">
        <v>45705</v>
      </c>
      <c r="C680" s="1" t="n">
        <v>45736</v>
      </c>
      <c r="D680" t="inlineStr">
        <is>
          <t>VÄRMLANDS LÄN</t>
        </is>
      </c>
      <c r="E680" t="inlineStr">
        <is>
          <t>HAMMARÖ</t>
        </is>
      </c>
      <c r="G680" t="n">
        <v>1.3</v>
      </c>
      <c r="H680" t="n">
        <v>1</v>
      </c>
      <c r="I680" t="n">
        <v>0</v>
      </c>
      <c r="J680" t="n">
        <v>0</v>
      </c>
      <c r="K680" t="n">
        <v>0</v>
      </c>
      <c r="L680" t="n">
        <v>0</v>
      </c>
      <c r="M680" t="n">
        <v>0</v>
      </c>
      <c r="N680" t="n">
        <v>0</v>
      </c>
      <c r="O680" t="n">
        <v>0</v>
      </c>
      <c r="P680" t="n">
        <v>0</v>
      </c>
      <c r="Q680" t="n">
        <v>1</v>
      </c>
      <c r="R680" s="2" t="inlineStr">
        <is>
          <t>Trollpipistrell</t>
        </is>
      </c>
      <c r="S680">
        <f>HYPERLINK("https://klasma.github.io/Logging_1761/artfynd/A 7593-2025 artfynd.xlsx", "A 7593-2025")</f>
        <v/>
      </c>
      <c r="T680">
        <f>HYPERLINK("https://klasma.github.io/Logging_1761/kartor/A 7593-2025 karta.png", "A 7593-2025")</f>
        <v/>
      </c>
      <c r="V680">
        <f>HYPERLINK("https://klasma.github.io/Logging_1761/klagomål/A 7593-2025 FSC-klagomål.docx", "A 7593-2025")</f>
        <v/>
      </c>
      <c r="W680">
        <f>HYPERLINK("https://klasma.github.io/Logging_1761/klagomålsmail/A 7593-2025 FSC-klagomål mail.docx", "A 7593-2025")</f>
        <v/>
      </c>
      <c r="X680">
        <f>HYPERLINK("https://klasma.github.io/Logging_1761/tillsyn/A 7593-2025 tillsynsbegäran.docx", "A 7593-2025")</f>
        <v/>
      </c>
      <c r="Y680">
        <f>HYPERLINK("https://klasma.github.io/Logging_1761/tillsynsmail/A 7593-2025 tillsynsbegäran mail.docx", "A 7593-2025")</f>
        <v/>
      </c>
    </row>
    <row r="681" ht="15" customHeight="1">
      <c r="A681" t="inlineStr">
        <is>
          <t>A 8165-2025</t>
        </is>
      </c>
      <c r="B681" s="1" t="n">
        <v>45708</v>
      </c>
      <c r="C681" s="1" t="n">
        <v>45736</v>
      </c>
      <c r="D681" t="inlineStr">
        <is>
          <t>VÄRMLANDS LÄN</t>
        </is>
      </c>
      <c r="E681" t="inlineStr">
        <is>
          <t>ARVIKA</t>
        </is>
      </c>
      <c r="G681" t="n">
        <v>6.3</v>
      </c>
      <c r="H681" t="n">
        <v>1</v>
      </c>
      <c r="I681" t="n">
        <v>0</v>
      </c>
      <c r="J681" t="n">
        <v>0</v>
      </c>
      <c r="K681" t="n">
        <v>1</v>
      </c>
      <c r="L681" t="n">
        <v>0</v>
      </c>
      <c r="M681" t="n">
        <v>0</v>
      </c>
      <c r="N681" t="n">
        <v>0</v>
      </c>
      <c r="O681" t="n">
        <v>1</v>
      </c>
      <c r="P681" t="n">
        <v>1</v>
      </c>
      <c r="Q681" t="n">
        <v>1</v>
      </c>
      <c r="R681" s="2" t="inlineStr">
        <is>
          <t>Knärot</t>
        </is>
      </c>
      <c r="S681">
        <f>HYPERLINK("https://klasma.github.io/Logging_1784/artfynd/A 8165-2025 artfynd.xlsx", "A 8165-2025")</f>
        <v/>
      </c>
      <c r="T681">
        <f>HYPERLINK("https://klasma.github.io/Logging_1784/kartor/A 8165-2025 karta.png", "A 8165-2025")</f>
        <v/>
      </c>
      <c r="U681">
        <f>HYPERLINK("https://klasma.github.io/Logging_1784/knärot/A 8165-2025 karta knärot.png", "A 8165-2025")</f>
        <v/>
      </c>
      <c r="V681">
        <f>HYPERLINK("https://klasma.github.io/Logging_1784/klagomål/A 8165-2025 FSC-klagomål.docx", "A 8165-2025")</f>
        <v/>
      </c>
      <c r="W681">
        <f>HYPERLINK("https://klasma.github.io/Logging_1784/klagomålsmail/A 8165-2025 FSC-klagomål mail.docx", "A 8165-2025")</f>
        <v/>
      </c>
      <c r="X681">
        <f>HYPERLINK("https://klasma.github.io/Logging_1784/tillsyn/A 8165-2025 tillsynsbegäran.docx", "A 8165-2025")</f>
        <v/>
      </c>
      <c r="Y681">
        <f>HYPERLINK("https://klasma.github.io/Logging_1784/tillsynsmail/A 8165-2025 tillsynsbegäran mail.docx", "A 8165-2025")</f>
        <v/>
      </c>
    </row>
    <row r="682" ht="15" customHeight="1">
      <c r="A682" t="inlineStr">
        <is>
          <t>A 8363-2025</t>
        </is>
      </c>
      <c r="B682" s="1" t="n">
        <v>45708</v>
      </c>
      <c r="C682" s="1" t="n">
        <v>45736</v>
      </c>
      <c r="D682" t="inlineStr">
        <is>
          <t>VÄRMLANDS LÄN</t>
        </is>
      </c>
      <c r="E682" t="inlineStr">
        <is>
          <t>GRUMS</t>
        </is>
      </c>
      <c r="G682" t="n">
        <v>1.7</v>
      </c>
      <c r="H682" t="n">
        <v>0</v>
      </c>
      <c r="I682" t="n">
        <v>1</v>
      </c>
      <c r="J682" t="n">
        <v>0</v>
      </c>
      <c r="K682" t="n">
        <v>0</v>
      </c>
      <c r="L682" t="n">
        <v>0</v>
      </c>
      <c r="M682" t="n">
        <v>0</v>
      </c>
      <c r="N682" t="n">
        <v>0</v>
      </c>
      <c r="O682" t="n">
        <v>0</v>
      </c>
      <c r="P682" t="n">
        <v>0</v>
      </c>
      <c r="Q682" t="n">
        <v>1</v>
      </c>
      <c r="R682" s="2" t="inlineStr">
        <is>
          <t>Mandelriska</t>
        </is>
      </c>
      <c r="S682">
        <f>HYPERLINK("https://klasma.github.io/Logging_1764/artfynd/A 8363-2025 artfynd.xlsx", "A 8363-2025")</f>
        <v/>
      </c>
      <c r="T682">
        <f>HYPERLINK("https://klasma.github.io/Logging_1764/kartor/A 8363-2025 karta.png", "A 8363-2025")</f>
        <v/>
      </c>
      <c r="V682">
        <f>HYPERLINK("https://klasma.github.io/Logging_1764/klagomål/A 8363-2025 FSC-klagomål.docx", "A 8363-2025")</f>
        <v/>
      </c>
      <c r="W682">
        <f>HYPERLINK("https://klasma.github.io/Logging_1764/klagomålsmail/A 8363-2025 FSC-klagomål mail.docx", "A 8363-2025")</f>
        <v/>
      </c>
      <c r="X682">
        <f>HYPERLINK("https://klasma.github.io/Logging_1764/tillsyn/A 8363-2025 tillsynsbegäran.docx", "A 8363-2025")</f>
        <v/>
      </c>
      <c r="Y682">
        <f>HYPERLINK("https://klasma.github.io/Logging_1764/tillsynsmail/A 8363-2025 tillsynsbegäran mail.docx", "A 8363-2025")</f>
        <v/>
      </c>
    </row>
    <row r="683" ht="15" customHeight="1">
      <c r="A683" t="inlineStr">
        <is>
          <t>A 8630-2025</t>
        </is>
      </c>
      <c r="B683" s="1" t="n">
        <v>45711</v>
      </c>
      <c r="C683" s="1" t="n">
        <v>45736</v>
      </c>
      <c r="D683" t="inlineStr">
        <is>
          <t>VÄRMLANDS LÄN</t>
        </is>
      </c>
      <c r="E683" t="inlineStr">
        <is>
          <t>ÅRJÄNG</t>
        </is>
      </c>
      <c r="G683" t="n">
        <v>3.1</v>
      </c>
      <c r="H683" t="n">
        <v>0</v>
      </c>
      <c r="I683" t="n">
        <v>1</v>
      </c>
      <c r="J683" t="n">
        <v>0</v>
      </c>
      <c r="K683" t="n">
        <v>0</v>
      </c>
      <c r="L683" t="n">
        <v>0</v>
      </c>
      <c r="M683" t="n">
        <v>0</v>
      </c>
      <c r="N683" t="n">
        <v>0</v>
      </c>
      <c r="O683" t="n">
        <v>0</v>
      </c>
      <c r="P683" t="n">
        <v>0</v>
      </c>
      <c r="Q683" t="n">
        <v>1</v>
      </c>
      <c r="R683" s="2" t="inlineStr">
        <is>
          <t>Dropptaggsvamp</t>
        </is>
      </c>
      <c r="S683">
        <f>HYPERLINK("https://klasma.github.io/Logging_1765/artfynd/A 8630-2025 artfynd.xlsx", "A 8630-2025")</f>
        <v/>
      </c>
      <c r="T683">
        <f>HYPERLINK("https://klasma.github.io/Logging_1765/kartor/A 8630-2025 karta.png", "A 8630-2025")</f>
        <v/>
      </c>
      <c r="V683">
        <f>HYPERLINK("https://klasma.github.io/Logging_1765/klagomål/A 8630-2025 FSC-klagomål.docx", "A 8630-2025")</f>
        <v/>
      </c>
      <c r="W683">
        <f>HYPERLINK("https://klasma.github.io/Logging_1765/klagomålsmail/A 8630-2025 FSC-klagomål mail.docx", "A 8630-2025")</f>
        <v/>
      </c>
      <c r="X683">
        <f>HYPERLINK("https://klasma.github.io/Logging_1765/tillsyn/A 8630-2025 tillsynsbegäran.docx", "A 8630-2025")</f>
        <v/>
      </c>
      <c r="Y683">
        <f>HYPERLINK("https://klasma.github.io/Logging_1765/tillsynsmail/A 8630-2025 tillsynsbegäran mail.docx", "A 8630-2025")</f>
        <v/>
      </c>
    </row>
    <row r="684" ht="15" customHeight="1">
      <c r="A684" t="inlineStr">
        <is>
          <t>A 9055-2025</t>
        </is>
      </c>
      <c r="B684" s="1" t="n">
        <v>45713</v>
      </c>
      <c r="C684" s="1" t="n">
        <v>45736</v>
      </c>
      <c r="D684" t="inlineStr">
        <is>
          <t>VÄRMLANDS LÄN</t>
        </is>
      </c>
      <c r="E684" t="inlineStr">
        <is>
          <t>ARVIKA</t>
        </is>
      </c>
      <c r="G684" t="n">
        <v>2.4</v>
      </c>
      <c r="H684" t="n">
        <v>1</v>
      </c>
      <c r="I684" t="n">
        <v>0</v>
      </c>
      <c r="J684" t="n">
        <v>1</v>
      </c>
      <c r="K684" t="n">
        <v>0</v>
      </c>
      <c r="L684" t="n">
        <v>0</v>
      </c>
      <c r="M684" t="n">
        <v>0</v>
      </c>
      <c r="N684" t="n">
        <v>0</v>
      </c>
      <c r="O684" t="n">
        <v>1</v>
      </c>
      <c r="P684" t="n">
        <v>0</v>
      </c>
      <c r="Q684" t="n">
        <v>1</v>
      </c>
      <c r="R684" s="2" t="inlineStr">
        <is>
          <t>Spillkråka</t>
        </is>
      </c>
      <c r="S684">
        <f>HYPERLINK("https://klasma.github.io/Logging_1784/artfynd/A 9055-2025 artfynd.xlsx", "A 9055-2025")</f>
        <v/>
      </c>
      <c r="T684">
        <f>HYPERLINK("https://klasma.github.io/Logging_1784/kartor/A 9055-2025 karta.png", "A 9055-2025")</f>
        <v/>
      </c>
      <c r="V684">
        <f>HYPERLINK("https://klasma.github.io/Logging_1784/klagomål/A 9055-2025 FSC-klagomål.docx", "A 9055-2025")</f>
        <v/>
      </c>
      <c r="W684">
        <f>HYPERLINK("https://klasma.github.io/Logging_1784/klagomålsmail/A 9055-2025 FSC-klagomål mail.docx", "A 9055-2025")</f>
        <v/>
      </c>
      <c r="X684">
        <f>HYPERLINK("https://klasma.github.io/Logging_1784/tillsyn/A 9055-2025 tillsynsbegäran.docx", "A 9055-2025")</f>
        <v/>
      </c>
      <c r="Y684">
        <f>HYPERLINK("https://klasma.github.io/Logging_1784/tillsynsmail/A 9055-2025 tillsynsbegäran mail.docx", "A 9055-2025")</f>
        <v/>
      </c>
      <c r="Z684">
        <f>HYPERLINK("https://klasma.github.io/Logging_1784/fåglar/A 9055-2025 prioriterade fågelarter.docx", "A 9055-2025")</f>
        <v/>
      </c>
    </row>
    <row r="685" ht="15" customHeight="1">
      <c r="A685" t="inlineStr">
        <is>
          <t>A 9060-2025</t>
        </is>
      </c>
      <c r="B685" s="1" t="n">
        <v>45713</v>
      </c>
      <c r="C685" s="1" t="n">
        <v>45736</v>
      </c>
      <c r="D685" t="inlineStr">
        <is>
          <t>VÄRMLANDS LÄN</t>
        </is>
      </c>
      <c r="E685" t="inlineStr">
        <is>
          <t>ARVIKA</t>
        </is>
      </c>
      <c r="G685" t="n">
        <v>5.8</v>
      </c>
      <c r="H685" t="n">
        <v>1</v>
      </c>
      <c r="I685" t="n">
        <v>0</v>
      </c>
      <c r="J685" t="n">
        <v>1</v>
      </c>
      <c r="K685" t="n">
        <v>0</v>
      </c>
      <c r="L685" t="n">
        <v>0</v>
      </c>
      <c r="M685" t="n">
        <v>0</v>
      </c>
      <c r="N685" t="n">
        <v>0</v>
      </c>
      <c r="O685" t="n">
        <v>1</v>
      </c>
      <c r="P685" t="n">
        <v>0</v>
      </c>
      <c r="Q685" t="n">
        <v>1</v>
      </c>
      <c r="R685" s="2" t="inlineStr">
        <is>
          <t>Tretåig hackspett</t>
        </is>
      </c>
      <c r="S685">
        <f>HYPERLINK("https://klasma.github.io/Logging_1784/artfynd/A 9060-2025 artfynd.xlsx", "A 9060-2025")</f>
        <v/>
      </c>
      <c r="T685">
        <f>HYPERLINK("https://klasma.github.io/Logging_1784/kartor/A 9060-2025 karta.png", "A 9060-2025")</f>
        <v/>
      </c>
      <c r="V685">
        <f>HYPERLINK("https://klasma.github.io/Logging_1784/klagomål/A 9060-2025 FSC-klagomål.docx", "A 9060-2025")</f>
        <v/>
      </c>
      <c r="W685">
        <f>HYPERLINK("https://klasma.github.io/Logging_1784/klagomålsmail/A 9060-2025 FSC-klagomål mail.docx", "A 9060-2025")</f>
        <v/>
      </c>
      <c r="X685">
        <f>HYPERLINK("https://klasma.github.io/Logging_1784/tillsyn/A 9060-2025 tillsynsbegäran.docx", "A 9060-2025")</f>
        <v/>
      </c>
      <c r="Y685">
        <f>HYPERLINK("https://klasma.github.io/Logging_1784/tillsynsmail/A 9060-2025 tillsynsbegäran mail.docx", "A 9060-2025")</f>
        <v/>
      </c>
      <c r="Z685">
        <f>HYPERLINK("https://klasma.github.io/Logging_1784/fåglar/A 9060-2025 prioriterade fågelarter.docx", "A 9060-2025")</f>
        <v/>
      </c>
    </row>
    <row r="686" ht="15" customHeight="1">
      <c r="A686" t="inlineStr">
        <is>
          <t>A 8909-2025</t>
        </is>
      </c>
      <c r="B686" s="1" t="n">
        <v>45713</v>
      </c>
      <c r="C686" s="1" t="n">
        <v>45736</v>
      </c>
      <c r="D686" t="inlineStr">
        <is>
          <t>VÄRMLANDS LÄN</t>
        </is>
      </c>
      <c r="E686" t="inlineStr">
        <is>
          <t>KIL</t>
        </is>
      </c>
      <c r="G686" t="n">
        <v>22.6</v>
      </c>
      <c r="H686" t="n">
        <v>0</v>
      </c>
      <c r="I686" t="n">
        <v>0</v>
      </c>
      <c r="J686" t="n">
        <v>1</v>
      </c>
      <c r="K686" t="n">
        <v>0</v>
      </c>
      <c r="L686" t="n">
        <v>0</v>
      </c>
      <c r="M686" t="n">
        <v>0</v>
      </c>
      <c r="N686" t="n">
        <v>0</v>
      </c>
      <c r="O686" t="n">
        <v>1</v>
      </c>
      <c r="P686" t="n">
        <v>0</v>
      </c>
      <c r="Q686" t="n">
        <v>1</v>
      </c>
      <c r="R686" s="2" t="inlineStr">
        <is>
          <t>Desmeknopp</t>
        </is>
      </c>
      <c r="S686">
        <f>HYPERLINK("https://klasma.github.io/Logging_1715/artfynd/A 8909-2025 artfynd.xlsx", "A 8909-2025")</f>
        <v/>
      </c>
      <c r="T686">
        <f>HYPERLINK("https://klasma.github.io/Logging_1715/kartor/A 8909-2025 karta.png", "A 8909-2025")</f>
        <v/>
      </c>
      <c r="V686">
        <f>HYPERLINK("https://klasma.github.io/Logging_1715/klagomål/A 8909-2025 FSC-klagomål.docx", "A 8909-2025")</f>
        <v/>
      </c>
      <c r="W686">
        <f>HYPERLINK("https://klasma.github.io/Logging_1715/klagomålsmail/A 8909-2025 FSC-klagomål mail.docx", "A 8909-2025")</f>
        <v/>
      </c>
      <c r="X686">
        <f>HYPERLINK("https://klasma.github.io/Logging_1715/tillsyn/A 8909-2025 tillsynsbegäran.docx", "A 8909-2025")</f>
        <v/>
      </c>
      <c r="Y686">
        <f>HYPERLINK("https://klasma.github.io/Logging_1715/tillsynsmail/A 8909-2025 tillsynsbegäran mail.docx", "A 8909-2025")</f>
        <v/>
      </c>
    </row>
    <row r="687" ht="15" customHeight="1">
      <c r="A687" t="inlineStr">
        <is>
          <t>A 10223-2025</t>
        </is>
      </c>
      <c r="B687" s="1" t="n">
        <v>45720</v>
      </c>
      <c r="C687" s="1" t="n">
        <v>45736</v>
      </c>
      <c r="D687" t="inlineStr">
        <is>
          <t>VÄRMLANDS LÄN</t>
        </is>
      </c>
      <c r="E687" t="inlineStr">
        <is>
          <t>SÄFFLE</t>
        </is>
      </c>
      <c r="G687" t="n">
        <v>2.9</v>
      </c>
      <c r="H687" t="n">
        <v>0</v>
      </c>
      <c r="I687" t="n">
        <v>0</v>
      </c>
      <c r="J687" t="n">
        <v>1</v>
      </c>
      <c r="K687" t="n">
        <v>0</v>
      </c>
      <c r="L687" t="n">
        <v>0</v>
      </c>
      <c r="M687" t="n">
        <v>0</v>
      </c>
      <c r="N687" t="n">
        <v>0</v>
      </c>
      <c r="O687" t="n">
        <v>1</v>
      </c>
      <c r="P687" t="n">
        <v>0</v>
      </c>
      <c r="Q687" t="n">
        <v>1</v>
      </c>
      <c r="R687" s="2" t="inlineStr">
        <is>
          <t>Brunklöver</t>
        </is>
      </c>
      <c r="S687">
        <f>HYPERLINK("https://klasma.github.io/Logging_1785/artfynd/A 10223-2025 artfynd.xlsx", "A 10223-2025")</f>
        <v/>
      </c>
      <c r="T687">
        <f>HYPERLINK("https://klasma.github.io/Logging_1785/kartor/A 10223-2025 karta.png", "A 10223-2025")</f>
        <v/>
      </c>
      <c r="V687">
        <f>HYPERLINK("https://klasma.github.io/Logging_1785/klagomål/A 10223-2025 FSC-klagomål.docx", "A 10223-2025")</f>
        <v/>
      </c>
      <c r="W687">
        <f>HYPERLINK("https://klasma.github.io/Logging_1785/klagomålsmail/A 10223-2025 FSC-klagomål mail.docx", "A 10223-2025")</f>
        <v/>
      </c>
      <c r="X687">
        <f>HYPERLINK("https://klasma.github.io/Logging_1785/tillsyn/A 10223-2025 tillsynsbegäran.docx", "A 10223-2025")</f>
        <v/>
      </c>
      <c r="Y687">
        <f>HYPERLINK("https://klasma.github.io/Logging_1785/tillsynsmail/A 10223-2025 tillsynsbegäran mail.docx", "A 10223-2025")</f>
        <v/>
      </c>
    </row>
    <row r="688" ht="15" customHeight="1">
      <c r="A688" t="inlineStr">
        <is>
          <t>A 11933-2025</t>
        </is>
      </c>
      <c r="B688" s="1" t="n">
        <v>45728</v>
      </c>
      <c r="C688" s="1" t="n">
        <v>45736</v>
      </c>
      <c r="D688" t="inlineStr">
        <is>
          <t>VÄRMLANDS LÄN</t>
        </is>
      </c>
      <c r="E688" t="inlineStr">
        <is>
          <t>SÄFFLE</t>
        </is>
      </c>
      <c r="G688" t="n">
        <v>1.9</v>
      </c>
      <c r="H688" t="n">
        <v>0</v>
      </c>
      <c r="I688" t="n">
        <v>0</v>
      </c>
      <c r="J688" t="n">
        <v>1</v>
      </c>
      <c r="K688" t="n">
        <v>0</v>
      </c>
      <c r="L688" t="n">
        <v>0</v>
      </c>
      <c r="M688" t="n">
        <v>0</v>
      </c>
      <c r="N688" t="n">
        <v>0</v>
      </c>
      <c r="O688" t="n">
        <v>1</v>
      </c>
      <c r="P688" t="n">
        <v>0</v>
      </c>
      <c r="Q688" t="n">
        <v>1</v>
      </c>
      <c r="R688" s="2" t="inlineStr">
        <is>
          <t>Skogsklocka</t>
        </is>
      </c>
      <c r="S688">
        <f>HYPERLINK("https://klasma.github.io/Logging_1785/artfynd/A 11933-2025 artfynd.xlsx", "A 11933-2025")</f>
        <v/>
      </c>
      <c r="T688">
        <f>HYPERLINK("https://klasma.github.io/Logging_1785/kartor/A 11933-2025 karta.png", "A 11933-2025")</f>
        <v/>
      </c>
      <c r="V688">
        <f>HYPERLINK("https://klasma.github.io/Logging_1785/klagomål/A 11933-2025 FSC-klagomål.docx", "A 11933-2025")</f>
        <v/>
      </c>
      <c r="W688">
        <f>HYPERLINK("https://klasma.github.io/Logging_1785/klagomålsmail/A 11933-2025 FSC-klagomål mail.docx", "A 11933-2025")</f>
        <v/>
      </c>
      <c r="X688">
        <f>HYPERLINK("https://klasma.github.io/Logging_1785/tillsyn/A 11933-2025 tillsynsbegäran.docx", "A 11933-2025")</f>
        <v/>
      </c>
      <c r="Y688">
        <f>HYPERLINK("https://klasma.github.io/Logging_1785/tillsynsmail/A 11933-2025 tillsynsbegäran mail.docx", "A 11933-2025")</f>
        <v/>
      </c>
    </row>
    <row r="689" ht="15" customHeight="1">
      <c r="A689" t="inlineStr">
        <is>
          <t>A 12517-2025</t>
        </is>
      </c>
      <c r="B689" s="1" t="n">
        <v>45730</v>
      </c>
      <c r="C689" s="1" t="n">
        <v>45736</v>
      </c>
      <c r="D689" t="inlineStr">
        <is>
          <t>VÄRMLANDS LÄN</t>
        </is>
      </c>
      <c r="E689" t="inlineStr">
        <is>
          <t>TORSBY</t>
        </is>
      </c>
      <c r="F689" t="inlineStr">
        <is>
          <t>Bergvik skog väst AB</t>
        </is>
      </c>
      <c r="G689" t="n">
        <v>34</v>
      </c>
      <c r="H689" t="n">
        <v>0</v>
      </c>
      <c r="I689" t="n">
        <v>0</v>
      </c>
      <c r="J689" t="n">
        <v>1</v>
      </c>
      <c r="K689" t="n">
        <v>0</v>
      </c>
      <c r="L689" t="n">
        <v>0</v>
      </c>
      <c r="M689" t="n">
        <v>0</v>
      </c>
      <c r="N689" t="n">
        <v>0</v>
      </c>
      <c r="O689" t="n">
        <v>1</v>
      </c>
      <c r="P689" t="n">
        <v>0</v>
      </c>
      <c r="Q689" t="n">
        <v>1</v>
      </c>
      <c r="R689" s="2" t="inlineStr">
        <is>
          <t>Dvärgbägarlav</t>
        </is>
      </c>
      <c r="S689">
        <f>HYPERLINK("https://klasma.github.io/Logging_1737/artfynd/A 12517-2025 artfynd.xlsx", "A 12517-2025")</f>
        <v/>
      </c>
      <c r="T689">
        <f>HYPERLINK("https://klasma.github.io/Logging_1737/kartor/A 12517-2025 karta.png", "A 12517-2025")</f>
        <v/>
      </c>
      <c r="V689">
        <f>HYPERLINK("https://klasma.github.io/Logging_1737/klagomål/A 12517-2025 FSC-klagomål.docx", "A 12517-2025")</f>
        <v/>
      </c>
      <c r="W689">
        <f>HYPERLINK("https://klasma.github.io/Logging_1737/klagomålsmail/A 12517-2025 FSC-klagomål mail.docx", "A 12517-2025")</f>
        <v/>
      </c>
      <c r="X689">
        <f>HYPERLINK("https://klasma.github.io/Logging_1737/tillsyn/A 12517-2025 tillsynsbegäran.docx", "A 12517-2025")</f>
        <v/>
      </c>
      <c r="Y689">
        <f>HYPERLINK("https://klasma.github.io/Logging_1737/tillsynsmail/A 12517-2025 tillsynsbegäran mail.docx", "A 12517-2025")</f>
        <v/>
      </c>
    </row>
    <row r="690" ht="15" customHeight="1">
      <c r="A690" t="inlineStr">
        <is>
          <t>A 13253-2025</t>
        </is>
      </c>
      <c r="B690" s="1" t="n">
        <v>45735</v>
      </c>
      <c r="C690" s="1" t="n">
        <v>45736</v>
      </c>
      <c r="D690" t="inlineStr">
        <is>
          <t>VÄRMLANDS LÄN</t>
        </is>
      </c>
      <c r="E690" t="inlineStr">
        <is>
          <t>SÄFFLE</t>
        </is>
      </c>
      <c r="G690" t="n">
        <v>1.3</v>
      </c>
      <c r="H690" t="n">
        <v>0</v>
      </c>
      <c r="I690" t="n">
        <v>0</v>
      </c>
      <c r="J690" t="n">
        <v>1</v>
      </c>
      <c r="K690" t="n">
        <v>0</v>
      </c>
      <c r="L690" t="n">
        <v>0</v>
      </c>
      <c r="M690" t="n">
        <v>0</v>
      </c>
      <c r="N690" t="n">
        <v>0</v>
      </c>
      <c r="O690" t="n">
        <v>1</v>
      </c>
      <c r="P690" t="n">
        <v>0</v>
      </c>
      <c r="Q690" t="n">
        <v>1</v>
      </c>
      <c r="R690" s="2" t="inlineStr">
        <is>
          <t>Brunklöver</t>
        </is>
      </c>
      <c r="S690">
        <f>HYPERLINK("https://klasma.github.io/Logging_1785/artfynd/A 13253-2025 artfynd.xlsx", "A 13253-2025")</f>
        <v/>
      </c>
      <c r="T690">
        <f>HYPERLINK("https://klasma.github.io/Logging_1785/kartor/A 13253-2025 karta.png", "A 13253-2025")</f>
        <v/>
      </c>
      <c r="V690">
        <f>HYPERLINK("https://klasma.github.io/Logging_1785/klagomål/A 13253-2025 FSC-klagomål.docx", "A 13253-2025")</f>
        <v/>
      </c>
      <c r="W690">
        <f>HYPERLINK("https://klasma.github.io/Logging_1785/klagomålsmail/A 13253-2025 FSC-klagomål mail.docx", "A 13253-2025")</f>
        <v/>
      </c>
      <c r="X690">
        <f>HYPERLINK("https://klasma.github.io/Logging_1785/tillsyn/A 13253-2025 tillsynsbegäran.docx", "A 13253-2025")</f>
        <v/>
      </c>
      <c r="Y690">
        <f>HYPERLINK("https://klasma.github.io/Logging_1785/tillsynsmail/A 13253-2025 tillsynsbegäran mail.docx", "A 13253-2025")</f>
        <v/>
      </c>
    </row>
    <row r="691" ht="15" customHeight="1">
      <c r="A691" t="inlineStr">
        <is>
          <t>A 17779-2019</t>
        </is>
      </c>
      <c r="B691" s="1" t="n">
        <v>43556</v>
      </c>
      <c r="C691" s="1" t="n">
        <v>45736</v>
      </c>
      <c r="D691" t="inlineStr">
        <is>
          <t>VÄRMLANDS LÄN</t>
        </is>
      </c>
      <c r="E691" t="inlineStr">
        <is>
          <t>ARVIKA</t>
        </is>
      </c>
      <c r="G691" t="n">
        <v>1.7</v>
      </c>
      <c r="H691" t="n">
        <v>0</v>
      </c>
      <c r="I691" t="n">
        <v>0</v>
      </c>
      <c r="J691" t="n">
        <v>0</v>
      </c>
      <c r="K691" t="n">
        <v>0</v>
      </c>
      <c r="L691" t="n">
        <v>0</v>
      </c>
      <c r="M691" t="n">
        <v>0</v>
      </c>
      <c r="N691" t="n">
        <v>0</v>
      </c>
      <c r="O691" t="n">
        <v>0</v>
      </c>
      <c r="P691" t="n">
        <v>0</v>
      </c>
      <c r="Q691" t="n">
        <v>0</v>
      </c>
      <c r="R691" s="2" t="inlineStr"/>
    </row>
    <row r="692" ht="15" customHeight="1">
      <c r="A692" t="inlineStr">
        <is>
          <t>A 17808-2019</t>
        </is>
      </c>
      <c r="B692" s="1" t="n">
        <v>43556</v>
      </c>
      <c r="C692" s="1" t="n">
        <v>45736</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18001-2019</t>
        </is>
      </c>
      <c r="B693" s="1" t="n">
        <v>43556</v>
      </c>
      <c r="C693" s="1" t="n">
        <v>45736</v>
      </c>
      <c r="D693" t="inlineStr">
        <is>
          <t>VÄRMLANDS LÄN</t>
        </is>
      </c>
      <c r="E693" t="inlineStr">
        <is>
          <t>ARVIKA</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18033-2019</t>
        </is>
      </c>
      <c r="B694" s="1" t="n">
        <v>43556</v>
      </c>
      <c r="C694" s="1" t="n">
        <v>45736</v>
      </c>
      <c r="D694" t="inlineStr">
        <is>
          <t>VÄRMLANDS LÄN</t>
        </is>
      </c>
      <c r="E694" t="inlineStr">
        <is>
          <t>KARLSTAD</t>
        </is>
      </c>
      <c r="G694" t="n">
        <v>16.5</v>
      </c>
      <c r="H694" t="n">
        <v>0</v>
      </c>
      <c r="I694" t="n">
        <v>0</v>
      </c>
      <c r="J694" t="n">
        <v>0</v>
      </c>
      <c r="K694" t="n">
        <v>0</v>
      </c>
      <c r="L694" t="n">
        <v>0</v>
      </c>
      <c r="M694" t="n">
        <v>0</v>
      </c>
      <c r="N694" t="n">
        <v>0</v>
      </c>
      <c r="O694" t="n">
        <v>0</v>
      </c>
      <c r="P694" t="n">
        <v>0</v>
      </c>
      <c r="Q694" t="n">
        <v>0</v>
      </c>
      <c r="R694" s="2" t="inlineStr"/>
    </row>
    <row r="695" ht="15" customHeight="1">
      <c r="A695" t="inlineStr">
        <is>
          <t>A 18104-2019</t>
        </is>
      </c>
      <c r="B695" s="1" t="n">
        <v>43556</v>
      </c>
      <c r="C695" s="1" t="n">
        <v>45736</v>
      </c>
      <c r="D695" t="inlineStr">
        <is>
          <t>VÄRMLANDS LÄN</t>
        </is>
      </c>
      <c r="E695" t="inlineStr">
        <is>
          <t>KARLSTAD</t>
        </is>
      </c>
      <c r="G695" t="n">
        <v>1.3</v>
      </c>
      <c r="H695" t="n">
        <v>0</v>
      </c>
      <c r="I695" t="n">
        <v>0</v>
      </c>
      <c r="J695" t="n">
        <v>0</v>
      </c>
      <c r="K695" t="n">
        <v>0</v>
      </c>
      <c r="L695" t="n">
        <v>0</v>
      </c>
      <c r="M695" t="n">
        <v>0</v>
      </c>
      <c r="N695" t="n">
        <v>0</v>
      </c>
      <c r="O695" t="n">
        <v>0</v>
      </c>
      <c r="P695" t="n">
        <v>0</v>
      </c>
      <c r="Q695" t="n">
        <v>0</v>
      </c>
      <c r="R695" s="2" t="inlineStr"/>
    </row>
    <row r="696" ht="15" customHeight="1">
      <c r="A696" t="inlineStr">
        <is>
          <t>A 17788-2019</t>
        </is>
      </c>
      <c r="B696" s="1" t="n">
        <v>43556</v>
      </c>
      <c r="C696" s="1" t="n">
        <v>45736</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17652-2019</t>
        </is>
      </c>
      <c r="B697" s="1" t="n">
        <v>43556</v>
      </c>
      <c r="C697" s="1" t="n">
        <v>45736</v>
      </c>
      <c r="D697" t="inlineStr">
        <is>
          <t>VÄRMLANDS LÄN</t>
        </is>
      </c>
      <c r="E697" t="inlineStr">
        <is>
          <t>ÅRJÄNG</t>
        </is>
      </c>
      <c r="G697" t="n">
        <v>0.5</v>
      </c>
      <c r="H697" t="n">
        <v>0</v>
      </c>
      <c r="I697" t="n">
        <v>0</v>
      </c>
      <c r="J697" t="n">
        <v>0</v>
      </c>
      <c r="K697" t="n">
        <v>0</v>
      </c>
      <c r="L697" t="n">
        <v>0</v>
      </c>
      <c r="M697" t="n">
        <v>0</v>
      </c>
      <c r="N697" t="n">
        <v>0</v>
      </c>
      <c r="O697" t="n">
        <v>0</v>
      </c>
      <c r="P697" t="n">
        <v>0</v>
      </c>
      <c r="Q697" t="n">
        <v>0</v>
      </c>
      <c r="R697" s="2" t="inlineStr"/>
    </row>
    <row r="698" ht="15" customHeight="1">
      <c r="A698" t="inlineStr">
        <is>
          <t>A 17878-2019</t>
        </is>
      </c>
      <c r="B698" s="1" t="n">
        <v>43557</v>
      </c>
      <c r="C698" s="1" t="n">
        <v>45736</v>
      </c>
      <c r="D698" t="inlineStr">
        <is>
          <t>VÄRMLANDS LÄN</t>
        </is>
      </c>
      <c r="E698" t="inlineStr">
        <is>
          <t>SUNNE</t>
        </is>
      </c>
      <c r="G698" t="n">
        <v>6.3</v>
      </c>
      <c r="H698" t="n">
        <v>0</v>
      </c>
      <c r="I698" t="n">
        <v>0</v>
      </c>
      <c r="J698" t="n">
        <v>0</v>
      </c>
      <c r="K698" t="n">
        <v>0</v>
      </c>
      <c r="L698" t="n">
        <v>0</v>
      </c>
      <c r="M698" t="n">
        <v>0</v>
      </c>
      <c r="N698" t="n">
        <v>0</v>
      </c>
      <c r="O698" t="n">
        <v>0</v>
      </c>
      <c r="P698" t="n">
        <v>0</v>
      </c>
      <c r="Q698" t="n">
        <v>0</v>
      </c>
      <c r="R698" s="2" t="inlineStr"/>
    </row>
    <row r="699" ht="15" customHeight="1">
      <c r="A699" t="inlineStr">
        <is>
          <t>A 17992-2019</t>
        </is>
      </c>
      <c r="B699" s="1" t="n">
        <v>43557</v>
      </c>
      <c r="C699" s="1" t="n">
        <v>45736</v>
      </c>
      <c r="D699" t="inlineStr">
        <is>
          <t>VÄRMLANDS LÄN</t>
        </is>
      </c>
      <c r="E699" t="inlineStr">
        <is>
          <t>SUNNE</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17923-2019</t>
        </is>
      </c>
      <c r="B700" s="1" t="n">
        <v>43557</v>
      </c>
      <c r="C700" s="1" t="n">
        <v>45736</v>
      </c>
      <c r="D700" t="inlineStr">
        <is>
          <t>VÄRMLANDS LÄN</t>
        </is>
      </c>
      <c r="E700" t="inlineStr">
        <is>
          <t>KARLSTAD</t>
        </is>
      </c>
      <c r="G700" t="n">
        <v>1.1</v>
      </c>
      <c r="H700" t="n">
        <v>0</v>
      </c>
      <c r="I700" t="n">
        <v>0</v>
      </c>
      <c r="J700" t="n">
        <v>0</v>
      </c>
      <c r="K700" t="n">
        <v>0</v>
      </c>
      <c r="L700" t="n">
        <v>0</v>
      </c>
      <c r="M700" t="n">
        <v>0</v>
      </c>
      <c r="N700" t="n">
        <v>0</v>
      </c>
      <c r="O700" t="n">
        <v>0</v>
      </c>
      <c r="P700" t="n">
        <v>0</v>
      </c>
      <c r="Q700" t="n">
        <v>0</v>
      </c>
      <c r="R700" s="2" t="inlineStr"/>
    </row>
    <row r="701" ht="15" customHeight="1">
      <c r="A701" t="inlineStr">
        <is>
          <t>A 17957-2019</t>
        </is>
      </c>
      <c r="B701" s="1" t="n">
        <v>43557</v>
      </c>
      <c r="C701" s="1" t="n">
        <v>45736</v>
      </c>
      <c r="D701" t="inlineStr">
        <is>
          <t>VÄRMLANDS LÄN</t>
        </is>
      </c>
      <c r="E701" t="inlineStr">
        <is>
          <t>TORSBY</t>
        </is>
      </c>
      <c r="G701" t="n">
        <v>1.6</v>
      </c>
      <c r="H701" t="n">
        <v>0</v>
      </c>
      <c r="I701" t="n">
        <v>0</v>
      </c>
      <c r="J701" t="n">
        <v>0</v>
      </c>
      <c r="K701" t="n">
        <v>0</v>
      </c>
      <c r="L701" t="n">
        <v>0</v>
      </c>
      <c r="M701" t="n">
        <v>0</v>
      </c>
      <c r="N701" t="n">
        <v>0</v>
      </c>
      <c r="O701" t="n">
        <v>0</v>
      </c>
      <c r="P701" t="n">
        <v>0</v>
      </c>
      <c r="Q701" t="n">
        <v>0</v>
      </c>
      <c r="R701" s="2" t="inlineStr"/>
    </row>
    <row r="702" ht="15" customHeight="1">
      <c r="A702" t="inlineStr">
        <is>
          <t>A 18243-2019</t>
        </is>
      </c>
      <c r="B702" s="1" t="n">
        <v>43557</v>
      </c>
      <c r="C702" s="1" t="n">
        <v>45736</v>
      </c>
      <c r="D702" t="inlineStr">
        <is>
          <t>VÄRMLANDS LÄN</t>
        </is>
      </c>
      <c r="E702" t="inlineStr">
        <is>
          <t>ARVIKA</t>
        </is>
      </c>
      <c r="G702" t="n">
        <v>14.3</v>
      </c>
      <c r="H702" t="n">
        <v>0</v>
      </c>
      <c r="I702" t="n">
        <v>0</v>
      </c>
      <c r="J702" t="n">
        <v>0</v>
      </c>
      <c r="K702" t="n">
        <v>0</v>
      </c>
      <c r="L702" t="n">
        <v>0</v>
      </c>
      <c r="M702" t="n">
        <v>0</v>
      </c>
      <c r="N702" t="n">
        <v>0</v>
      </c>
      <c r="O702" t="n">
        <v>0</v>
      </c>
      <c r="P702" t="n">
        <v>0</v>
      </c>
      <c r="Q702" t="n">
        <v>0</v>
      </c>
      <c r="R702" s="2" t="inlineStr"/>
    </row>
    <row r="703" ht="15" customHeight="1">
      <c r="A703" t="inlineStr">
        <is>
          <t>A 18273-2019</t>
        </is>
      </c>
      <c r="B703" s="1" t="n">
        <v>43557</v>
      </c>
      <c r="C703" s="1" t="n">
        <v>45736</v>
      </c>
      <c r="D703" t="inlineStr">
        <is>
          <t>VÄRMLANDS LÄN</t>
        </is>
      </c>
      <c r="E703" t="inlineStr">
        <is>
          <t>SÄFFLE</t>
        </is>
      </c>
      <c r="G703" t="n">
        <v>0.6</v>
      </c>
      <c r="H703" t="n">
        <v>0</v>
      </c>
      <c r="I703" t="n">
        <v>0</v>
      </c>
      <c r="J703" t="n">
        <v>0</v>
      </c>
      <c r="K703" t="n">
        <v>0</v>
      </c>
      <c r="L703" t="n">
        <v>0</v>
      </c>
      <c r="M703" t="n">
        <v>0</v>
      </c>
      <c r="N703" t="n">
        <v>0</v>
      </c>
      <c r="O703" t="n">
        <v>0</v>
      </c>
      <c r="P703" t="n">
        <v>0</v>
      </c>
      <c r="Q703" t="n">
        <v>0</v>
      </c>
      <c r="R703" s="2" t="inlineStr"/>
    </row>
    <row r="704" ht="15" customHeight="1">
      <c r="A704" t="inlineStr">
        <is>
          <t>A 18257-2019</t>
        </is>
      </c>
      <c r="B704" s="1" t="n">
        <v>43557</v>
      </c>
      <c r="C704" s="1" t="n">
        <v>45736</v>
      </c>
      <c r="D704" t="inlineStr">
        <is>
          <t>VÄRMLANDS LÄN</t>
        </is>
      </c>
      <c r="E704" t="inlineStr">
        <is>
          <t>KARLSTAD</t>
        </is>
      </c>
      <c r="G704" t="n">
        <v>8.4</v>
      </c>
      <c r="H704" t="n">
        <v>0</v>
      </c>
      <c r="I704" t="n">
        <v>0</v>
      </c>
      <c r="J704" t="n">
        <v>0</v>
      </c>
      <c r="K704" t="n">
        <v>0</v>
      </c>
      <c r="L704" t="n">
        <v>0</v>
      </c>
      <c r="M704" t="n">
        <v>0</v>
      </c>
      <c r="N704" t="n">
        <v>0</v>
      </c>
      <c r="O704" t="n">
        <v>0</v>
      </c>
      <c r="P704" t="n">
        <v>0</v>
      </c>
      <c r="Q704" t="n">
        <v>0</v>
      </c>
      <c r="R704" s="2" t="inlineStr"/>
    </row>
    <row r="705" ht="15" customHeight="1">
      <c r="A705" t="inlineStr">
        <is>
          <t>A 17864-2019</t>
        </is>
      </c>
      <c r="B705" s="1" t="n">
        <v>43557</v>
      </c>
      <c r="C705" s="1" t="n">
        <v>45736</v>
      </c>
      <c r="D705" t="inlineStr">
        <is>
          <t>VÄRMLANDS LÄN</t>
        </is>
      </c>
      <c r="E705" t="inlineStr">
        <is>
          <t>TORSBY</t>
        </is>
      </c>
      <c r="G705" t="n">
        <v>1.4</v>
      </c>
      <c r="H705" t="n">
        <v>0</v>
      </c>
      <c r="I705" t="n">
        <v>0</v>
      </c>
      <c r="J705" t="n">
        <v>0</v>
      </c>
      <c r="K705" t="n">
        <v>0</v>
      </c>
      <c r="L705" t="n">
        <v>0</v>
      </c>
      <c r="M705" t="n">
        <v>0</v>
      </c>
      <c r="N705" t="n">
        <v>0</v>
      </c>
      <c r="O705" t="n">
        <v>0</v>
      </c>
      <c r="P705" t="n">
        <v>0</v>
      </c>
      <c r="Q705" t="n">
        <v>0</v>
      </c>
      <c r="R705" s="2" t="inlineStr"/>
    </row>
    <row r="706" ht="15" customHeight="1">
      <c r="A706" t="inlineStr">
        <is>
          <t>A 17868-2019</t>
        </is>
      </c>
      <c r="B706" s="1" t="n">
        <v>43557</v>
      </c>
      <c r="C706" s="1" t="n">
        <v>45736</v>
      </c>
      <c r="D706" t="inlineStr">
        <is>
          <t>VÄRMLANDS LÄN</t>
        </is>
      </c>
      <c r="E706" t="inlineStr">
        <is>
          <t>GRUMS</t>
        </is>
      </c>
      <c r="G706" t="n">
        <v>5</v>
      </c>
      <c r="H706" t="n">
        <v>0</v>
      </c>
      <c r="I706" t="n">
        <v>0</v>
      </c>
      <c r="J706" t="n">
        <v>0</v>
      </c>
      <c r="K706" t="n">
        <v>0</v>
      </c>
      <c r="L706" t="n">
        <v>0</v>
      </c>
      <c r="M706" t="n">
        <v>0</v>
      </c>
      <c r="N706" t="n">
        <v>0</v>
      </c>
      <c r="O706" t="n">
        <v>0</v>
      </c>
      <c r="P706" t="n">
        <v>0</v>
      </c>
      <c r="Q706" t="n">
        <v>0</v>
      </c>
      <c r="R706" s="2" t="inlineStr"/>
    </row>
    <row r="707" ht="15" customHeight="1">
      <c r="A707" t="inlineStr">
        <is>
          <t>A 18249-2019</t>
        </is>
      </c>
      <c r="B707" s="1" t="n">
        <v>43557</v>
      </c>
      <c r="C707" s="1" t="n">
        <v>45736</v>
      </c>
      <c r="D707" t="inlineStr">
        <is>
          <t>VÄRMLANDS LÄN</t>
        </is>
      </c>
      <c r="E707" t="inlineStr">
        <is>
          <t>ARVIKA</t>
        </is>
      </c>
      <c r="G707" t="n">
        <v>3.2</v>
      </c>
      <c r="H707" t="n">
        <v>0</v>
      </c>
      <c r="I707" t="n">
        <v>0</v>
      </c>
      <c r="J707" t="n">
        <v>0</v>
      </c>
      <c r="K707" t="n">
        <v>0</v>
      </c>
      <c r="L707" t="n">
        <v>0</v>
      </c>
      <c r="M707" t="n">
        <v>0</v>
      </c>
      <c r="N707" t="n">
        <v>0</v>
      </c>
      <c r="O707" t="n">
        <v>0</v>
      </c>
      <c r="P707" t="n">
        <v>0</v>
      </c>
      <c r="Q707" t="n">
        <v>0</v>
      </c>
      <c r="R707" s="2" t="inlineStr"/>
    </row>
    <row r="708" ht="15" customHeight="1">
      <c r="A708" t="inlineStr">
        <is>
          <t>A 18009-2019</t>
        </is>
      </c>
      <c r="B708" s="1" t="n">
        <v>43557</v>
      </c>
      <c r="C708" s="1" t="n">
        <v>45736</v>
      </c>
      <c r="D708" t="inlineStr">
        <is>
          <t>VÄRMLANDS LÄN</t>
        </is>
      </c>
      <c r="E708" t="inlineStr">
        <is>
          <t>SUNNE</t>
        </is>
      </c>
      <c r="F708" t="inlineStr">
        <is>
          <t>Övriga Aktiebolag</t>
        </is>
      </c>
      <c r="G708" t="n">
        <v>5.8</v>
      </c>
      <c r="H708" t="n">
        <v>0</v>
      </c>
      <c r="I708" t="n">
        <v>0</v>
      </c>
      <c r="J708" t="n">
        <v>0</v>
      </c>
      <c r="K708" t="n">
        <v>0</v>
      </c>
      <c r="L708" t="n">
        <v>0</v>
      </c>
      <c r="M708" t="n">
        <v>0</v>
      </c>
      <c r="N708" t="n">
        <v>0</v>
      </c>
      <c r="O708" t="n">
        <v>0</v>
      </c>
      <c r="P708" t="n">
        <v>0</v>
      </c>
      <c r="Q708" t="n">
        <v>0</v>
      </c>
      <c r="R708" s="2" t="inlineStr"/>
    </row>
    <row r="709" ht="15" customHeight="1">
      <c r="A709" t="inlineStr">
        <is>
          <t>A 18270-2019</t>
        </is>
      </c>
      <c r="B709" s="1" t="n">
        <v>43557</v>
      </c>
      <c r="C709" s="1" t="n">
        <v>45736</v>
      </c>
      <c r="D709" t="inlineStr">
        <is>
          <t>VÄRMLANDS LÄN</t>
        </is>
      </c>
      <c r="E709" t="inlineStr">
        <is>
          <t>SÄFFLE</t>
        </is>
      </c>
      <c r="G709" t="n">
        <v>0.8</v>
      </c>
      <c r="H709" t="n">
        <v>0</v>
      </c>
      <c r="I709" t="n">
        <v>0</v>
      </c>
      <c r="J709" t="n">
        <v>0</v>
      </c>
      <c r="K709" t="n">
        <v>0</v>
      </c>
      <c r="L709" t="n">
        <v>0</v>
      </c>
      <c r="M709" t="n">
        <v>0</v>
      </c>
      <c r="N709" t="n">
        <v>0</v>
      </c>
      <c r="O709" t="n">
        <v>0</v>
      </c>
      <c r="P709" t="n">
        <v>0</v>
      </c>
      <c r="Q709" t="n">
        <v>0</v>
      </c>
      <c r="R709" s="2" t="inlineStr"/>
    </row>
    <row r="710" ht="15" customHeight="1">
      <c r="A710" t="inlineStr">
        <is>
          <t>A 18279-2019</t>
        </is>
      </c>
      <c r="B710" s="1" t="n">
        <v>43557</v>
      </c>
      <c r="C710" s="1" t="n">
        <v>45736</v>
      </c>
      <c r="D710" t="inlineStr">
        <is>
          <t>VÄRMLANDS LÄN</t>
        </is>
      </c>
      <c r="E710" t="inlineStr">
        <is>
          <t>SÄFFLE</t>
        </is>
      </c>
      <c r="G710" t="n">
        <v>4.9</v>
      </c>
      <c r="H710" t="n">
        <v>0</v>
      </c>
      <c r="I710" t="n">
        <v>0</v>
      </c>
      <c r="J710" t="n">
        <v>0</v>
      </c>
      <c r="K710" t="n">
        <v>0</v>
      </c>
      <c r="L710" t="n">
        <v>0</v>
      </c>
      <c r="M710" t="n">
        <v>0</v>
      </c>
      <c r="N710" t="n">
        <v>0</v>
      </c>
      <c r="O710" t="n">
        <v>0</v>
      </c>
      <c r="P710" t="n">
        <v>0</v>
      </c>
      <c r="Q710" t="n">
        <v>0</v>
      </c>
      <c r="R710" s="2" t="inlineStr"/>
    </row>
    <row r="711" ht="15" customHeight="1">
      <c r="A711" t="inlineStr">
        <is>
          <t>A 17895-2019</t>
        </is>
      </c>
      <c r="B711" s="1" t="n">
        <v>43557</v>
      </c>
      <c r="C711" s="1" t="n">
        <v>45736</v>
      </c>
      <c r="D711" t="inlineStr">
        <is>
          <t>VÄRMLANDS LÄN</t>
        </is>
      </c>
      <c r="E711" t="inlineStr">
        <is>
          <t>SUNNE</t>
        </is>
      </c>
      <c r="G711" t="n">
        <v>7.6</v>
      </c>
      <c r="H711" t="n">
        <v>0</v>
      </c>
      <c r="I711" t="n">
        <v>0</v>
      </c>
      <c r="J711" t="n">
        <v>0</v>
      </c>
      <c r="K711" t="n">
        <v>0</v>
      </c>
      <c r="L711" t="n">
        <v>0</v>
      </c>
      <c r="M711" t="n">
        <v>0</v>
      </c>
      <c r="N711" t="n">
        <v>0</v>
      </c>
      <c r="O711" t="n">
        <v>0</v>
      </c>
      <c r="P711" t="n">
        <v>0</v>
      </c>
      <c r="Q711" t="n">
        <v>0</v>
      </c>
      <c r="R711" s="2" t="inlineStr"/>
    </row>
    <row r="712" ht="15" customHeight="1">
      <c r="A712" t="inlineStr">
        <is>
          <t>A 18120-2019</t>
        </is>
      </c>
      <c r="B712" s="1" t="n">
        <v>43558</v>
      </c>
      <c r="C712" s="1" t="n">
        <v>45736</v>
      </c>
      <c r="D712" t="inlineStr">
        <is>
          <t>VÄRMLANDS LÄN</t>
        </is>
      </c>
      <c r="E712" t="inlineStr">
        <is>
          <t>KARLSTAD</t>
        </is>
      </c>
      <c r="G712" t="n">
        <v>3.8</v>
      </c>
      <c r="H712" t="n">
        <v>0</v>
      </c>
      <c r="I712" t="n">
        <v>0</v>
      </c>
      <c r="J712" t="n">
        <v>0</v>
      </c>
      <c r="K712" t="n">
        <v>0</v>
      </c>
      <c r="L712" t="n">
        <v>0</v>
      </c>
      <c r="M712" t="n">
        <v>0</v>
      </c>
      <c r="N712" t="n">
        <v>0</v>
      </c>
      <c r="O712" t="n">
        <v>0</v>
      </c>
      <c r="P712" t="n">
        <v>0</v>
      </c>
      <c r="Q712" t="n">
        <v>0</v>
      </c>
      <c r="R712" s="2" t="inlineStr"/>
    </row>
    <row r="713" ht="15" customHeight="1">
      <c r="A713" t="inlineStr">
        <is>
          <t>A 18117-2019</t>
        </is>
      </c>
      <c r="B713" s="1" t="n">
        <v>43558</v>
      </c>
      <c r="C713" s="1" t="n">
        <v>45736</v>
      </c>
      <c r="D713" t="inlineStr">
        <is>
          <t>VÄRMLANDS LÄN</t>
        </is>
      </c>
      <c r="E713" t="inlineStr">
        <is>
          <t>ARVIKA</t>
        </is>
      </c>
      <c r="G713" t="n">
        <v>1.1</v>
      </c>
      <c r="H713" t="n">
        <v>0</v>
      </c>
      <c r="I713" t="n">
        <v>0</v>
      </c>
      <c r="J713" t="n">
        <v>0</v>
      </c>
      <c r="K713" t="n">
        <v>0</v>
      </c>
      <c r="L713" t="n">
        <v>0</v>
      </c>
      <c r="M713" t="n">
        <v>0</v>
      </c>
      <c r="N713" t="n">
        <v>0</v>
      </c>
      <c r="O713" t="n">
        <v>0</v>
      </c>
      <c r="P713" t="n">
        <v>0</v>
      </c>
      <c r="Q713" t="n">
        <v>0</v>
      </c>
      <c r="R713" s="2" t="inlineStr"/>
    </row>
    <row r="714" ht="15" customHeight="1">
      <c r="A714" t="inlineStr">
        <is>
          <t>A 18093-2019</t>
        </is>
      </c>
      <c r="B714" s="1" t="n">
        <v>43558</v>
      </c>
      <c r="C714" s="1" t="n">
        <v>45736</v>
      </c>
      <c r="D714" t="inlineStr">
        <is>
          <t>VÄRMLANDS LÄN</t>
        </is>
      </c>
      <c r="E714" t="inlineStr">
        <is>
          <t>KIL</t>
        </is>
      </c>
      <c r="G714" t="n">
        <v>0.8</v>
      </c>
      <c r="H714" t="n">
        <v>0</v>
      </c>
      <c r="I714" t="n">
        <v>0</v>
      </c>
      <c r="J714" t="n">
        <v>0</v>
      </c>
      <c r="K714" t="n">
        <v>0</v>
      </c>
      <c r="L714" t="n">
        <v>0</v>
      </c>
      <c r="M714" t="n">
        <v>0</v>
      </c>
      <c r="N714" t="n">
        <v>0</v>
      </c>
      <c r="O714" t="n">
        <v>0</v>
      </c>
      <c r="P714" t="n">
        <v>0</v>
      </c>
      <c r="Q714" t="n">
        <v>0</v>
      </c>
      <c r="R714" s="2" t="inlineStr"/>
    </row>
    <row r="715" ht="15" customHeight="1">
      <c r="A715" t="inlineStr">
        <is>
          <t>A 18113-2019</t>
        </is>
      </c>
      <c r="B715" s="1" t="n">
        <v>43558</v>
      </c>
      <c r="C715" s="1" t="n">
        <v>45736</v>
      </c>
      <c r="D715" t="inlineStr">
        <is>
          <t>VÄRMLANDS LÄN</t>
        </is>
      </c>
      <c r="E715" t="inlineStr">
        <is>
          <t>FORSHAGA</t>
        </is>
      </c>
      <c r="F715" t="inlineStr">
        <is>
          <t>Bergvik skog väst AB</t>
        </is>
      </c>
      <c r="G715" t="n">
        <v>4.4</v>
      </c>
      <c r="H715" t="n">
        <v>0</v>
      </c>
      <c r="I715" t="n">
        <v>0</v>
      </c>
      <c r="J715" t="n">
        <v>0</v>
      </c>
      <c r="K715" t="n">
        <v>0</v>
      </c>
      <c r="L715" t="n">
        <v>0</v>
      </c>
      <c r="M715" t="n">
        <v>0</v>
      </c>
      <c r="N715" t="n">
        <v>0</v>
      </c>
      <c r="O715" t="n">
        <v>0</v>
      </c>
      <c r="P715" t="n">
        <v>0</v>
      </c>
      <c r="Q715" t="n">
        <v>0</v>
      </c>
      <c r="R715" s="2" t="inlineStr"/>
    </row>
    <row r="716" ht="15" customHeight="1">
      <c r="A716" t="inlineStr">
        <is>
          <t>A 18118-2019</t>
        </is>
      </c>
      <c r="B716" s="1" t="n">
        <v>43558</v>
      </c>
      <c r="C716" s="1" t="n">
        <v>45736</v>
      </c>
      <c r="D716" t="inlineStr">
        <is>
          <t>VÄRMLANDS LÄN</t>
        </is>
      </c>
      <c r="E716" t="inlineStr">
        <is>
          <t>EDA</t>
        </is>
      </c>
      <c r="F716" t="inlineStr">
        <is>
          <t>Bergvik skog väst AB</t>
        </is>
      </c>
      <c r="G716" t="n">
        <v>5.7</v>
      </c>
      <c r="H716" t="n">
        <v>0</v>
      </c>
      <c r="I716" t="n">
        <v>0</v>
      </c>
      <c r="J716" t="n">
        <v>0</v>
      </c>
      <c r="K716" t="n">
        <v>0</v>
      </c>
      <c r="L716" t="n">
        <v>0</v>
      </c>
      <c r="M716" t="n">
        <v>0</v>
      </c>
      <c r="N716" t="n">
        <v>0</v>
      </c>
      <c r="O716" t="n">
        <v>0</v>
      </c>
      <c r="P716" t="n">
        <v>0</v>
      </c>
      <c r="Q716" t="n">
        <v>0</v>
      </c>
      <c r="R716" s="2" t="inlineStr"/>
    </row>
    <row r="717" ht="15" customHeight="1">
      <c r="A717" t="inlineStr">
        <is>
          <t>A 18126-2019</t>
        </is>
      </c>
      <c r="B717" s="1" t="n">
        <v>43558</v>
      </c>
      <c r="C717" s="1" t="n">
        <v>45736</v>
      </c>
      <c r="D717" t="inlineStr">
        <is>
          <t>VÄRMLANDS LÄN</t>
        </is>
      </c>
      <c r="E717" t="inlineStr">
        <is>
          <t>KARLSTAD</t>
        </is>
      </c>
      <c r="G717" t="n">
        <v>1.4</v>
      </c>
      <c r="H717" t="n">
        <v>0</v>
      </c>
      <c r="I717" t="n">
        <v>0</v>
      </c>
      <c r="J717" t="n">
        <v>0</v>
      </c>
      <c r="K717" t="n">
        <v>0</v>
      </c>
      <c r="L717" t="n">
        <v>0</v>
      </c>
      <c r="M717" t="n">
        <v>0</v>
      </c>
      <c r="N717" t="n">
        <v>0</v>
      </c>
      <c r="O717" t="n">
        <v>0</v>
      </c>
      <c r="P717" t="n">
        <v>0</v>
      </c>
      <c r="Q717" t="n">
        <v>0</v>
      </c>
      <c r="R717" s="2" t="inlineStr"/>
    </row>
    <row r="718" ht="15" customHeight="1">
      <c r="A718" t="inlineStr">
        <is>
          <t>A 18153-2019</t>
        </is>
      </c>
      <c r="B718" s="1" t="n">
        <v>43558</v>
      </c>
      <c r="C718" s="1" t="n">
        <v>45736</v>
      </c>
      <c r="D718" t="inlineStr">
        <is>
          <t>VÄRMLANDS LÄN</t>
        </is>
      </c>
      <c r="E718" t="inlineStr">
        <is>
          <t>ARVIKA</t>
        </is>
      </c>
      <c r="G718" t="n">
        <v>1.9</v>
      </c>
      <c r="H718" t="n">
        <v>0</v>
      </c>
      <c r="I718" t="n">
        <v>0</v>
      </c>
      <c r="J718" t="n">
        <v>0</v>
      </c>
      <c r="K718" t="n">
        <v>0</v>
      </c>
      <c r="L718" t="n">
        <v>0</v>
      </c>
      <c r="M718" t="n">
        <v>0</v>
      </c>
      <c r="N718" t="n">
        <v>0</v>
      </c>
      <c r="O718" t="n">
        <v>0</v>
      </c>
      <c r="P718" t="n">
        <v>0</v>
      </c>
      <c r="Q718" t="n">
        <v>0</v>
      </c>
      <c r="R718" s="2" t="inlineStr"/>
    </row>
    <row r="719" ht="15" customHeight="1">
      <c r="A719" t="inlineStr">
        <is>
          <t>A 18281-2019</t>
        </is>
      </c>
      <c r="B719" s="1" t="n">
        <v>43558</v>
      </c>
      <c r="C719" s="1" t="n">
        <v>45736</v>
      </c>
      <c r="D719" t="inlineStr">
        <is>
          <t>VÄRMLANDS LÄN</t>
        </is>
      </c>
      <c r="E719" t="inlineStr">
        <is>
          <t>HAGFORS</t>
        </is>
      </c>
      <c r="G719" t="n">
        <v>1.4</v>
      </c>
      <c r="H719" t="n">
        <v>0</v>
      </c>
      <c r="I719" t="n">
        <v>0</v>
      </c>
      <c r="J719" t="n">
        <v>0</v>
      </c>
      <c r="K719" t="n">
        <v>0</v>
      </c>
      <c r="L719" t="n">
        <v>0</v>
      </c>
      <c r="M719" t="n">
        <v>0</v>
      </c>
      <c r="N719" t="n">
        <v>0</v>
      </c>
      <c r="O719" t="n">
        <v>0</v>
      </c>
      <c r="P719" t="n">
        <v>0</v>
      </c>
      <c r="Q719" t="n">
        <v>0</v>
      </c>
      <c r="R719" s="2" t="inlineStr"/>
    </row>
    <row r="720" ht="15" customHeight="1">
      <c r="A720" t="inlineStr">
        <is>
          <t>A 18285-2019</t>
        </is>
      </c>
      <c r="B720" s="1" t="n">
        <v>43558</v>
      </c>
      <c r="C720" s="1" t="n">
        <v>45736</v>
      </c>
      <c r="D720" t="inlineStr">
        <is>
          <t>VÄRMLANDS LÄN</t>
        </is>
      </c>
      <c r="E720" t="inlineStr">
        <is>
          <t>KARLSTAD</t>
        </is>
      </c>
      <c r="F720" t="inlineStr">
        <is>
          <t>Övriga statliga verk och myndigheter</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18385-2019</t>
        </is>
      </c>
      <c r="B721" s="1" t="n">
        <v>43558</v>
      </c>
      <c r="C721" s="1" t="n">
        <v>45736</v>
      </c>
      <c r="D721" t="inlineStr">
        <is>
          <t>VÄRMLANDS LÄN</t>
        </is>
      </c>
      <c r="E721" t="inlineStr">
        <is>
          <t>KRISTINEHAMN</t>
        </is>
      </c>
      <c r="G721" t="n">
        <v>1.4</v>
      </c>
      <c r="H721" t="n">
        <v>0</v>
      </c>
      <c r="I721" t="n">
        <v>0</v>
      </c>
      <c r="J721" t="n">
        <v>0</v>
      </c>
      <c r="K721" t="n">
        <v>0</v>
      </c>
      <c r="L721" t="n">
        <v>0</v>
      </c>
      <c r="M721" t="n">
        <v>0</v>
      </c>
      <c r="N721" t="n">
        <v>0</v>
      </c>
      <c r="O721" t="n">
        <v>0</v>
      </c>
      <c r="P721" t="n">
        <v>0</v>
      </c>
      <c r="Q721" t="n">
        <v>0</v>
      </c>
      <c r="R721" s="2" t="inlineStr"/>
    </row>
    <row r="722" ht="15" customHeight="1">
      <c r="A722" t="inlineStr">
        <is>
          <t>A 18103-2019</t>
        </is>
      </c>
      <c r="B722" s="1" t="n">
        <v>43558</v>
      </c>
      <c r="C722" s="1" t="n">
        <v>45736</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18332-2019</t>
        </is>
      </c>
      <c r="B723" s="1" t="n">
        <v>43559</v>
      </c>
      <c r="C723" s="1" t="n">
        <v>45736</v>
      </c>
      <c r="D723" t="inlineStr">
        <is>
          <t>VÄRMLANDS LÄN</t>
        </is>
      </c>
      <c r="E723" t="inlineStr">
        <is>
          <t>ÅRJÄNG</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18451-2019</t>
        </is>
      </c>
      <c r="B724" s="1" t="n">
        <v>43559</v>
      </c>
      <c r="C724" s="1" t="n">
        <v>45736</v>
      </c>
      <c r="D724" t="inlineStr">
        <is>
          <t>VÄRMLANDS LÄN</t>
        </is>
      </c>
      <c r="E724" t="inlineStr">
        <is>
          <t>KIL</t>
        </is>
      </c>
      <c r="G724" t="n">
        <v>2.2</v>
      </c>
      <c r="H724" t="n">
        <v>0</v>
      </c>
      <c r="I724" t="n">
        <v>0</v>
      </c>
      <c r="J724" t="n">
        <v>0</v>
      </c>
      <c r="K724" t="n">
        <v>0</v>
      </c>
      <c r="L724" t="n">
        <v>0</v>
      </c>
      <c r="M724" t="n">
        <v>0</v>
      </c>
      <c r="N724" t="n">
        <v>0</v>
      </c>
      <c r="O724" t="n">
        <v>0</v>
      </c>
      <c r="P724" t="n">
        <v>0</v>
      </c>
      <c r="Q724" t="n">
        <v>0</v>
      </c>
      <c r="R724" s="2" t="inlineStr"/>
    </row>
    <row r="725" ht="15" customHeight="1">
      <c r="A725" t="inlineStr">
        <is>
          <t>A 18309-2019</t>
        </is>
      </c>
      <c r="B725" s="1" t="n">
        <v>43559</v>
      </c>
      <c r="C725" s="1" t="n">
        <v>45736</v>
      </c>
      <c r="D725" t="inlineStr">
        <is>
          <t>VÄRMLANDS LÄN</t>
        </is>
      </c>
      <c r="E725" t="inlineStr">
        <is>
          <t>KIL</t>
        </is>
      </c>
      <c r="G725" t="n">
        <v>2.1</v>
      </c>
      <c r="H725" t="n">
        <v>0</v>
      </c>
      <c r="I725" t="n">
        <v>0</v>
      </c>
      <c r="J725" t="n">
        <v>0</v>
      </c>
      <c r="K725" t="n">
        <v>0</v>
      </c>
      <c r="L725" t="n">
        <v>0</v>
      </c>
      <c r="M725" t="n">
        <v>0</v>
      </c>
      <c r="N725" t="n">
        <v>0</v>
      </c>
      <c r="O725" t="n">
        <v>0</v>
      </c>
      <c r="P725" t="n">
        <v>0</v>
      </c>
      <c r="Q725" t="n">
        <v>0</v>
      </c>
      <c r="R725" s="2" t="inlineStr"/>
    </row>
    <row r="726" ht="15" customHeight="1">
      <c r="A726" t="inlineStr">
        <is>
          <t>A 18308-2019</t>
        </is>
      </c>
      <c r="B726" s="1" t="n">
        <v>43559</v>
      </c>
      <c r="C726" s="1" t="n">
        <v>45736</v>
      </c>
      <c r="D726" t="inlineStr">
        <is>
          <t>VÄRMLANDS LÄN</t>
        </is>
      </c>
      <c r="E726" t="inlineStr">
        <is>
          <t>KIL</t>
        </is>
      </c>
      <c r="G726" t="n">
        <v>1</v>
      </c>
      <c r="H726" t="n">
        <v>0</v>
      </c>
      <c r="I726" t="n">
        <v>0</v>
      </c>
      <c r="J726" t="n">
        <v>0</v>
      </c>
      <c r="K726" t="n">
        <v>0</v>
      </c>
      <c r="L726" t="n">
        <v>0</v>
      </c>
      <c r="M726" t="n">
        <v>0</v>
      </c>
      <c r="N726" t="n">
        <v>0</v>
      </c>
      <c r="O726" t="n">
        <v>0</v>
      </c>
      <c r="P726" t="n">
        <v>0</v>
      </c>
      <c r="Q726" t="n">
        <v>0</v>
      </c>
      <c r="R726" s="2" t="inlineStr"/>
    </row>
    <row r="727" ht="15" customHeight="1">
      <c r="A727" t="inlineStr">
        <is>
          <t>A 18551-2019</t>
        </is>
      </c>
      <c r="B727" s="1" t="n">
        <v>43559</v>
      </c>
      <c r="C727" s="1" t="n">
        <v>45736</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18638-2019</t>
        </is>
      </c>
      <c r="B728" s="1" t="n">
        <v>43559</v>
      </c>
      <c r="C728" s="1" t="n">
        <v>45736</v>
      </c>
      <c r="D728" t="inlineStr">
        <is>
          <t>VÄRMLANDS LÄN</t>
        </is>
      </c>
      <c r="E728" t="inlineStr">
        <is>
          <t>KRISTINEHAMN</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18549-2019</t>
        </is>
      </c>
      <c r="B729" s="1" t="n">
        <v>43559</v>
      </c>
      <c r="C729" s="1" t="n">
        <v>45736</v>
      </c>
      <c r="D729" t="inlineStr">
        <is>
          <t>VÄRMLANDS LÄN</t>
        </is>
      </c>
      <c r="E729" t="inlineStr">
        <is>
          <t>GRUMS</t>
        </is>
      </c>
      <c r="G729" t="n">
        <v>2.6</v>
      </c>
      <c r="H729" t="n">
        <v>0</v>
      </c>
      <c r="I729" t="n">
        <v>0</v>
      </c>
      <c r="J729" t="n">
        <v>0</v>
      </c>
      <c r="K729" t="n">
        <v>0</v>
      </c>
      <c r="L729" t="n">
        <v>0</v>
      </c>
      <c r="M729" t="n">
        <v>0</v>
      </c>
      <c r="N729" t="n">
        <v>0</v>
      </c>
      <c r="O729" t="n">
        <v>0</v>
      </c>
      <c r="P729" t="n">
        <v>0</v>
      </c>
      <c r="Q729" t="n">
        <v>0</v>
      </c>
      <c r="R729" s="2" t="inlineStr"/>
    </row>
    <row r="730" ht="15" customHeight="1">
      <c r="A730" t="inlineStr">
        <is>
          <t>A 18655-2019</t>
        </is>
      </c>
      <c r="B730" s="1" t="n">
        <v>43559</v>
      </c>
      <c r="C730" s="1" t="n">
        <v>45736</v>
      </c>
      <c r="D730" t="inlineStr">
        <is>
          <t>VÄRMLANDS LÄN</t>
        </is>
      </c>
      <c r="E730" t="inlineStr">
        <is>
          <t>SÄFFLE</t>
        </is>
      </c>
      <c r="F730" t="inlineStr">
        <is>
          <t>Bergvik skog väst AB</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18525-2019</t>
        </is>
      </c>
      <c r="B731" s="1" t="n">
        <v>43559</v>
      </c>
      <c r="C731" s="1" t="n">
        <v>45736</v>
      </c>
      <c r="D731" t="inlineStr">
        <is>
          <t>VÄRMLANDS LÄN</t>
        </is>
      </c>
      <c r="E731" t="inlineStr">
        <is>
          <t>KARLSTAD</t>
        </is>
      </c>
      <c r="G731" t="n">
        <v>1.5</v>
      </c>
      <c r="H731" t="n">
        <v>0</v>
      </c>
      <c r="I731" t="n">
        <v>0</v>
      </c>
      <c r="J731" t="n">
        <v>0</v>
      </c>
      <c r="K731" t="n">
        <v>0</v>
      </c>
      <c r="L731" t="n">
        <v>0</v>
      </c>
      <c r="M731" t="n">
        <v>0</v>
      </c>
      <c r="N731" t="n">
        <v>0</v>
      </c>
      <c r="O731" t="n">
        <v>0</v>
      </c>
      <c r="P731" t="n">
        <v>0</v>
      </c>
      <c r="Q731" t="n">
        <v>0</v>
      </c>
      <c r="R731" s="2" t="inlineStr"/>
    </row>
    <row r="732" ht="15" customHeight="1">
      <c r="A732" t="inlineStr">
        <is>
          <t>A 18508-2019</t>
        </is>
      </c>
      <c r="B732" s="1" t="n">
        <v>43559</v>
      </c>
      <c r="C732" s="1" t="n">
        <v>45736</v>
      </c>
      <c r="D732" t="inlineStr">
        <is>
          <t>VÄRMLANDS LÄN</t>
        </is>
      </c>
      <c r="E732" t="inlineStr">
        <is>
          <t>EDA</t>
        </is>
      </c>
      <c r="G732" t="n">
        <v>0.9</v>
      </c>
      <c r="H732" t="n">
        <v>0</v>
      </c>
      <c r="I732" t="n">
        <v>0</v>
      </c>
      <c r="J732" t="n">
        <v>0</v>
      </c>
      <c r="K732" t="n">
        <v>0</v>
      </c>
      <c r="L732" t="n">
        <v>0</v>
      </c>
      <c r="M732" t="n">
        <v>0</v>
      </c>
      <c r="N732" t="n">
        <v>0</v>
      </c>
      <c r="O732" t="n">
        <v>0</v>
      </c>
      <c r="P732" t="n">
        <v>0</v>
      </c>
      <c r="Q732" t="n">
        <v>0</v>
      </c>
      <c r="R732" s="2" t="inlineStr"/>
    </row>
    <row r="733" ht="15" customHeight="1">
      <c r="A733" t="inlineStr">
        <is>
          <t>A 18817-2019</t>
        </is>
      </c>
      <c r="B733" s="1" t="n">
        <v>43560</v>
      </c>
      <c r="C733" s="1" t="n">
        <v>45736</v>
      </c>
      <c r="D733" t="inlineStr">
        <is>
          <t>VÄRMLANDS LÄN</t>
        </is>
      </c>
      <c r="E733" t="inlineStr">
        <is>
          <t>SÄFFLE</t>
        </is>
      </c>
      <c r="G733" t="n">
        <v>2.9</v>
      </c>
      <c r="H733" t="n">
        <v>0</v>
      </c>
      <c r="I733" t="n">
        <v>0</v>
      </c>
      <c r="J733" t="n">
        <v>0</v>
      </c>
      <c r="K733" t="n">
        <v>0</v>
      </c>
      <c r="L733" t="n">
        <v>0</v>
      </c>
      <c r="M733" t="n">
        <v>0</v>
      </c>
      <c r="N733" t="n">
        <v>0</v>
      </c>
      <c r="O733" t="n">
        <v>0</v>
      </c>
      <c r="P733" t="n">
        <v>0</v>
      </c>
      <c r="Q733" t="n">
        <v>0</v>
      </c>
      <c r="R733" s="2" t="inlineStr"/>
    </row>
    <row r="734" ht="15" customHeight="1">
      <c r="A734" t="inlineStr">
        <is>
          <t>A 18676-2019</t>
        </is>
      </c>
      <c r="B734" s="1" t="n">
        <v>43560</v>
      </c>
      <c r="C734" s="1" t="n">
        <v>45736</v>
      </c>
      <c r="D734" t="inlineStr">
        <is>
          <t>VÄRMLANDS LÄN</t>
        </is>
      </c>
      <c r="E734" t="inlineStr">
        <is>
          <t>EDA</t>
        </is>
      </c>
      <c r="F734" t="inlineStr">
        <is>
          <t>Bergvik skog väst AB</t>
        </is>
      </c>
      <c r="G734" t="n">
        <v>5.7</v>
      </c>
      <c r="H734" t="n">
        <v>0</v>
      </c>
      <c r="I734" t="n">
        <v>0</v>
      </c>
      <c r="J734" t="n">
        <v>0</v>
      </c>
      <c r="K734" t="n">
        <v>0</v>
      </c>
      <c r="L734" t="n">
        <v>0</v>
      </c>
      <c r="M734" t="n">
        <v>0</v>
      </c>
      <c r="N734" t="n">
        <v>0</v>
      </c>
      <c r="O734" t="n">
        <v>0</v>
      </c>
      <c r="P734" t="n">
        <v>0</v>
      </c>
      <c r="Q734" t="n">
        <v>0</v>
      </c>
      <c r="R734" s="2" t="inlineStr"/>
    </row>
    <row r="735" ht="15" customHeight="1">
      <c r="A735" t="inlineStr">
        <is>
          <t>A 18736-2019</t>
        </is>
      </c>
      <c r="B735" s="1" t="n">
        <v>43560</v>
      </c>
      <c r="C735" s="1" t="n">
        <v>45736</v>
      </c>
      <c r="D735" t="inlineStr">
        <is>
          <t>VÄRMLANDS LÄN</t>
        </is>
      </c>
      <c r="E735" t="inlineStr">
        <is>
          <t>HAGFORS</t>
        </is>
      </c>
      <c r="G735" t="n">
        <v>1.9</v>
      </c>
      <c r="H735" t="n">
        <v>0</v>
      </c>
      <c r="I735" t="n">
        <v>0</v>
      </c>
      <c r="J735" t="n">
        <v>0</v>
      </c>
      <c r="K735" t="n">
        <v>0</v>
      </c>
      <c r="L735" t="n">
        <v>0</v>
      </c>
      <c r="M735" t="n">
        <v>0</v>
      </c>
      <c r="N735" t="n">
        <v>0</v>
      </c>
      <c r="O735" t="n">
        <v>0</v>
      </c>
      <c r="P735" t="n">
        <v>0</v>
      </c>
      <c r="Q735" t="n">
        <v>0</v>
      </c>
      <c r="R735" s="2" t="inlineStr"/>
    </row>
    <row r="736" ht="15" customHeight="1">
      <c r="A736" t="inlineStr">
        <is>
          <t>A 18750-2019</t>
        </is>
      </c>
      <c r="B736" s="1" t="n">
        <v>43560</v>
      </c>
      <c r="C736" s="1" t="n">
        <v>45736</v>
      </c>
      <c r="D736" t="inlineStr">
        <is>
          <t>VÄRMLANDS LÄN</t>
        </is>
      </c>
      <c r="E736" t="inlineStr">
        <is>
          <t>STORFORS</t>
        </is>
      </c>
      <c r="G736" t="n">
        <v>1</v>
      </c>
      <c r="H736" t="n">
        <v>0</v>
      </c>
      <c r="I736" t="n">
        <v>0</v>
      </c>
      <c r="J736" t="n">
        <v>0</v>
      </c>
      <c r="K736" t="n">
        <v>0</v>
      </c>
      <c r="L736" t="n">
        <v>0</v>
      </c>
      <c r="M736" t="n">
        <v>0</v>
      </c>
      <c r="N736" t="n">
        <v>0</v>
      </c>
      <c r="O736" t="n">
        <v>0</v>
      </c>
      <c r="P736" t="n">
        <v>0</v>
      </c>
      <c r="Q736" t="n">
        <v>0</v>
      </c>
      <c r="R736" s="2" t="inlineStr"/>
    </row>
    <row r="737" ht="15" customHeight="1">
      <c r="A737" t="inlineStr">
        <is>
          <t>A 18830-2019</t>
        </is>
      </c>
      <c r="B737" s="1" t="n">
        <v>43560</v>
      </c>
      <c r="C737" s="1" t="n">
        <v>45736</v>
      </c>
      <c r="D737" t="inlineStr">
        <is>
          <t>VÄRMLANDS LÄN</t>
        </is>
      </c>
      <c r="E737" t="inlineStr">
        <is>
          <t>ÅRJÄNG</t>
        </is>
      </c>
      <c r="G737" t="n">
        <v>10.4</v>
      </c>
      <c r="H737" t="n">
        <v>0</v>
      </c>
      <c r="I737" t="n">
        <v>0</v>
      </c>
      <c r="J737" t="n">
        <v>0</v>
      </c>
      <c r="K737" t="n">
        <v>0</v>
      </c>
      <c r="L737" t="n">
        <v>0</v>
      </c>
      <c r="M737" t="n">
        <v>0</v>
      </c>
      <c r="N737" t="n">
        <v>0</v>
      </c>
      <c r="O737" t="n">
        <v>0</v>
      </c>
      <c r="P737" t="n">
        <v>0</v>
      </c>
      <c r="Q737" t="n">
        <v>0</v>
      </c>
      <c r="R737" s="2" t="inlineStr"/>
    </row>
    <row r="738" ht="15" customHeight="1">
      <c r="A738" t="inlineStr">
        <is>
          <t>A 18574-2019</t>
        </is>
      </c>
      <c r="B738" s="1" t="n">
        <v>43560</v>
      </c>
      <c r="C738" s="1" t="n">
        <v>45736</v>
      </c>
      <c r="D738" t="inlineStr">
        <is>
          <t>VÄRMLANDS LÄN</t>
        </is>
      </c>
      <c r="E738" t="inlineStr">
        <is>
          <t>ARVIKA</t>
        </is>
      </c>
      <c r="F738" t="inlineStr">
        <is>
          <t>Bergvik skog väst AB</t>
        </is>
      </c>
      <c r="G738" t="n">
        <v>4.5</v>
      </c>
      <c r="H738" t="n">
        <v>0</v>
      </c>
      <c r="I738" t="n">
        <v>0</v>
      </c>
      <c r="J738" t="n">
        <v>0</v>
      </c>
      <c r="K738" t="n">
        <v>0</v>
      </c>
      <c r="L738" t="n">
        <v>0</v>
      </c>
      <c r="M738" t="n">
        <v>0</v>
      </c>
      <c r="N738" t="n">
        <v>0</v>
      </c>
      <c r="O738" t="n">
        <v>0</v>
      </c>
      <c r="P738" t="n">
        <v>0</v>
      </c>
      <c r="Q738" t="n">
        <v>0</v>
      </c>
      <c r="R738" s="2" t="inlineStr"/>
    </row>
    <row r="739" ht="15" customHeight="1">
      <c r="A739" t="inlineStr">
        <is>
          <t>A 18773-2019</t>
        </is>
      </c>
      <c r="B739" s="1" t="n">
        <v>43561</v>
      </c>
      <c r="C739" s="1" t="n">
        <v>45736</v>
      </c>
      <c r="D739" t="inlineStr">
        <is>
          <t>VÄRMLANDS LÄN</t>
        </is>
      </c>
      <c r="E739" t="inlineStr">
        <is>
          <t>GRUMS</t>
        </is>
      </c>
      <c r="G739" t="n">
        <v>9.5</v>
      </c>
      <c r="H739" t="n">
        <v>0</v>
      </c>
      <c r="I739" t="n">
        <v>0</v>
      </c>
      <c r="J739" t="n">
        <v>0</v>
      </c>
      <c r="K739" t="n">
        <v>0</v>
      </c>
      <c r="L739" t="n">
        <v>0</v>
      </c>
      <c r="M739" t="n">
        <v>0</v>
      </c>
      <c r="N739" t="n">
        <v>0</v>
      </c>
      <c r="O739" t="n">
        <v>0</v>
      </c>
      <c r="P739" t="n">
        <v>0</v>
      </c>
      <c r="Q739" t="n">
        <v>0</v>
      </c>
      <c r="R739" s="2" t="inlineStr"/>
    </row>
    <row r="740" ht="15" customHeight="1">
      <c r="A740" t="inlineStr">
        <is>
          <t>A 18832-2019</t>
        </is>
      </c>
      <c r="B740" s="1" t="n">
        <v>43563</v>
      </c>
      <c r="C740" s="1" t="n">
        <v>45736</v>
      </c>
      <c r="D740" t="inlineStr">
        <is>
          <t>VÄRMLANDS LÄN</t>
        </is>
      </c>
      <c r="E740" t="inlineStr">
        <is>
          <t>SÄFFLE</t>
        </is>
      </c>
      <c r="G740" t="n">
        <v>2.4</v>
      </c>
      <c r="H740" t="n">
        <v>0</v>
      </c>
      <c r="I740" t="n">
        <v>0</v>
      </c>
      <c r="J740" t="n">
        <v>0</v>
      </c>
      <c r="K740" t="n">
        <v>0</v>
      </c>
      <c r="L740" t="n">
        <v>0</v>
      </c>
      <c r="M740" t="n">
        <v>0</v>
      </c>
      <c r="N740" t="n">
        <v>0</v>
      </c>
      <c r="O740" t="n">
        <v>0</v>
      </c>
      <c r="P740" t="n">
        <v>0</v>
      </c>
      <c r="Q740" t="n">
        <v>0</v>
      </c>
      <c r="R740" s="2" t="inlineStr"/>
    </row>
    <row r="741" ht="15" customHeight="1">
      <c r="A741" t="inlineStr">
        <is>
          <t>A 18932-2019</t>
        </is>
      </c>
      <c r="B741" s="1" t="n">
        <v>43563</v>
      </c>
      <c r="C741" s="1" t="n">
        <v>45736</v>
      </c>
      <c r="D741" t="inlineStr">
        <is>
          <t>VÄRMLANDS LÄN</t>
        </is>
      </c>
      <c r="E741" t="inlineStr">
        <is>
          <t>SÄFFLE</t>
        </is>
      </c>
      <c r="G741" t="n">
        <v>6.1</v>
      </c>
      <c r="H741" t="n">
        <v>0</v>
      </c>
      <c r="I741" t="n">
        <v>0</v>
      </c>
      <c r="J741" t="n">
        <v>0</v>
      </c>
      <c r="K741" t="n">
        <v>0</v>
      </c>
      <c r="L741" t="n">
        <v>0</v>
      </c>
      <c r="M741" t="n">
        <v>0</v>
      </c>
      <c r="N741" t="n">
        <v>0</v>
      </c>
      <c r="O741" t="n">
        <v>0</v>
      </c>
      <c r="P741" t="n">
        <v>0</v>
      </c>
      <c r="Q741" t="n">
        <v>0</v>
      </c>
      <c r="R741" s="2" t="inlineStr"/>
    </row>
    <row r="742" ht="15" customHeight="1">
      <c r="A742" t="inlineStr">
        <is>
          <t>A 18852-2019</t>
        </is>
      </c>
      <c r="B742" s="1" t="n">
        <v>43563</v>
      </c>
      <c r="C742" s="1" t="n">
        <v>45736</v>
      </c>
      <c r="D742" t="inlineStr">
        <is>
          <t>VÄRMLANDS LÄN</t>
        </is>
      </c>
      <c r="E742" t="inlineStr">
        <is>
          <t>KIL</t>
        </is>
      </c>
      <c r="G742" t="n">
        <v>2.9</v>
      </c>
      <c r="H742" t="n">
        <v>0</v>
      </c>
      <c r="I742" t="n">
        <v>0</v>
      </c>
      <c r="J742" t="n">
        <v>0</v>
      </c>
      <c r="K742" t="n">
        <v>0</v>
      </c>
      <c r="L742" t="n">
        <v>0</v>
      </c>
      <c r="M742" t="n">
        <v>0</v>
      </c>
      <c r="N742" t="n">
        <v>0</v>
      </c>
      <c r="O742" t="n">
        <v>0</v>
      </c>
      <c r="P742" t="n">
        <v>0</v>
      </c>
      <c r="Q742" t="n">
        <v>0</v>
      </c>
      <c r="R742" s="2" t="inlineStr"/>
    </row>
    <row r="743" ht="15" customHeight="1">
      <c r="A743" t="inlineStr">
        <is>
          <t>A 18881-2019</t>
        </is>
      </c>
      <c r="B743" s="1" t="n">
        <v>43563</v>
      </c>
      <c r="C743" s="1" t="n">
        <v>45736</v>
      </c>
      <c r="D743" t="inlineStr">
        <is>
          <t>VÄRMLANDS LÄN</t>
        </is>
      </c>
      <c r="E743" t="inlineStr">
        <is>
          <t>GRUMS</t>
        </is>
      </c>
      <c r="G743" t="n">
        <v>0.5</v>
      </c>
      <c r="H743" t="n">
        <v>0</v>
      </c>
      <c r="I743" t="n">
        <v>0</v>
      </c>
      <c r="J743" t="n">
        <v>0</v>
      </c>
      <c r="K743" t="n">
        <v>0</v>
      </c>
      <c r="L743" t="n">
        <v>0</v>
      </c>
      <c r="M743" t="n">
        <v>0</v>
      </c>
      <c r="N743" t="n">
        <v>0</v>
      </c>
      <c r="O743" t="n">
        <v>0</v>
      </c>
      <c r="P743" t="n">
        <v>0</v>
      </c>
      <c r="Q743" t="n">
        <v>0</v>
      </c>
      <c r="R743" s="2" t="inlineStr"/>
    </row>
    <row r="744" ht="15" customHeight="1">
      <c r="A744" t="inlineStr">
        <is>
          <t>A 18917-2019</t>
        </is>
      </c>
      <c r="B744" s="1" t="n">
        <v>43563</v>
      </c>
      <c r="C744" s="1" t="n">
        <v>45736</v>
      </c>
      <c r="D744" t="inlineStr">
        <is>
          <t>VÄRMLANDS LÄN</t>
        </is>
      </c>
      <c r="E744" t="inlineStr">
        <is>
          <t>EDA</t>
        </is>
      </c>
      <c r="G744" t="n">
        <v>2</v>
      </c>
      <c r="H744" t="n">
        <v>0</v>
      </c>
      <c r="I744" t="n">
        <v>0</v>
      </c>
      <c r="J744" t="n">
        <v>0</v>
      </c>
      <c r="K744" t="n">
        <v>0</v>
      </c>
      <c r="L744" t="n">
        <v>0</v>
      </c>
      <c r="M744" t="n">
        <v>0</v>
      </c>
      <c r="N744" t="n">
        <v>0</v>
      </c>
      <c r="O744" t="n">
        <v>0</v>
      </c>
      <c r="P744" t="n">
        <v>0</v>
      </c>
      <c r="Q744" t="n">
        <v>0</v>
      </c>
      <c r="R744" s="2" t="inlineStr"/>
    </row>
    <row r="745" ht="15" customHeight="1">
      <c r="A745" t="inlineStr">
        <is>
          <t>A 18947-2019</t>
        </is>
      </c>
      <c r="B745" s="1" t="n">
        <v>43563</v>
      </c>
      <c r="C745" s="1" t="n">
        <v>45736</v>
      </c>
      <c r="D745" t="inlineStr">
        <is>
          <t>VÄRMLANDS LÄN</t>
        </is>
      </c>
      <c r="E745" t="inlineStr">
        <is>
          <t>TORSBY</t>
        </is>
      </c>
      <c r="G745" t="n">
        <v>7.6</v>
      </c>
      <c r="H745" t="n">
        <v>0</v>
      </c>
      <c r="I745" t="n">
        <v>0</v>
      </c>
      <c r="J745" t="n">
        <v>0</v>
      </c>
      <c r="K745" t="n">
        <v>0</v>
      </c>
      <c r="L745" t="n">
        <v>0</v>
      </c>
      <c r="M745" t="n">
        <v>0</v>
      </c>
      <c r="N745" t="n">
        <v>0</v>
      </c>
      <c r="O745" t="n">
        <v>0</v>
      </c>
      <c r="P745" t="n">
        <v>0</v>
      </c>
      <c r="Q745" t="n">
        <v>0</v>
      </c>
      <c r="R745" s="2" t="inlineStr"/>
    </row>
    <row r="746" ht="15" customHeight="1">
      <c r="A746" t="inlineStr">
        <is>
          <t>A 18930-2019</t>
        </is>
      </c>
      <c r="B746" s="1" t="n">
        <v>43563</v>
      </c>
      <c r="C746" s="1" t="n">
        <v>45736</v>
      </c>
      <c r="D746" t="inlineStr">
        <is>
          <t>VÄRMLANDS LÄN</t>
        </is>
      </c>
      <c r="E746" t="inlineStr">
        <is>
          <t>SUNNE</t>
        </is>
      </c>
      <c r="F746" t="inlineStr">
        <is>
          <t>Kyrkan</t>
        </is>
      </c>
      <c r="G746" t="n">
        <v>6.2</v>
      </c>
      <c r="H746" t="n">
        <v>0</v>
      </c>
      <c r="I746" t="n">
        <v>0</v>
      </c>
      <c r="J746" t="n">
        <v>0</v>
      </c>
      <c r="K746" t="n">
        <v>0</v>
      </c>
      <c r="L746" t="n">
        <v>0</v>
      </c>
      <c r="M746" t="n">
        <v>0</v>
      </c>
      <c r="N746" t="n">
        <v>0</v>
      </c>
      <c r="O746" t="n">
        <v>0</v>
      </c>
      <c r="P746" t="n">
        <v>0</v>
      </c>
      <c r="Q746" t="n">
        <v>0</v>
      </c>
      <c r="R746" s="2" t="inlineStr"/>
    </row>
    <row r="747" ht="15" customHeight="1">
      <c r="A747" t="inlineStr">
        <is>
          <t>A 19011-2019</t>
        </is>
      </c>
      <c r="B747" s="1" t="n">
        <v>43563</v>
      </c>
      <c r="C747" s="1" t="n">
        <v>45736</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19032-2019</t>
        </is>
      </c>
      <c r="B748" s="1" t="n">
        <v>43563</v>
      </c>
      <c r="C748" s="1" t="n">
        <v>45736</v>
      </c>
      <c r="D748" t="inlineStr">
        <is>
          <t>VÄRMLANDS LÄN</t>
        </is>
      </c>
      <c r="E748" t="inlineStr">
        <is>
          <t>ÅRJÄNG</t>
        </is>
      </c>
      <c r="G748" t="n">
        <v>2.5</v>
      </c>
      <c r="H748" t="n">
        <v>0</v>
      </c>
      <c r="I748" t="n">
        <v>0</v>
      </c>
      <c r="J748" t="n">
        <v>0</v>
      </c>
      <c r="K748" t="n">
        <v>0</v>
      </c>
      <c r="L748" t="n">
        <v>0</v>
      </c>
      <c r="M748" t="n">
        <v>0</v>
      </c>
      <c r="N748" t="n">
        <v>0</v>
      </c>
      <c r="O748" t="n">
        <v>0</v>
      </c>
      <c r="P748" t="n">
        <v>0</v>
      </c>
      <c r="Q748" t="n">
        <v>0</v>
      </c>
      <c r="R748" s="2" t="inlineStr"/>
    </row>
    <row r="749" ht="15" customHeight="1">
      <c r="A749" t="inlineStr">
        <is>
          <t>A 18977-2019</t>
        </is>
      </c>
      <c r="B749" s="1" t="n">
        <v>43563</v>
      </c>
      <c r="C749" s="1" t="n">
        <v>45736</v>
      </c>
      <c r="D749" t="inlineStr">
        <is>
          <t>VÄRMLANDS LÄN</t>
        </is>
      </c>
      <c r="E749" t="inlineStr">
        <is>
          <t>KRISTINEHAMN</t>
        </is>
      </c>
      <c r="G749" t="n">
        <v>0.2</v>
      </c>
      <c r="H749" t="n">
        <v>0</v>
      </c>
      <c r="I749" t="n">
        <v>0</v>
      </c>
      <c r="J749" t="n">
        <v>0</v>
      </c>
      <c r="K749" t="n">
        <v>0</v>
      </c>
      <c r="L749" t="n">
        <v>0</v>
      </c>
      <c r="M749" t="n">
        <v>0</v>
      </c>
      <c r="N749" t="n">
        <v>0</v>
      </c>
      <c r="O749" t="n">
        <v>0</v>
      </c>
      <c r="P749" t="n">
        <v>0</v>
      </c>
      <c r="Q749" t="n">
        <v>0</v>
      </c>
      <c r="R749" s="2" t="inlineStr"/>
    </row>
    <row r="750" ht="15" customHeight="1">
      <c r="A750" t="inlineStr">
        <is>
          <t>A 18915-2019</t>
        </is>
      </c>
      <c r="B750" s="1" t="n">
        <v>43563</v>
      </c>
      <c r="C750" s="1" t="n">
        <v>45736</v>
      </c>
      <c r="D750" t="inlineStr">
        <is>
          <t>VÄRMLANDS LÄN</t>
        </is>
      </c>
      <c r="E750" t="inlineStr">
        <is>
          <t>KRISTINEHAMN</t>
        </is>
      </c>
      <c r="G750" t="n">
        <v>0.5</v>
      </c>
      <c r="H750" t="n">
        <v>0</v>
      </c>
      <c r="I750" t="n">
        <v>0</v>
      </c>
      <c r="J750" t="n">
        <v>0</v>
      </c>
      <c r="K750" t="n">
        <v>0</v>
      </c>
      <c r="L750" t="n">
        <v>0</v>
      </c>
      <c r="M750" t="n">
        <v>0</v>
      </c>
      <c r="N750" t="n">
        <v>0</v>
      </c>
      <c r="O750" t="n">
        <v>0</v>
      </c>
      <c r="P750" t="n">
        <v>0</v>
      </c>
      <c r="Q750" t="n">
        <v>0</v>
      </c>
      <c r="R750" s="2" t="inlineStr"/>
    </row>
    <row r="751" ht="15" customHeight="1">
      <c r="A751" t="inlineStr">
        <is>
          <t>A 19037-2019</t>
        </is>
      </c>
      <c r="B751" s="1" t="n">
        <v>43563</v>
      </c>
      <c r="C751" s="1" t="n">
        <v>45736</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19039-2019</t>
        </is>
      </c>
      <c r="B752" s="1" t="n">
        <v>43563</v>
      </c>
      <c r="C752" s="1" t="n">
        <v>45736</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18999-2019</t>
        </is>
      </c>
      <c r="B753" s="1" t="n">
        <v>43563</v>
      </c>
      <c r="C753" s="1" t="n">
        <v>45736</v>
      </c>
      <c r="D753" t="inlineStr">
        <is>
          <t>VÄRMLANDS LÄN</t>
        </is>
      </c>
      <c r="E753" t="inlineStr">
        <is>
          <t>KRISTINEHAMN</t>
        </is>
      </c>
      <c r="G753" t="n">
        <v>1.3</v>
      </c>
      <c r="H753" t="n">
        <v>0</v>
      </c>
      <c r="I753" t="n">
        <v>0</v>
      </c>
      <c r="J753" t="n">
        <v>0</v>
      </c>
      <c r="K753" t="n">
        <v>0</v>
      </c>
      <c r="L753" t="n">
        <v>0</v>
      </c>
      <c r="M753" t="n">
        <v>0</v>
      </c>
      <c r="N753" t="n">
        <v>0</v>
      </c>
      <c r="O753" t="n">
        <v>0</v>
      </c>
      <c r="P753" t="n">
        <v>0</v>
      </c>
      <c r="Q753" t="n">
        <v>0</v>
      </c>
      <c r="R753" s="2" t="inlineStr"/>
    </row>
    <row r="754" ht="15" customHeight="1">
      <c r="A754" t="inlineStr">
        <is>
          <t>A 18899-2019</t>
        </is>
      </c>
      <c r="B754" s="1" t="n">
        <v>43563</v>
      </c>
      <c r="C754" s="1" t="n">
        <v>45736</v>
      </c>
      <c r="D754" t="inlineStr">
        <is>
          <t>VÄRMLANDS LÄN</t>
        </is>
      </c>
      <c r="E754" t="inlineStr">
        <is>
          <t>SUNNE</t>
        </is>
      </c>
      <c r="G754" t="n">
        <v>1.6</v>
      </c>
      <c r="H754" t="n">
        <v>0</v>
      </c>
      <c r="I754" t="n">
        <v>0</v>
      </c>
      <c r="J754" t="n">
        <v>0</v>
      </c>
      <c r="K754" t="n">
        <v>0</v>
      </c>
      <c r="L754" t="n">
        <v>0</v>
      </c>
      <c r="M754" t="n">
        <v>0</v>
      </c>
      <c r="N754" t="n">
        <v>0</v>
      </c>
      <c r="O754" t="n">
        <v>0</v>
      </c>
      <c r="P754" t="n">
        <v>0</v>
      </c>
      <c r="Q754" t="n">
        <v>0</v>
      </c>
      <c r="R754" s="2" t="inlineStr"/>
    </row>
    <row r="755" ht="15" customHeight="1">
      <c r="A755" t="inlineStr">
        <is>
          <t>A 18938-2019</t>
        </is>
      </c>
      <c r="B755" s="1" t="n">
        <v>43563</v>
      </c>
      <c r="C755" s="1" t="n">
        <v>45736</v>
      </c>
      <c r="D755" t="inlineStr">
        <is>
          <t>VÄRMLANDS LÄN</t>
        </is>
      </c>
      <c r="E755" t="inlineStr">
        <is>
          <t>KARLSTAD</t>
        </is>
      </c>
      <c r="G755" t="n">
        <v>2.3</v>
      </c>
      <c r="H755" t="n">
        <v>0</v>
      </c>
      <c r="I755" t="n">
        <v>0</v>
      </c>
      <c r="J755" t="n">
        <v>0</v>
      </c>
      <c r="K755" t="n">
        <v>0</v>
      </c>
      <c r="L755" t="n">
        <v>0</v>
      </c>
      <c r="M755" t="n">
        <v>0</v>
      </c>
      <c r="N755" t="n">
        <v>0</v>
      </c>
      <c r="O755" t="n">
        <v>0</v>
      </c>
      <c r="P755" t="n">
        <v>0</v>
      </c>
      <c r="Q755" t="n">
        <v>0</v>
      </c>
      <c r="R755" s="2" t="inlineStr"/>
    </row>
    <row r="756" ht="15" customHeight="1">
      <c r="A756" t="inlineStr">
        <is>
          <t>A 19020-2019</t>
        </is>
      </c>
      <c r="B756" s="1" t="n">
        <v>43563</v>
      </c>
      <c r="C756" s="1" t="n">
        <v>45736</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18943-2019</t>
        </is>
      </c>
      <c r="B757" s="1" t="n">
        <v>43563</v>
      </c>
      <c r="C757" s="1" t="n">
        <v>45736</v>
      </c>
      <c r="D757" t="inlineStr">
        <is>
          <t>VÄRMLANDS LÄN</t>
        </is>
      </c>
      <c r="E757" t="inlineStr">
        <is>
          <t>SÄFFLE</t>
        </is>
      </c>
      <c r="G757" t="n">
        <v>2.7</v>
      </c>
      <c r="H757" t="n">
        <v>0</v>
      </c>
      <c r="I757" t="n">
        <v>0</v>
      </c>
      <c r="J757" t="n">
        <v>0</v>
      </c>
      <c r="K757" t="n">
        <v>0</v>
      </c>
      <c r="L757" t="n">
        <v>0</v>
      </c>
      <c r="M757" t="n">
        <v>0</v>
      </c>
      <c r="N757" t="n">
        <v>0</v>
      </c>
      <c r="O757" t="n">
        <v>0</v>
      </c>
      <c r="P757" t="n">
        <v>0</v>
      </c>
      <c r="Q757" t="n">
        <v>0</v>
      </c>
      <c r="R757" s="2" t="inlineStr"/>
    </row>
    <row r="758" ht="15" customHeight="1">
      <c r="A758" t="inlineStr">
        <is>
          <t>A 19148-2019</t>
        </is>
      </c>
      <c r="B758" s="1" t="n">
        <v>43564</v>
      </c>
      <c r="C758" s="1" t="n">
        <v>45736</v>
      </c>
      <c r="D758" t="inlineStr">
        <is>
          <t>VÄRMLANDS LÄN</t>
        </is>
      </c>
      <c r="E758" t="inlineStr">
        <is>
          <t>GRUMS</t>
        </is>
      </c>
      <c r="G758" t="n">
        <v>1.9</v>
      </c>
      <c r="H758" t="n">
        <v>0</v>
      </c>
      <c r="I758" t="n">
        <v>0</v>
      </c>
      <c r="J758" t="n">
        <v>0</v>
      </c>
      <c r="K758" t="n">
        <v>0</v>
      </c>
      <c r="L758" t="n">
        <v>0</v>
      </c>
      <c r="M758" t="n">
        <v>0</v>
      </c>
      <c r="N758" t="n">
        <v>0</v>
      </c>
      <c r="O758" t="n">
        <v>0</v>
      </c>
      <c r="P758" t="n">
        <v>0</v>
      </c>
      <c r="Q758" t="n">
        <v>0</v>
      </c>
      <c r="R758" s="2" t="inlineStr"/>
    </row>
    <row r="759" ht="15" customHeight="1">
      <c r="A759" t="inlineStr">
        <is>
          <t>A 19096-2019</t>
        </is>
      </c>
      <c r="B759" s="1" t="n">
        <v>43564</v>
      </c>
      <c r="C759" s="1" t="n">
        <v>45736</v>
      </c>
      <c r="D759" t="inlineStr">
        <is>
          <t>VÄRMLANDS LÄN</t>
        </is>
      </c>
      <c r="E759" t="inlineStr">
        <is>
          <t>ARVIKA</t>
        </is>
      </c>
      <c r="G759" t="n">
        <v>5.7</v>
      </c>
      <c r="H759" t="n">
        <v>0</v>
      </c>
      <c r="I759" t="n">
        <v>0</v>
      </c>
      <c r="J759" t="n">
        <v>0</v>
      </c>
      <c r="K759" t="n">
        <v>0</v>
      </c>
      <c r="L759" t="n">
        <v>0</v>
      </c>
      <c r="M759" t="n">
        <v>0</v>
      </c>
      <c r="N759" t="n">
        <v>0</v>
      </c>
      <c r="O759" t="n">
        <v>0</v>
      </c>
      <c r="P759" t="n">
        <v>0</v>
      </c>
      <c r="Q759" t="n">
        <v>0</v>
      </c>
      <c r="R759" s="2" t="inlineStr"/>
    </row>
    <row r="760" ht="15" customHeight="1">
      <c r="A760" t="inlineStr">
        <is>
          <t>A 19120-2019</t>
        </is>
      </c>
      <c r="B760" s="1" t="n">
        <v>43564</v>
      </c>
      <c r="C760" s="1" t="n">
        <v>45736</v>
      </c>
      <c r="D760" t="inlineStr">
        <is>
          <t>VÄRMLANDS LÄN</t>
        </is>
      </c>
      <c r="E760" t="inlineStr">
        <is>
          <t>KARLSTAD</t>
        </is>
      </c>
      <c r="G760" t="n">
        <v>1.5</v>
      </c>
      <c r="H760" t="n">
        <v>0</v>
      </c>
      <c r="I760" t="n">
        <v>0</v>
      </c>
      <c r="J760" t="n">
        <v>0</v>
      </c>
      <c r="K760" t="n">
        <v>0</v>
      </c>
      <c r="L760" t="n">
        <v>0</v>
      </c>
      <c r="M760" t="n">
        <v>0</v>
      </c>
      <c r="N760" t="n">
        <v>0</v>
      </c>
      <c r="O760" t="n">
        <v>0</v>
      </c>
      <c r="P760" t="n">
        <v>0</v>
      </c>
      <c r="Q760" t="n">
        <v>0</v>
      </c>
      <c r="R760" s="2" t="inlineStr"/>
    </row>
    <row r="761" ht="15" customHeight="1">
      <c r="A761" t="inlineStr">
        <is>
          <t>A 19164-2019</t>
        </is>
      </c>
      <c r="B761" s="1" t="n">
        <v>43564</v>
      </c>
      <c r="C761" s="1" t="n">
        <v>45736</v>
      </c>
      <c r="D761" t="inlineStr">
        <is>
          <t>VÄRMLANDS LÄN</t>
        </is>
      </c>
      <c r="E761" t="inlineStr">
        <is>
          <t>ARVIKA</t>
        </is>
      </c>
      <c r="G761" t="n">
        <v>0.2</v>
      </c>
      <c r="H761" t="n">
        <v>0</v>
      </c>
      <c r="I761" t="n">
        <v>0</v>
      </c>
      <c r="J761" t="n">
        <v>0</v>
      </c>
      <c r="K761" t="n">
        <v>0</v>
      </c>
      <c r="L761" t="n">
        <v>0</v>
      </c>
      <c r="M761" t="n">
        <v>0</v>
      </c>
      <c r="N761" t="n">
        <v>0</v>
      </c>
      <c r="O761" t="n">
        <v>0</v>
      </c>
      <c r="P761" t="n">
        <v>0</v>
      </c>
      <c r="Q761" t="n">
        <v>0</v>
      </c>
      <c r="R761" s="2" t="inlineStr"/>
    </row>
    <row r="762" ht="15" customHeight="1">
      <c r="A762" t="inlineStr">
        <is>
          <t>A 19226-2019</t>
        </is>
      </c>
      <c r="B762" s="1" t="n">
        <v>43564</v>
      </c>
      <c r="C762" s="1" t="n">
        <v>45736</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19144-2019</t>
        </is>
      </c>
      <c r="B763" s="1" t="n">
        <v>43564</v>
      </c>
      <c r="C763" s="1" t="n">
        <v>45736</v>
      </c>
      <c r="D763" t="inlineStr">
        <is>
          <t>VÄRMLANDS LÄN</t>
        </is>
      </c>
      <c r="E763" t="inlineStr">
        <is>
          <t>GRUMS</t>
        </is>
      </c>
      <c r="G763" t="n">
        <v>7.9</v>
      </c>
      <c r="H763" t="n">
        <v>0</v>
      </c>
      <c r="I763" t="n">
        <v>0</v>
      </c>
      <c r="J763" t="n">
        <v>0</v>
      </c>
      <c r="K763" t="n">
        <v>0</v>
      </c>
      <c r="L763" t="n">
        <v>0</v>
      </c>
      <c r="M763" t="n">
        <v>0</v>
      </c>
      <c r="N763" t="n">
        <v>0</v>
      </c>
      <c r="O763" t="n">
        <v>0</v>
      </c>
      <c r="P763" t="n">
        <v>0</v>
      </c>
      <c r="Q763" t="n">
        <v>0</v>
      </c>
      <c r="R763" s="2" t="inlineStr"/>
    </row>
    <row r="764" ht="15" customHeight="1">
      <c r="A764" t="inlineStr">
        <is>
          <t>A 19974-2019</t>
        </is>
      </c>
      <c r="B764" s="1" t="n">
        <v>43564</v>
      </c>
      <c r="C764" s="1" t="n">
        <v>45736</v>
      </c>
      <c r="D764" t="inlineStr">
        <is>
          <t>VÄRMLANDS LÄN</t>
        </is>
      </c>
      <c r="E764" t="inlineStr">
        <is>
          <t>TORSBY</t>
        </is>
      </c>
      <c r="G764" t="n">
        <v>5.1</v>
      </c>
      <c r="H764" t="n">
        <v>0</v>
      </c>
      <c r="I764" t="n">
        <v>0</v>
      </c>
      <c r="J764" t="n">
        <v>0</v>
      </c>
      <c r="K764" t="n">
        <v>0</v>
      </c>
      <c r="L764" t="n">
        <v>0</v>
      </c>
      <c r="M764" t="n">
        <v>0</v>
      </c>
      <c r="N764" t="n">
        <v>0</v>
      </c>
      <c r="O764" t="n">
        <v>0</v>
      </c>
      <c r="P764" t="n">
        <v>0</v>
      </c>
      <c r="Q764" t="n">
        <v>0</v>
      </c>
      <c r="R764" s="2" t="inlineStr"/>
    </row>
    <row r="765" ht="15" customHeight="1">
      <c r="A765" t="inlineStr">
        <is>
          <t>A 19173-2019</t>
        </is>
      </c>
      <c r="B765" s="1" t="n">
        <v>43564</v>
      </c>
      <c r="C765" s="1" t="n">
        <v>45736</v>
      </c>
      <c r="D765" t="inlineStr">
        <is>
          <t>VÄRMLANDS LÄN</t>
        </is>
      </c>
      <c r="E765" t="inlineStr">
        <is>
          <t>KIL</t>
        </is>
      </c>
      <c r="G765" t="n">
        <v>0.9</v>
      </c>
      <c r="H765" t="n">
        <v>0</v>
      </c>
      <c r="I765" t="n">
        <v>0</v>
      </c>
      <c r="J765" t="n">
        <v>0</v>
      </c>
      <c r="K765" t="n">
        <v>0</v>
      </c>
      <c r="L765" t="n">
        <v>0</v>
      </c>
      <c r="M765" t="n">
        <v>0</v>
      </c>
      <c r="N765" t="n">
        <v>0</v>
      </c>
      <c r="O765" t="n">
        <v>0</v>
      </c>
      <c r="P765" t="n">
        <v>0</v>
      </c>
      <c r="Q765" t="n">
        <v>0</v>
      </c>
      <c r="R765" s="2" t="inlineStr"/>
    </row>
    <row r="766" ht="15" customHeight="1">
      <c r="A766" t="inlineStr">
        <is>
          <t>A 19133-2019</t>
        </is>
      </c>
      <c r="B766" s="1" t="n">
        <v>43564</v>
      </c>
      <c r="C766" s="1" t="n">
        <v>45736</v>
      </c>
      <c r="D766" t="inlineStr">
        <is>
          <t>VÄRMLANDS LÄN</t>
        </is>
      </c>
      <c r="E766" t="inlineStr">
        <is>
          <t>KARLSTAD</t>
        </is>
      </c>
      <c r="G766" t="n">
        <v>0.7</v>
      </c>
      <c r="H766" t="n">
        <v>0</v>
      </c>
      <c r="I766" t="n">
        <v>0</v>
      </c>
      <c r="J766" t="n">
        <v>0</v>
      </c>
      <c r="K766" t="n">
        <v>0</v>
      </c>
      <c r="L766" t="n">
        <v>0</v>
      </c>
      <c r="M766" t="n">
        <v>0</v>
      </c>
      <c r="N766" t="n">
        <v>0</v>
      </c>
      <c r="O766" t="n">
        <v>0</v>
      </c>
      <c r="P766" t="n">
        <v>0</v>
      </c>
      <c r="Q766" t="n">
        <v>0</v>
      </c>
      <c r="R766" s="2" t="inlineStr"/>
    </row>
    <row r="767" ht="15" customHeight="1">
      <c r="A767" t="inlineStr">
        <is>
          <t>A 19125-2019</t>
        </is>
      </c>
      <c r="B767" s="1" t="n">
        <v>43564</v>
      </c>
      <c r="C767" s="1" t="n">
        <v>45736</v>
      </c>
      <c r="D767" t="inlineStr">
        <is>
          <t>VÄRMLANDS LÄN</t>
        </is>
      </c>
      <c r="E767" t="inlineStr">
        <is>
          <t>TORSBY</t>
        </is>
      </c>
      <c r="G767" t="n">
        <v>18.3</v>
      </c>
      <c r="H767" t="n">
        <v>0</v>
      </c>
      <c r="I767" t="n">
        <v>0</v>
      </c>
      <c r="J767" t="n">
        <v>0</v>
      </c>
      <c r="K767" t="n">
        <v>0</v>
      </c>
      <c r="L767" t="n">
        <v>0</v>
      </c>
      <c r="M767" t="n">
        <v>0</v>
      </c>
      <c r="N767" t="n">
        <v>0</v>
      </c>
      <c r="O767" t="n">
        <v>0</v>
      </c>
      <c r="P767" t="n">
        <v>0</v>
      </c>
      <c r="Q767" t="n">
        <v>0</v>
      </c>
      <c r="R767" s="2" t="inlineStr"/>
    </row>
    <row r="768" ht="15" customHeight="1">
      <c r="A768" t="inlineStr">
        <is>
          <t>A 19402-2019</t>
        </is>
      </c>
      <c r="B768" s="1" t="n">
        <v>43565</v>
      </c>
      <c r="C768" s="1" t="n">
        <v>45736</v>
      </c>
      <c r="D768" t="inlineStr">
        <is>
          <t>VÄRMLANDS LÄN</t>
        </is>
      </c>
      <c r="E768" t="inlineStr">
        <is>
          <t>HAGFORS</t>
        </is>
      </c>
      <c r="G768" t="n">
        <v>1</v>
      </c>
      <c r="H768" t="n">
        <v>0</v>
      </c>
      <c r="I768" t="n">
        <v>0</v>
      </c>
      <c r="J768" t="n">
        <v>0</v>
      </c>
      <c r="K768" t="n">
        <v>0</v>
      </c>
      <c r="L768" t="n">
        <v>0</v>
      </c>
      <c r="M768" t="n">
        <v>0</v>
      </c>
      <c r="N768" t="n">
        <v>0</v>
      </c>
      <c r="O768" t="n">
        <v>0</v>
      </c>
      <c r="P768" t="n">
        <v>0</v>
      </c>
      <c r="Q768" t="n">
        <v>0</v>
      </c>
      <c r="R768" s="2" t="inlineStr"/>
    </row>
    <row r="769" ht="15" customHeight="1">
      <c r="A769" t="inlineStr">
        <is>
          <t>A 19491-2019</t>
        </is>
      </c>
      <c r="B769" s="1" t="n">
        <v>43565</v>
      </c>
      <c r="C769" s="1" t="n">
        <v>45736</v>
      </c>
      <c r="D769" t="inlineStr">
        <is>
          <t>VÄRMLANDS LÄN</t>
        </is>
      </c>
      <c r="E769" t="inlineStr">
        <is>
          <t>FILIPSTAD</t>
        </is>
      </c>
      <c r="G769" t="n">
        <v>1.6</v>
      </c>
      <c r="H769" t="n">
        <v>0</v>
      </c>
      <c r="I769" t="n">
        <v>0</v>
      </c>
      <c r="J769" t="n">
        <v>0</v>
      </c>
      <c r="K769" t="n">
        <v>0</v>
      </c>
      <c r="L769" t="n">
        <v>0</v>
      </c>
      <c r="M769" t="n">
        <v>0</v>
      </c>
      <c r="N769" t="n">
        <v>0</v>
      </c>
      <c r="O769" t="n">
        <v>0</v>
      </c>
      <c r="P769" t="n">
        <v>0</v>
      </c>
      <c r="Q769" t="n">
        <v>0</v>
      </c>
      <c r="R769" s="2" t="inlineStr"/>
    </row>
    <row r="770" ht="15" customHeight="1">
      <c r="A770" t="inlineStr">
        <is>
          <t>A 19412-2019</t>
        </is>
      </c>
      <c r="B770" s="1" t="n">
        <v>43565</v>
      </c>
      <c r="C770" s="1" t="n">
        <v>45736</v>
      </c>
      <c r="D770" t="inlineStr">
        <is>
          <t>VÄRMLANDS LÄN</t>
        </is>
      </c>
      <c r="E770" t="inlineStr">
        <is>
          <t>SUNNE</t>
        </is>
      </c>
      <c r="G770" t="n">
        <v>4.5</v>
      </c>
      <c r="H770" t="n">
        <v>0</v>
      </c>
      <c r="I770" t="n">
        <v>0</v>
      </c>
      <c r="J770" t="n">
        <v>0</v>
      </c>
      <c r="K770" t="n">
        <v>0</v>
      </c>
      <c r="L770" t="n">
        <v>0</v>
      </c>
      <c r="M770" t="n">
        <v>0</v>
      </c>
      <c r="N770" t="n">
        <v>0</v>
      </c>
      <c r="O770" t="n">
        <v>0</v>
      </c>
      <c r="P770" t="n">
        <v>0</v>
      </c>
      <c r="Q770" t="n">
        <v>0</v>
      </c>
      <c r="R770" s="2" t="inlineStr"/>
    </row>
    <row r="771" ht="15" customHeight="1">
      <c r="A771" t="inlineStr">
        <is>
          <t>A 19528-2019</t>
        </is>
      </c>
      <c r="B771" s="1" t="n">
        <v>43565</v>
      </c>
      <c r="C771" s="1" t="n">
        <v>45736</v>
      </c>
      <c r="D771" t="inlineStr">
        <is>
          <t>VÄRMLANDS LÄN</t>
        </is>
      </c>
      <c r="E771" t="inlineStr">
        <is>
          <t>HAGFORS</t>
        </is>
      </c>
      <c r="G771" t="n">
        <v>4.8</v>
      </c>
      <c r="H771" t="n">
        <v>0</v>
      </c>
      <c r="I771" t="n">
        <v>0</v>
      </c>
      <c r="J771" t="n">
        <v>0</v>
      </c>
      <c r="K771" t="n">
        <v>0</v>
      </c>
      <c r="L771" t="n">
        <v>0</v>
      </c>
      <c r="M771" t="n">
        <v>0</v>
      </c>
      <c r="N771" t="n">
        <v>0</v>
      </c>
      <c r="O771" t="n">
        <v>0</v>
      </c>
      <c r="P771" t="n">
        <v>0</v>
      </c>
      <c r="Q771" t="n">
        <v>0</v>
      </c>
      <c r="R771" s="2" t="inlineStr"/>
    </row>
    <row r="772" ht="15" customHeight="1">
      <c r="A772" t="inlineStr">
        <is>
          <t>A 19438-2019</t>
        </is>
      </c>
      <c r="B772" s="1" t="n">
        <v>43565</v>
      </c>
      <c r="C772" s="1" t="n">
        <v>45736</v>
      </c>
      <c r="D772" t="inlineStr">
        <is>
          <t>VÄRMLANDS LÄN</t>
        </is>
      </c>
      <c r="E772" t="inlineStr">
        <is>
          <t>EDA</t>
        </is>
      </c>
      <c r="G772" t="n">
        <v>0.5</v>
      </c>
      <c r="H772" t="n">
        <v>0</v>
      </c>
      <c r="I772" t="n">
        <v>0</v>
      </c>
      <c r="J772" t="n">
        <v>0</v>
      </c>
      <c r="K772" t="n">
        <v>0</v>
      </c>
      <c r="L772" t="n">
        <v>0</v>
      </c>
      <c r="M772" t="n">
        <v>0</v>
      </c>
      <c r="N772" t="n">
        <v>0</v>
      </c>
      <c r="O772" t="n">
        <v>0</v>
      </c>
      <c r="P772" t="n">
        <v>0</v>
      </c>
      <c r="Q772" t="n">
        <v>0</v>
      </c>
      <c r="R772" s="2" t="inlineStr"/>
    </row>
    <row r="773" ht="15" customHeight="1">
      <c r="A773" t="inlineStr">
        <is>
          <t>A 19421-2019</t>
        </is>
      </c>
      <c r="B773" s="1" t="n">
        <v>43565</v>
      </c>
      <c r="C773" s="1" t="n">
        <v>45736</v>
      </c>
      <c r="D773" t="inlineStr">
        <is>
          <t>VÄRMLANDS LÄN</t>
        </is>
      </c>
      <c r="E773" t="inlineStr">
        <is>
          <t>HAGFORS</t>
        </is>
      </c>
      <c r="G773" t="n">
        <v>1.3</v>
      </c>
      <c r="H773" t="n">
        <v>0</v>
      </c>
      <c r="I773" t="n">
        <v>0</v>
      </c>
      <c r="J773" t="n">
        <v>0</v>
      </c>
      <c r="K773" t="n">
        <v>0</v>
      </c>
      <c r="L773" t="n">
        <v>0</v>
      </c>
      <c r="M773" t="n">
        <v>0</v>
      </c>
      <c r="N773" t="n">
        <v>0</v>
      </c>
      <c r="O773" t="n">
        <v>0</v>
      </c>
      <c r="P773" t="n">
        <v>0</v>
      </c>
      <c r="Q773" t="n">
        <v>0</v>
      </c>
      <c r="R773" s="2" t="inlineStr"/>
    </row>
    <row r="774" ht="15" customHeight="1">
      <c r="A774" t="inlineStr">
        <is>
          <t>A 19487-2019</t>
        </is>
      </c>
      <c r="B774" s="1" t="n">
        <v>43565</v>
      </c>
      <c r="C774" s="1" t="n">
        <v>45736</v>
      </c>
      <c r="D774" t="inlineStr">
        <is>
          <t>VÄRMLANDS LÄN</t>
        </is>
      </c>
      <c r="E774" t="inlineStr">
        <is>
          <t>STORFORS</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19507-2019</t>
        </is>
      </c>
      <c r="B775" s="1" t="n">
        <v>43565</v>
      </c>
      <c r="C775" s="1" t="n">
        <v>45736</v>
      </c>
      <c r="D775" t="inlineStr">
        <is>
          <t>VÄRMLANDS LÄN</t>
        </is>
      </c>
      <c r="E775" t="inlineStr">
        <is>
          <t>KRISTINEHAMN</t>
        </is>
      </c>
      <c r="G775" t="n">
        <v>1.5</v>
      </c>
      <c r="H775" t="n">
        <v>0</v>
      </c>
      <c r="I775" t="n">
        <v>0</v>
      </c>
      <c r="J775" t="n">
        <v>0</v>
      </c>
      <c r="K775" t="n">
        <v>0</v>
      </c>
      <c r="L775" t="n">
        <v>0</v>
      </c>
      <c r="M775" t="n">
        <v>0</v>
      </c>
      <c r="N775" t="n">
        <v>0</v>
      </c>
      <c r="O775" t="n">
        <v>0</v>
      </c>
      <c r="P775" t="n">
        <v>0</v>
      </c>
      <c r="Q775" t="n">
        <v>0</v>
      </c>
      <c r="R775" s="2" t="inlineStr"/>
    </row>
    <row r="776" ht="15" customHeight="1">
      <c r="A776" t="inlineStr">
        <is>
          <t>A 19591-2019</t>
        </is>
      </c>
      <c r="B776" s="1" t="n">
        <v>43566</v>
      </c>
      <c r="C776" s="1" t="n">
        <v>45736</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19677-2019</t>
        </is>
      </c>
      <c r="B777" s="1" t="n">
        <v>43566</v>
      </c>
      <c r="C777" s="1" t="n">
        <v>45736</v>
      </c>
      <c r="D777" t="inlineStr">
        <is>
          <t>VÄRMLANDS LÄN</t>
        </is>
      </c>
      <c r="E777" t="inlineStr">
        <is>
          <t>SUNNE</t>
        </is>
      </c>
      <c r="G777" t="n">
        <v>4.2</v>
      </c>
      <c r="H777" t="n">
        <v>0</v>
      </c>
      <c r="I777" t="n">
        <v>0</v>
      </c>
      <c r="J777" t="n">
        <v>0</v>
      </c>
      <c r="K777" t="n">
        <v>0</v>
      </c>
      <c r="L777" t="n">
        <v>0</v>
      </c>
      <c r="M777" t="n">
        <v>0</v>
      </c>
      <c r="N777" t="n">
        <v>0</v>
      </c>
      <c r="O777" t="n">
        <v>0</v>
      </c>
      <c r="P777" t="n">
        <v>0</v>
      </c>
      <c r="Q777" t="n">
        <v>0</v>
      </c>
      <c r="R777" s="2" t="inlineStr"/>
    </row>
    <row r="778" ht="15" customHeight="1">
      <c r="A778" t="inlineStr">
        <is>
          <t>A 19828-2019</t>
        </is>
      </c>
      <c r="B778" s="1" t="n">
        <v>43566</v>
      </c>
      <c r="C778" s="1" t="n">
        <v>45736</v>
      </c>
      <c r="D778" t="inlineStr">
        <is>
          <t>VÄRMLANDS LÄN</t>
        </is>
      </c>
      <c r="E778" t="inlineStr">
        <is>
          <t>FORSHAGA</t>
        </is>
      </c>
      <c r="G778" t="n">
        <v>1.5</v>
      </c>
      <c r="H778" t="n">
        <v>0</v>
      </c>
      <c r="I778" t="n">
        <v>0</v>
      </c>
      <c r="J778" t="n">
        <v>0</v>
      </c>
      <c r="K778" t="n">
        <v>0</v>
      </c>
      <c r="L778" t="n">
        <v>0</v>
      </c>
      <c r="M778" t="n">
        <v>0</v>
      </c>
      <c r="N778" t="n">
        <v>0</v>
      </c>
      <c r="O778" t="n">
        <v>0</v>
      </c>
      <c r="P778" t="n">
        <v>0</v>
      </c>
      <c r="Q778" t="n">
        <v>0</v>
      </c>
      <c r="R778" s="2" t="inlineStr"/>
    </row>
    <row r="779" ht="15" customHeight="1">
      <c r="A779" t="inlineStr">
        <is>
          <t>A 20059-2019</t>
        </is>
      </c>
      <c r="B779" s="1" t="n">
        <v>43566</v>
      </c>
      <c r="C779" s="1" t="n">
        <v>45736</v>
      </c>
      <c r="D779" t="inlineStr">
        <is>
          <t>VÄRMLANDS LÄN</t>
        </is>
      </c>
      <c r="E779" t="inlineStr">
        <is>
          <t>SÄFFLE</t>
        </is>
      </c>
      <c r="G779" t="n">
        <v>2.2</v>
      </c>
      <c r="H779" t="n">
        <v>0</v>
      </c>
      <c r="I779" t="n">
        <v>0</v>
      </c>
      <c r="J779" t="n">
        <v>0</v>
      </c>
      <c r="K779" t="n">
        <v>0</v>
      </c>
      <c r="L779" t="n">
        <v>0</v>
      </c>
      <c r="M779" t="n">
        <v>0</v>
      </c>
      <c r="N779" t="n">
        <v>0</v>
      </c>
      <c r="O779" t="n">
        <v>0</v>
      </c>
      <c r="P779" t="n">
        <v>0</v>
      </c>
      <c r="Q779" t="n">
        <v>0</v>
      </c>
      <c r="R779" s="2" t="inlineStr"/>
    </row>
    <row r="780" ht="15" customHeight="1">
      <c r="A780" t="inlineStr">
        <is>
          <t>A 19782-2019</t>
        </is>
      </c>
      <c r="B780" s="1" t="n">
        <v>43567</v>
      </c>
      <c r="C780" s="1" t="n">
        <v>45736</v>
      </c>
      <c r="D780" t="inlineStr">
        <is>
          <t>VÄRMLANDS LÄN</t>
        </is>
      </c>
      <c r="E780" t="inlineStr">
        <is>
          <t>SUNNE</t>
        </is>
      </c>
      <c r="G780" t="n">
        <v>2.9</v>
      </c>
      <c r="H780" t="n">
        <v>0</v>
      </c>
      <c r="I780" t="n">
        <v>0</v>
      </c>
      <c r="J780" t="n">
        <v>0</v>
      </c>
      <c r="K780" t="n">
        <v>0</v>
      </c>
      <c r="L780" t="n">
        <v>0</v>
      </c>
      <c r="M780" t="n">
        <v>0</v>
      </c>
      <c r="N780" t="n">
        <v>0</v>
      </c>
      <c r="O780" t="n">
        <v>0</v>
      </c>
      <c r="P780" t="n">
        <v>0</v>
      </c>
      <c r="Q780" t="n">
        <v>0</v>
      </c>
      <c r="R780" s="2" t="inlineStr"/>
    </row>
    <row r="781" ht="15" customHeight="1">
      <c r="A781" t="inlineStr">
        <is>
          <t>A 19781-2019</t>
        </is>
      </c>
      <c r="B781" s="1" t="n">
        <v>43567</v>
      </c>
      <c r="C781" s="1" t="n">
        <v>45736</v>
      </c>
      <c r="D781" t="inlineStr">
        <is>
          <t>VÄRMLANDS LÄN</t>
        </is>
      </c>
      <c r="E781" t="inlineStr">
        <is>
          <t>ÅRJÄNG</t>
        </is>
      </c>
      <c r="G781" t="n">
        <v>5.4</v>
      </c>
      <c r="H781" t="n">
        <v>0</v>
      </c>
      <c r="I781" t="n">
        <v>0</v>
      </c>
      <c r="J781" t="n">
        <v>0</v>
      </c>
      <c r="K781" t="n">
        <v>0</v>
      </c>
      <c r="L781" t="n">
        <v>0</v>
      </c>
      <c r="M781" t="n">
        <v>0</v>
      </c>
      <c r="N781" t="n">
        <v>0</v>
      </c>
      <c r="O781" t="n">
        <v>0</v>
      </c>
      <c r="P781" t="n">
        <v>0</v>
      </c>
      <c r="Q781" t="n">
        <v>0</v>
      </c>
      <c r="R781" s="2" t="inlineStr"/>
    </row>
    <row r="782" ht="15" customHeight="1">
      <c r="A782" t="inlineStr">
        <is>
          <t>A 19868-2019</t>
        </is>
      </c>
      <c r="B782" s="1" t="n">
        <v>43567</v>
      </c>
      <c r="C782" s="1" t="n">
        <v>45736</v>
      </c>
      <c r="D782" t="inlineStr">
        <is>
          <t>VÄRMLANDS LÄN</t>
        </is>
      </c>
      <c r="E782" t="inlineStr">
        <is>
          <t>KRISTINEHAMN</t>
        </is>
      </c>
      <c r="G782" t="n">
        <v>1.9</v>
      </c>
      <c r="H782" t="n">
        <v>0</v>
      </c>
      <c r="I782" t="n">
        <v>0</v>
      </c>
      <c r="J782" t="n">
        <v>0</v>
      </c>
      <c r="K782" t="n">
        <v>0</v>
      </c>
      <c r="L782" t="n">
        <v>0</v>
      </c>
      <c r="M782" t="n">
        <v>0</v>
      </c>
      <c r="N782" t="n">
        <v>0</v>
      </c>
      <c r="O782" t="n">
        <v>0</v>
      </c>
      <c r="P782" t="n">
        <v>0</v>
      </c>
      <c r="Q782" t="n">
        <v>0</v>
      </c>
      <c r="R782" s="2" t="inlineStr"/>
    </row>
    <row r="783" ht="15" customHeight="1">
      <c r="A783" t="inlineStr">
        <is>
          <t>A 19746-2019</t>
        </is>
      </c>
      <c r="B783" s="1" t="n">
        <v>43567</v>
      </c>
      <c r="C783" s="1" t="n">
        <v>45736</v>
      </c>
      <c r="D783" t="inlineStr">
        <is>
          <t>VÄRMLANDS LÄN</t>
        </is>
      </c>
      <c r="E783" t="inlineStr">
        <is>
          <t>SUNNE</t>
        </is>
      </c>
      <c r="G783" t="n">
        <v>2.2</v>
      </c>
      <c r="H783" t="n">
        <v>0</v>
      </c>
      <c r="I783" t="n">
        <v>0</v>
      </c>
      <c r="J783" t="n">
        <v>0</v>
      </c>
      <c r="K783" t="n">
        <v>0</v>
      </c>
      <c r="L783" t="n">
        <v>0</v>
      </c>
      <c r="M783" t="n">
        <v>0</v>
      </c>
      <c r="N783" t="n">
        <v>0</v>
      </c>
      <c r="O783" t="n">
        <v>0</v>
      </c>
      <c r="P783" t="n">
        <v>0</v>
      </c>
      <c r="Q783" t="n">
        <v>0</v>
      </c>
      <c r="R783" s="2" t="inlineStr"/>
    </row>
    <row r="784" ht="15" customHeight="1">
      <c r="A784" t="inlineStr">
        <is>
          <t>A 20086-2019</t>
        </is>
      </c>
      <c r="B784" s="1" t="n">
        <v>43567</v>
      </c>
      <c r="C784" s="1" t="n">
        <v>45736</v>
      </c>
      <c r="D784" t="inlineStr">
        <is>
          <t>VÄRMLANDS LÄN</t>
        </is>
      </c>
      <c r="E784" t="inlineStr">
        <is>
          <t>SÄFFLE</t>
        </is>
      </c>
      <c r="G784" t="n">
        <v>1.7</v>
      </c>
      <c r="H784" t="n">
        <v>0</v>
      </c>
      <c r="I784" t="n">
        <v>0</v>
      </c>
      <c r="J784" t="n">
        <v>0</v>
      </c>
      <c r="K784" t="n">
        <v>0</v>
      </c>
      <c r="L784" t="n">
        <v>0</v>
      </c>
      <c r="M784" t="n">
        <v>0</v>
      </c>
      <c r="N784" t="n">
        <v>0</v>
      </c>
      <c r="O784" t="n">
        <v>0</v>
      </c>
      <c r="P784" t="n">
        <v>0</v>
      </c>
      <c r="Q784" t="n">
        <v>0</v>
      </c>
      <c r="R784" s="2" t="inlineStr"/>
    </row>
    <row r="785" ht="15" customHeight="1">
      <c r="A785" t="inlineStr">
        <is>
          <t>A 19748-2019</t>
        </is>
      </c>
      <c r="B785" s="1" t="n">
        <v>43567</v>
      </c>
      <c r="C785" s="1" t="n">
        <v>45736</v>
      </c>
      <c r="D785" t="inlineStr">
        <is>
          <t>VÄRMLANDS LÄN</t>
        </is>
      </c>
      <c r="E785" t="inlineStr">
        <is>
          <t>SUNNE</t>
        </is>
      </c>
      <c r="G785" t="n">
        <v>1.1</v>
      </c>
      <c r="H785" t="n">
        <v>0</v>
      </c>
      <c r="I785" t="n">
        <v>0</v>
      </c>
      <c r="J785" t="n">
        <v>0</v>
      </c>
      <c r="K785" t="n">
        <v>0</v>
      </c>
      <c r="L785" t="n">
        <v>0</v>
      </c>
      <c r="M785" t="n">
        <v>0</v>
      </c>
      <c r="N785" t="n">
        <v>0</v>
      </c>
      <c r="O785" t="n">
        <v>0</v>
      </c>
      <c r="P785" t="n">
        <v>0</v>
      </c>
      <c r="Q785" t="n">
        <v>0</v>
      </c>
      <c r="R785" s="2" t="inlineStr"/>
    </row>
    <row r="786" ht="15" customHeight="1">
      <c r="A786" t="inlineStr">
        <is>
          <t>A 19947-2019</t>
        </is>
      </c>
      <c r="B786" s="1" t="n">
        <v>43569</v>
      </c>
      <c r="C786" s="1" t="n">
        <v>45736</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20047-2019</t>
        </is>
      </c>
      <c r="B787" s="1" t="n">
        <v>43570</v>
      </c>
      <c r="C787" s="1" t="n">
        <v>45736</v>
      </c>
      <c r="D787" t="inlineStr">
        <is>
          <t>VÄRMLANDS LÄN</t>
        </is>
      </c>
      <c r="E787" t="inlineStr">
        <is>
          <t>FILIPSTAD</t>
        </is>
      </c>
      <c r="G787" t="n">
        <v>0.9</v>
      </c>
      <c r="H787" t="n">
        <v>0</v>
      </c>
      <c r="I787" t="n">
        <v>0</v>
      </c>
      <c r="J787" t="n">
        <v>0</v>
      </c>
      <c r="K787" t="n">
        <v>0</v>
      </c>
      <c r="L787" t="n">
        <v>0</v>
      </c>
      <c r="M787" t="n">
        <v>0</v>
      </c>
      <c r="N787" t="n">
        <v>0</v>
      </c>
      <c r="O787" t="n">
        <v>0</v>
      </c>
      <c r="P787" t="n">
        <v>0</v>
      </c>
      <c r="Q787" t="n">
        <v>0</v>
      </c>
      <c r="R787" s="2" t="inlineStr"/>
    </row>
    <row r="788" ht="15" customHeight="1">
      <c r="A788" t="inlineStr">
        <is>
          <t>A 20167-2019</t>
        </is>
      </c>
      <c r="B788" s="1" t="n">
        <v>43570</v>
      </c>
      <c r="C788" s="1" t="n">
        <v>45736</v>
      </c>
      <c r="D788" t="inlineStr">
        <is>
          <t>VÄRMLANDS LÄN</t>
        </is>
      </c>
      <c r="E788" t="inlineStr">
        <is>
          <t>TORSBY</t>
        </is>
      </c>
      <c r="G788" t="n">
        <v>5</v>
      </c>
      <c r="H788" t="n">
        <v>0</v>
      </c>
      <c r="I788" t="n">
        <v>0</v>
      </c>
      <c r="J788" t="n">
        <v>0</v>
      </c>
      <c r="K788" t="n">
        <v>0</v>
      </c>
      <c r="L788" t="n">
        <v>0</v>
      </c>
      <c r="M788" t="n">
        <v>0</v>
      </c>
      <c r="N788" t="n">
        <v>0</v>
      </c>
      <c r="O788" t="n">
        <v>0</v>
      </c>
      <c r="P788" t="n">
        <v>0</v>
      </c>
      <c r="Q788" t="n">
        <v>0</v>
      </c>
      <c r="R788" s="2" t="inlineStr"/>
    </row>
    <row r="789" ht="15" customHeight="1">
      <c r="A789" t="inlineStr">
        <is>
          <t>A 20189-2019</t>
        </is>
      </c>
      <c r="B789" s="1" t="n">
        <v>43570</v>
      </c>
      <c r="C789" s="1" t="n">
        <v>45736</v>
      </c>
      <c r="D789" t="inlineStr">
        <is>
          <t>VÄRMLANDS LÄN</t>
        </is>
      </c>
      <c r="E789" t="inlineStr">
        <is>
          <t>ÅRJÄNG</t>
        </is>
      </c>
      <c r="G789" t="n">
        <v>9</v>
      </c>
      <c r="H789" t="n">
        <v>0</v>
      </c>
      <c r="I789" t="n">
        <v>0</v>
      </c>
      <c r="J789" t="n">
        <v>0</v>
      </c>
      <c r="K789" t="n">
        <v>0</v>
      </c>
      <c r="L789" t="n">
        <v>0</v>
      </c>
      <c r="M789" t="n">
        <v>0</v>
      </c>
      <c r="N789" t="n">
        <v>0</v>
      </c>
      <c r="O789" t="n">
        <v>0</v>
      </c>
      <c r="P789" t="n">
        <v>0</v>
      </c>
      <c r="Q789" t="n">
        <v>0</v>
      </c>
      <c r="R789" s="2" t="inlineStr"/>
    </row>
    <row r="790" ht="15" customHeight="1">
      <c r="A790" t="inlineStr">
        <is>
          <t>A 20190-2019</t>
        </is>
      </c>
      <c r="B790" s="1" t="n">
        <v>43570</v>
      </c>
      <c r="C790" s="1" t="n">
        <v>45736</v>
      </c>
      <c r="D790" t="inlineStr">
        <is>
          <t>VÄRMLANDS LÄN</t>
        </is>
      </c>
      <c r="E790" t="inlineStr">
        <is>
          <t>TORSBY</t>
        </is>
      </c>
      <c r="G790" t="n">
        <v>2.1</v>
      </c>
      <c r="H790" t="n">
        <v>0</v>
      </c>
      <c r="I790" t="n">
        <v>0</v>
      </c>
      <c r="J790" t="n">
        <v>0</v>
      </c>
      <c r="K790" t="n">
        <v>0</v>
      </c>
      <c r="L790" t="n">
        <v>0</v>
      </c>
      <c r="M790" t="n">
        <v>0</v>
      </c>
      <c r="N790" t="n">
        <v>0</v>
      </c>
      <c r="O790" t="n">
        <v>0</v>
      </c>
      <c r="P790" t="n">
        <v>0</v>
      </c>
      <c r="Q790" t="n">
        <v>0</v>
      </c>
      <c r="R790" s="2" t="inlineStr"/>
    </row>
    <row r="791" ht="15" customHeight="1">
      <c r="A791" t="inlineStr">
        <is>
          <t>A 20237-2019</t>
        </is>
      </c>
      <c r="B791" s="1" t="n">
        <v>43570</v>
      </c>
      <c r="C791" s="1" t="n">
        <v>45736</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20301-2019</t>
        </is>
      </c>
      <c r="B792" s="1" t="n">
        <v>43570</v>
      </c>
      <c r="C792" s="1" t="n">
        <v>45736</v>
      </c>
      <c r="D792" t="inlineStr">
        <is>
          <t>VÄRMLANDS LÄN</t>
        </is>
      </c>
      <c r="E792" t="inlineStr">
        <is>
          <t>KARLSTAD</t>
        </is>
      </c>
      <c r="G792" t="n">
        <v>7.5</v>
      </c>
      <c r="H792" t="n">
        <v>0</v>
      </c>
      <c r="I792" t="n">
        <v>0</v>
      </c>
      <c r="J792" t="n">
        <v>0</v>
      </c>
      <c r="K792" t="n">
        <v>0</v>
      </c>
      <c r="L792" t="n">
        <v>0</v>
      </c>
      <c r="M792" t="n">
        <v>0</v>
      </c>
      <c r="N792" t="n">
        <v>0</v>
      </c>
      <c r="O792" t="n">
        <v>0</v>
      </c>
      <c r="P792" t="n">
        <v>0</v>
      </c>
      <c r="Q792" t="n">
        <v>0</v>
      </c>
      <c r="R792" s="2" t="inlineStr"/>
    </row>
    <row r="793" ht="15" customHeight="1">
      <c r="A793" t="inlineStr">
        <is>
          <t>A 20215-2019</t>
        </is>
      </c>
      <c r="B793" s="1" t="n">
        <v>43570</v>
      </c>
      <c r="C793" s="1" t="n">
        <v>45736</v>
      </c>
      <c r="D793" t="inlineStr">
        <is>
          <t>VÄRMLANDS LÄN</t>
        </is>
      </c>
      <c r="E793" t="inlineStr">
        <is>
          <t>EDA</t>
        </is>
      </c>
      <c r="G793" t="n">
        <v>1.5</v>
      </c>
      <c r="H793" t="n">
        <v>0</v>
      </c>
      <c r="I793" t="n">
        <v>0</v>
      </c>
      <c r="J793" t="n">
        <v>0</v>
      </c>
      <c r="K793" t="n">
        <v>0</v>
      </c>
      <c r="L793" t="n">
        <v>0</v>
      </c>
      <c r="M793" t="n">
        <v>0</v>
      </c>
      <c r="N793" t="n">
        <v>0</v>
      </c>
      <c r="O793" t="n">
        <v>0</v>
      </c>
      <c r="P793" t="n">
        <v>0</v>
      </c>
      <c r="Q793" t="n">
        <v>0</v>
      </c>
      <c r="R793" s="2" t="inlineStr"/>
    </row>
    <row r="794" ht="15" customHeight="1">
      <c r="A794" t="inlineStr">
        <is>
          <t>A 20045-2019</t>
        </is>
      </c>
      <c r="B794" s="1" t="n">
        <v>43570</v>
      </c>
      <c r="C794" s="1" t="n">
        <v>45736</v>
      </c>
      <c r="D794" t="inlineStr">
        <is>
          <t>VÄRMLANDS LÄN</t>
        </is>
      </c>
      <c r="E794" t="inlineStr">
        <is>
          <t>FILIPSTAD</t>
        </is>
      </c>
      <c r="G794" t="n">
        <v>4</v>
      </c>
      <c r="H794" t="n">
        <v>0</v>
      </c>
      <c r="I794" t="n">
        <v>0</v>
      </c>
      <c r="J794" t="n">
        <v>0</v>
      </c>
      <c r="K794" t="n">
        <v>0</v>
      </c>
      <c r="L794" t="n">
        <v>0</v>
      </c>
      <c r="M794" t="n">
        <v>0</v>
      </c>
      <c r="N794" t="n">
        <v>0</v>
      </c>
      <c r="O794" t="n">
        <v>0</v>
      </c>
      <c r="P794" t="n">
        <v>0</v>
      </c>
      <c r="Q794" t="n">
        <v>0</v>
      </c>
      <c r="R794" s="2" t="inlineStr"/>
    </row>
    <row r="795" ht="15" customHeight="1">
      <c r="A795" t="inlineStr">
        <is>
          <t>A 20307-2019</t>
        </is>
      </c>
      <c r="B795" s="1" t="n">
        <v>43570</v>
      </c>
      <c r="C795" s="1" t="n">
        <v>45736</v>
      </c>
      <c r="D795" t="inlineStr">
        <is>
          <t>VÄRMLANDS LÄN</t>
        </is>
      </c>
      <c r="E795" t="inlineStr">
        <is>
          <t>SÄFFLE</t>
        </is>
      </c>
      <c r="G795" t="n">
        <v>2.7</v>
      </c>
      <c r="H795" t="n">
        <v>0</v>
      </c>
      <c r="I795" t="n">
        <v>0</v>
      </c>
      <c r="J795" t="n">
        <v>0</v>
      </c>
      <c r="K795" t="n">
        <v>0</v>
      </c>
      <c r="L795" t="n">
        <v>0</v>
      </c>
      <c r="M795" t="n">
        <v>0</v>
      </c>
      <c r="N795" t="n">
        <v>0</v>
      </c>
      <c r="O795" t="n">
        <v>0</v>
      </c>
      <c r="P795" t="n">
        <v>0</v>
      </c>
      <c r="Q795" t="n">
        <v>0</v>
      </c>
      <c r="R795" s="2" t="inlineStr"/>
    </row>
    <row r="796" ht="15" customHeight="1">
      <c r="A796" t="inlineStr">
        <is>
          <t>A 20339-2019</t>
        </is>
      </c>
      <c r="B796" s="1" t="n">
        <v>43570</v>
      </c>
      <c r="C796" s="1" t="n">
        <v>45736</v>
      </c>
      <c r="D796" t="inlineStr">
        <is>
          <t>VÄRMLANDS LÄN</t>
        </is>
      </c>
      <c r="E796" t="inlineStr">
        <is>
          <t>KARLSTAD</t>
        </is>
      </c>
      <c r="G796" t="n">
        <v>3.3</v>
      </c>
      <c r="H796" t="n">
        <v>0</v>
      </c>
      <c r="I796" t="n">
        <v>0</v>
      </c>
      <c r="J796" t="n">
        <v>0</v>
      </c>
      <c r="K796" t="n">
        <v>0</v>
      </c>
      <c r="L796" t="n">
        <v>0</v>
      </c>
      <c r="M796" t="n">
        <v>0</v>
      </c>
      <c r="N796" t="n">
        <v>0</v>
      </c>
      <c r="O796" t="n">
        <v>0</v>
      </c>
      <c r="P796" t="n">
        <v>0</v>
      </c>
      <c r="Q796" t="n">
        <v>0</v>
      </c>
      <c r="R796" s="2" t="inlineStr"/>
    </row>
    <row r="797" ht="15" customHeight="1">
      <c r="A797" t="inlineStr">
        <is>
          <t>A 20275-2019</t>
        </is>
      </c>
      <c r="B797" s="1" t="n">
        <v>43570</v>
      </c>
      <c r="C797" s="1" t="n">
        <v>45736</v>
      </c>
      <c r="D797" t="inlineStr">
        <is>
          <t>VÄRMLANDS LÄN</t>
        </is>
      </c>
      <c r="E797" t="inlineStr">
        <is>
          <t>SÄFFLE</t>
        </is>
      </c>
      <c r="G797" t="n">
        <v>2.2</v>
      </c>
      <c r="H797" t="n">
        <v>0</v>
      </c>
      <c r="I797" t="n">
        <v>0</v>
      </c>
      <c r="J797" t="n">
        <v>0</v>
      </c>
      <c r="K797" t="n">
        <v>0</v>
      </c>
      <c r="L797" t="n">
        <v>0</v>
      </c>
      <c r="M797" t="n">
        <v>0</v>
      </c>
      <c r="N797" t="n">
        <v>0</v>
      </c>
      <c r="O797" t="n">
        <v>0</v>
      </c>
      <c r="P797" t="n">
        <v>0</v>
      </c>
      <c r="Q797" t="n">
        <v>0</v>
      </c>
      <c r="R797" s="2" t="inlineStr"/>
    </row>
    <row r="798" ht="15" customHeight="1">
      <c r="A798" t="inlineStr">
        <is>
          <t>A 20221-2019</t>
        </is>
      </c>
      <c r="B798" s="1" t="n">
        <v>43570</v>
      </c>
      <c r="C798" s="1" t="n">
        <v>45736</v>
      </c>
      <c r="D798" t="inlineStr">
        <is>
          <t>VÄRMLANDS LÄN</t>
        </is>
      </c>
      <c r="E798" t="inlineStr">
        <is>
          <t>EDA</t>
        </is>
      </c>
      <c r="G798" t="n">
        <v>4.3</v>
      </c>
      <c r="H798" t="n">
        <v>0</v>
      </c>
      <c r="I798" t="n">
        <v>0</v>
      </c>
      <c r="J798" t="n">
        <v>0</v>
      </c>
      <c r="K798" t="n">
        <v>0</v>
      </c>
      <c r="L798" t="n">
        <v>0</v>
      </c>
      <c r="M798" t="n">
        <v>0</v>
      </c>
      <c r="N798" t="n">
        <v>0</v>
      </c>
      <c r="O798" t="n">
        <v>0</v>
      </c>
      <c r="P798" t="n">
        <v>0</v>
      </c>
      <c r="Q798" t="n">
        <v>0</v>
      </c>
      <c r="R798" s="2" t="inlineStr"/>
    </row>
    <row r="799" ht="15" customHeight="1">
      <c r="A799" t="inlineStr">
        <is>
          <t>A 20244-2019</t>
        </is>
      </c>
      <c r="B799" s="1" t="n">
        <v>43571</v>
      </c>
      <c r="C799" s="1" t="n">
        <v>45736</v>
      </c>
      <c r="D799" t="inlineStr">
        <is>
          <t>VÄRMLANDS LÄN</t>
        </is>
      </c>
      <c r="E799" t="inlineStr">
        <is>
          <t>TORSBY</t>
        </is>
      </c>
      <c r="F799" t="inlineStr">
        <is>
          <t>Bergvik skog väst AB</t>
        </is>
      </c>
      <c r="G799" t="n">
        <v>1</v>
      </c>
      <c r="H799" t="n">
        <v>0</v>
      </c>
      <c r="I799" t="n">
        <v>0</v>
      </c>
      <c r="J799" t="n">
        <v>0</v>
      </c>
      <c r="K799" t="n">
        <v>0</v>
      </c>
      <c r="L799" t="n">
        <v>0</v>
      </c>
      <c r="M799" t="n">
        <v>0</v>
      </c>
      <c r="N799" t="n">
        <v>0</v>
      </c>
      <c r="O799" t="n">
        <v>0</v>
      </c>
      <c r="P799" t="n">
        <v>0</v>
      </c>
      <c r="Q799" t="n">
        <v>0</v>
      </c>
      <c r="R799" s="2" t="inlineStr"/>
    </row>
    <row r="800" ht="15" customHeight="1">
      <c r="A800" t="inlineStr">
        <is>
          <t>A 20364-2019</t>
        </is>
      </c>
      <c r="B800" s="1" t="n">
        <v>43571</v>
      </c>
      <c r="C800" s="1" t="n">
        <v>45736</v>
      </c>
      <c r="D800" t="inlineStr">
        <is>
          <t>VÄRMLANDS LÄN</t>
        </is>
      </c>
      <c r="E800" t="inlineStr">
        <is>
          <t>ARVIKA</t>
        </is>
      </c>
      <c r="G800" t="n">
        <v>0.7</v>
      </c>
      <c r="H800" t="n">
        <v>0</v>
      </c>
      <c r="I800" t="n">
        <v>0</v>
      </c>
      <c r="J800" t="n">
        <v>0</v>
      </c>
      <c r="K800" t="n">
        <v>0</v>
      </c>
      <c r="L800" t="n">
        <v>0</v>
      </c>
      <c r="M800" t="n">
        <v>0</v>
      </c>
      <c r="N800" t="n">
        <v>0</v>
      </c>
      <c r="O800" t="n">
        <v>0</v>
      </c>
      <c r="P800" t="n">
        <v>0</v>
      </c>
      <c r="Q800" t="n">
        <v>0</v>
      </c>
      <c r="R800" s="2" t="inlineStr"/>
    </row>
    <row r="801" ht="15" customHeight="1">
      <c r="A801" t="inlineStr">
        <is>
          <t>A 20329-2019</t>
        </is>
      </c>
      <c r="B801" s="1" t="n">
        <v>43571</v>
      </c>
      <c r="C801" s="1" t="n">
        <v>45736</v>
      </c>
      <c r="D801" t="inlineStr">
        <is>
          <t>VÄRMLANDS LÄN</t>
        </is>
      </c>
      <c r="E801" t="inlineStr">
        <is>
          <t>ARVIKA</t>
        </is>
      </c>
      <c r="G801" t="n">
        <v>5.8</v>
      </c>
      <c r="H801" t="n">
        <v>0</v>
      </c>
      <c r="I801" t="n">
        <v>0</v>
      </c>
      <c r="J801" t="n">
        <v>0</v>
      </c>
      <c r="K801" t="n">
        <v>0</v>
      </c>
      <c r="L801" t="n">
        <v>0</v>
      </c>
      <c r="M801" t="n">
        <v>0</v>
      </c>
      <c r="N801" t="n">
        <v>0</v>
      </c>
      <c r="O801" t="n">
        <v>0</v>
      </c>
      <c r="P801" t="n">
        <v>0</v>
      </c>
      <c r="Q801" t="n">
        <v>0</v>
      </c>
      <c r="R801" s="2" t="inlineStr"/>
    </row>
    <row r="802" ht="15" customHeight="1">
      <c r="A802" t="inlineStr">
        <is>
          <t>A 20461-2019</t>
        </is>
      </c>
      <c r="B802" s="1" t="n">
        <v>43572</v>
      </c>
      <c r="C802" s="1" t="n">
        <v>45736</v>
      </c>
      <c r="D802" t="inlineStr">
        <is>
          <t>VÄRMLANDS LÄN</t>
        </is>
      </c>
      <c r="E802" t="inlineStr">
        <is>
          <t>KARLSTAD</t>
        </is>
      </c>
      <c r="G802" t="n">
        <v>0.9</v>
      </c>
      <c r="H802" t="n">
        <v>0</v>
      </c>
      <c r="I802" t="n">
        <v>0</v>
      </c>
      <c r="J802" t="n">
        <v>0</v>
      </c>
      <c r="K802" t="n">
        <v>0</v>
      </c>
      <c r="L802" t="n">
        <v>0</v>
      </c>
      <c r="M802" t="n">
        <v>0</v>
      </c>
      <c r="N802" t="n">
        <v>0</v>
      </c>
      <c r="O802" t="n">
        <v>0</v>
      </c>
      <c r="P802" t="n">
        <v>0</v>
      </c>
      <c r="Q802" t="n">
        <v>0</v>
      </c>
      <c r="R802" s="2" t="inlineStr"/>
    </row>
    <row r="803" ht="15" customHeight="1">
      <c r="A803" t="inlineStr">
        <is>
          <t>A 20573-2019</t>
        </is>
      </c>
      <c r="B803" s="1" t="n">
        <v>43572</v>
      </c>
      <c r="C803" s="1" t="n">
        <v>45736</v>
      </c>
      <c r="D803" t="inlineStr">
        <is>
          <t>VÄRMLANDS LÄN</t>
        </is>
      </c>
      <c r="E803" t="inlineStr">
        <is>
          <t>HAGFORS</t>
        </is>
      </c>
      <c r="G803" t="n">
        <v>1.4</v>
      </c>
      <c r="H803" t="n">
        <v>0</v>
      </c>
      <c r="I803" t="n">
        <v>0</v>
      </c>
      <c r="J803" t="n">
        <v>0</v>
      </c>
      <c r="K803" t="n">
        <v>0</v>
      </c>
      <c r="L803" t="n">
        <v>0</v>
      </c>
      <c r="M803" t="n">
        <v>0</v>
      </c>
      <c r="N803" t="n">
        <v>0</v>
      </c>
      <c r="O803" t="n">
        <v>0</v>
      </c>
      <c r="P803" t="n">
        <v>0</v>
      </c>
      <c r="Q803" t="n">
        <v>0</v>
      </c>
      <c r="R803" s="2" t="inlineStr"/>
    </row>
    <row r="804" ht="15" customHeight="1">
      <c r="A804" t="inlineStr">
        <is>
          <t>A 20616-2019</t>
        </is>
      </c>
      <c r="B804" s="1" t="n">
        <v>43572</v>
      </c>
      <c r="C804" s="1" t="n">
        <v>45736</v>
      </c>
      <c r="D804" t="inlineStr">
        <is>
          <t>VÄRMLANDS LÄN</t>
        </is>
      </c>
      <c r="E804" t="inlineStr">
        <is>
          <t>TORSBY</t>
        </is>
      </c>
      <c r="G804" t="n">
        <v>0.4</v>
      </c>
      <c r="H804" t="n">
        <v>0</v>
      </c>
      <c r="I804" t="n">
        <v>0</v>
      </c>
      <c r="J804" t="n">
        <v>0</v>
      </c>
      <c r="K804" t="n">
        <v>0</v>
      </c>
      <c r="L804" t="n">
        <v>0</v>
      </c>
      <c r="M804" t="n">
        <v>0</v>
      </c>
      <c r="N804" t="n">
        <v>0</v>
      </c>
      <c r="O804" t="n">
        <v>0</v>
      </c>
      <c r="P804" t="n">
        <v>0</v>
      </c>
      <c r="Q804" t="n">
        <v>0</v>
      </c>
      <c r="R804" s="2" t="inlineStr"/>
    </row>
    <row r="805" ht="15" customHeight="1">
      <c r="A805" t="inlineStr">
        <is>
          <t>A 20468-2019</t>
        </is>
      </c>
      <c r="B805" s="1" t="n">
        <v>43572</v>
      </c>
      <c r="C805" s="1" t="n">
        <v>45736</v>
      </c>
      <c r="D805" t="inlineStr">
        <is>
          <t>VÄRMLANDS LÄN</t>
        </is>
      </c>
      <c r="E805" t="inlineStr">
        <is>
          <t>TORSBY</t>
        </is>
      </c>
      <c r="G805" t="n">
        <v>2.9</v>
      </c>
      <c r="H805" t="n">
        <v>0</v>
      </c>
      <c r="I805" t="n">
        <v>0</v>
      </c>
      <c r="J805" t="n">
        <v>0</v>
      </c>
      <c r="K805" t="n">
        <v>0</v>
      </c>
      <c r="L805" t="n">
        <v>0</v>
      </c>
      <c r="M805" t="n">
        <v>0</v>
      </c>
      <c r="N805" t="n">
        <v>0</v>
      </c>
      <c r="O805" t="n">
        <v>0</v>
      </c>
      <c r="P805" t="n">
        <v>0</v>
      </c>
      <c r="Q805" t="n">
        <v>0</v>
      </c>
      <c r="R805" s="2" t="inlineStr"/>
    </row>
    <row r="806" ht="15" customHeight="1">
      <c r="A806" t="inlineStr">
        <is>
          <t>A 20451-2019</t>
        </is>
      </c>
      <c r="B806" s="1" t="n">
        <v>43572</v>
      </c>
      <c r="C806" s="1" t="n">
        <v>45736</v>
      </c>
      <c r="D806" t="inlineStr">
        <is>
          <t>VÄRMLANDS LÄN</t>
        </is>
      </c>
      <c r="E806" t="inlineStr">
        <is>
          <t>EDA</t>
        </is>
      </c>
      <c r="G806" t="n">
        <v>1.3</v>
      </c>
      <c r="H806" t="n">
        <v>0</v>
      </c>
      <c r="I806" t="n">
        <v>0</v>
      </c>
      <c r="J806" t="n">
        <v>0</v>
      </c>
      <c r="K806" t="n">
        <v>0</v>
      </c>
      <c r="L806" t="n">
        <v>0</v>
      </c>
      <c r="M806" t="n">
        <v>0</v>
      </c>
      <c r="N806" t="n">
        <v>0</v>
      </c>
      <c r="O806" t="n">
        <v>0</v>
      </c>
      <c r="P806" t="n">
        <v>0</v>
      </c>
      <c r="Q806" t="n">
        <v>0</v>
      </c>
      <c r="R806" s="2" t="inlineStr"/>
    </row>
    <row r="807" ht="15" customHeight="1">
      <c r="A807" t="inlineStr">
        <is>
          <t>A 20610-2019</t>
        </is>
      </c>
      <c r="B807" s="1" t="n">
        <v>43572</v>
      </c>
      <c r="C807" s="1" t="n">
        <v>45736</v>
      </c>
      <c r="D807" t="inlineStr">
        <is>
          <t>VÄRMLANDS LÄN</t>
        </is>
      </c>
      <c r="E807" t="inlineStr">
        <is>
          <t>KARLSTAD</t>
        </is>
      </c>
      <c r="G807" t="n">
        <v>1.6</v>
      </c>
      <c r="H807" t="n">
        <v>0</v>
      </c>
      <c r="I807" t="n">
        <v>0</v>
      </c>
      <c r="J807" t="n">
        <v>0</v>
      </c>
      <c r="K807" t="n">
        <v>0</v>
      </c>
      <c r="L807" t="n">
        <v>0</v>
      </c>
      <c r="M807" t="n">
        <v>0</v>
      </c>
      <c r="N807" t="n">
        <v>0</v>
      </c>
      <c r="O807" t="n">
        <v>0</v>
      </c>
      <c r="P807" t="n">
        <v>0</v>
      </c>
      <c r="Q807" t="n">
        <v>0</v>
      </c>
      <c r="R807" s="2" t="inlineStr"/>
    </row>
    <row r="808" ht="15" customHeight="1">
      <c r="A808" t="inlineStr">
        <is>
          <t>A 20452-2019</t>
        </is>
      </c>
      <c r="B808" s="1" t="n">
        <v>43572</v>
      </c>
      <c r="C808" s="1" t="n">
        <v>45736</v>
      </c>
      <c r="D808" t="inlineStr">
        <is>
          <t>VÄRMLANDS LÄN</t>
        </is>
      </c>
      <c r="E808" t="inlineStr">
        <is>
          <t>EDA</t>
        </is>
      </c>
      <c r="G808" t="n">
        <v>0.7</v>
      </c>
      <c r="H808" t="n">
        <v>0</v>
      </c>
      <c r="I808" t="n">
        <v>0</v>
      </c>
      <c r="J808" t="n">
        <v>0</v>
      </c>
      <c r="K808" t="n">
        <v>0</v>
      </c>
      <c r="L808" t="n">
        <v>0</v>
      </c>
      <c r="M808" t="n">
        <v>0</v>
      </c>
      <c r="N808" t="n">
        <v>0</v>
      </c>
      <c r="O808" t="n">
        <v>0</v>
      </c>
      <c r="P808" t="n">
        <v>0</v>
      </c>
      <c r="Q808" t="n">
        <v>0</v>
      </c>
      <c r="R808" s="2" t="inlineStr"/>
    </row>
    <row r="809" ht="15" customHeight="1">
      <c r="A809" t="inlineStr">
        <is>
          <t>A 20457-2019</t>
        </is>
      </c>
      <c r="B809" s="1" t="n">
        <v>43572</v>
      </c>
      <c r="C809" s="1" t="n">
        <v>45736</v>
      </c>
      <c r="D809" t="inlineStr">
        <is>
          <t>VÄRMLANDS LÄN</t>
        </is>
      </c>
      <c r="E809" t="inlineStr">
        <is>
          <t>EDA</t>
        </is>
      </c>
      <c r="G809" t="n">
        <v>1.7</v>
      </c>
      <c r="H809" t="n">
        <v>0</v>
      </c>
      <c r="I809" t="n">
        <v>0</v>
      </c>
      <c r="J809" t="n">
        <v>0</v>
      </c>
      <c r="K809" t="n">
        <v>0</v>
      </c>
      <c r="L809" t="n">
        <v>0</v>
      </c>
      <c r="M809" t="n">
        <v>0</v>
      </c>
      <c r="N809" t="n">
        <v>0</v>
      </c>
      <c r="O809" t="n">
        <v>0</v>
      </c>
      <c r="P809" t="n">
        <v>0</v>
      </c>
      <c r="Q809" t="n">
        <v>0</v>
      </c>
      <c r="R809" s="2" t="inlineStr"/>
    </row>
    <row r="810" ht="15" customHeight="1">
      <c r="A810" t="inlineStr">
        <is>
          <t>A 20492-2019</t>
        </is>
      </c>
      <c r="B810" s="1" t="n">
        <v>43572</v>
      </c>
      <c r="C810" s="1" t="n">
        <v>45736</v>
      </c>
      <c r="D810" t="inlineStr">
        <is>
          <t>VÄRMLANDS LÄN</t>
        </is>
      </c>
      <c r="E810" t="inlineStr">
        <is>
          <t>SUNNE</t>
        </is>
      </c>
      <c r="G810" t="n">
        <v>0.9</v>
      </c>
      <c r="H810" t="n">
        <v>0</v>
      </c>
      <c r="I810" t="n">
        <v>0</v>
      </c>
      <c r="J810" t="n">
        <v>0</v>
      </c>
      <c r="K810" t="n">
        <v>0</v>
      </c>
      <c r="L810" t="n">
        <v>0</v>
      </c>
      <c r="M810" t="n">
        <v>0</v>
      </c>
      <c r="N810" t="n">
        <v>0</v>
      </c>
      <c r="O810" t="n">
        <v>0</v>
      </c>
      <c r="P810" t="n">
        <v>0</v>
      </c>
      <c r="Q810" t="n">
        <v>0</v>
      </c>
      <c r="R810" s="2" t="inlineStr"/>
    </row>
    <row r="811" ht="15" customHeight="1">
      <c r="A811" t="inlineStr">
        <is>
          <t>A 20753-2019</t>
        </is>
      </c>
      <c r="B811" s="1" t="n">
        <v>43573</v>
      </c>
      <c r="C811" s="1" t="n">
        <v>45736</v>
      </c>
      <c r="D811" t="inlineStr">
        <is>
          <t>VÄRMLANDS LÄN</t>
        </is>
      </c>
      <c r="E811" t="inlineStr">
        <is>
          <t>MUNKFORS</t>
        </is>
      </c>
      <c r="F811" t="inlineStr">
        <is>
          <t>Bergvik skog väst AB</t>
        </is>
      </c>
      <c r="G811" t="n">
        <v>2</v>
      </c>
      <c r="H811" t="n">
        <v>0</v>
      </c>
      <c r="I811" t="n">
        <v>0</v>
      </c>
      <c r="J811" t="n">
        <v>0</v>
      </c>
      <c r="K811" t="n">
        <v>0</v>
      </c>
      <c r="L811" t="n">
        <v>0</v>
      </c>
      <c r="M811" t="n">
        <v>0</v>
      </c>
      <c r="N811" t="n">
        <v>0</v>
      </c>
      <c r="O811" t="n">
        <v>0</v>
      </c>
      <c r="P811" t="n">
        <v>0</v>
      </c>
      <c r="Q811" t="n">
        <v>0</v>
      </c>
      <c r="R811" s="2" t="inlineStr"/>
    </row>
    <row r="812" ht="15" customHeight="1">
      <c r="A812" t="inlineStr">
        <is>
          <t>A 20691-2019</t>
        </is>
      </c>
      <c r="B812" s="1" t="n">
        <v>43573</v>
      </c>
      <c r="C812" s="1" t="n">
        <v>45736</v>
      </c>
      <c r="D812" t="inlineStr">
        <is>
          <t>VÄRMLANDS LÄN</t>
        </is>
      </c>
      <c r="E812" t="inlineStr">
        <is>
          <t>EDA</t>
        </is>
      </c>
      <c r="G812" t="n">
        <v>2.2</v>
      </c>
      <c r="H812" t="n">
        <v>0</v>
      </c>
      <c r="I812" t="n">
        <v>0</v>
      </c>
      <c r="J812" t="n">
        <v>0</v>
      </c>
      <c r="K812" t="n">
        <v>0</v>
      </c>
      <c r="L812" t="n">
        <v>0</v>
      </c>
      <c r="M812" t="n">
        <v>0</v>
      </c>
      <c r="N812" t="n">
        <v>0</v>
      </c>
      <c r="O812" t="n">
        <v>0</v>
      </c>
      <c r="P812" t="n">
        <v>0</v>
      </c>
      <c r="Q812" t="n">
        <v>0</v>
      </c>
      <c r="R812" s="2" t="inlineStr"/>
    </row>
    <row r="813" ht="15" customHeight="1">
      <c r="A813" t="inlineStr">
        <is>
          <t>A 20757-2019</t>
        </is>
      </c>
      <c r="B813" s="1" t="n">
        <v>43573</v>
      </c>
      <c r="C813" s="1" t="n">
        <v>45736</v>
      </c>
      <c r="D813" t="inlineStr">
        <is>
          <t>VÄRMLANDS LÄN</t>
        </is>
      </c>
      <c r="E813" t="inlineStr">
        <is>
          <t>KRISTINEHAMN</t>
        </is>
      </c>
      <c r="G813" t="n">
        <v>1.2</v>
      </c>
      <c r="H813" t="n">
        <v>0</v>
      </c>
      <c r="I813" t="n">
        <v>0</v>
      </c>
      <c r="J813" t="n">
        <v>0</v>
      </c>
      <c r="K813" t="n">
        <v>0</v>
      </c>
      <c r="L813" t="n">
        <v>0</v>
      </c>
      <c r="M813" t="n">
        <v>0</v>
      </c>
      <c r="N813" t="n">
        <v>0</v>
      </c>
      <c r="O813" t="n">
        <v>0</v>
      </c>
      <c r="P813" t="n">
        <v>0</v>
      </c>
      <c r="Q813" t="n">
        <v>0</v>
      </c>
      <c r="R813" s="2" t="inlineStr"/>
    </row>
    <row r="814" ht="15" customHeight="1">
      <c r="A814" t="inlineStr">
        <is>
          <t>A 20772-2019</t>
        </is>
      </c>
      <c r="B814" s="1" t="n">
        <v>43573</v>
      </c>
      <c r="C814" s="1" t="n">
        <v>45736</v>
      </c>
      <c r="D814" t="inlineStr">
        <is>
          <t>VÄRMLANDS LÄN</t>
        </is>
      </c>
      <c r="E814" t="inlineStr">
        <is>
          <t>GRUMS</t>
        </is>
      </c>
      <c r="G814" t="n">
        <v>2.8</v>
      </c>
      <c r="H814" t="n">
        <v>0</v>
      </c>
      <c r="I814" t="n">
        <v>0</v>
      </c>
      <c r="J814" t="n">
        <v>0</v>
      </c>
      <c r="K814" t="n">
        <v>0</v>
      </c>
      <c r="L814" t="n">
        <v>0</v>
      </c>
      <c r="M814" t="n">
        <v>0</v>
      </c>
      <c r="N814" t="n">
        <v>0</v>
      </c>
      <c r="O814" t="n">
        <v>0</v>
      </c>
      <c r="P814" t="n">
        <v>0</v>
      </c>
      <c r="Q814" t="n">
        <v>0</v>
      </c>
      <c r="R814" s="2" t="inlineStr"/>
    </row>
    <row r="815" ht="15" customHeight="1">
      <c r="A815" t="inlineStr">
        <is>
          <t>A 20791-2019</t>
        </is>
      </c>
      <c r="B815" s="1" t="n">
        <v>43573</v>
      </c>
      <c r="C815" s="1" t="n">
        <v>45736</v>
      </c>
      <c r="D815" t="inlineStr">
        <is>
          <t>VÄRMLANDS LÄN</t>
        </is>
      </c>
      <c r="E815" t="inlineStr">
        <is>
          <t>FORSHAGA</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20805-2019</t>
        </is>
      </c>
      <c r="B816" s="1" t="n">
        <v>43573</v>
      </c>
      <c r="C816" s="1" t="n">
        <v>45736</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20807-2019</t>
        </is>
      </c>
      <c r="B817" s="1" t="n">
        <v>43573</v>
      </c>
      <c r="C817" s="1" t="n">
        <v>45736</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20785-2019</t>
        </is>
      </c>
      <c r="B818" s="1" t="n">
        <v>43573</v>
      </c>
      <c r="C818" s="1" t="n">
        <v>45736</v>
      </c>
      <c r="D818" t="inlineStr">
        <is>
          <t>VÄRMLANDS LÄN</t>
        </is>
      </c>
      <c r="E818" t="inlineStr">
        <is>
          <t>KARLSTAD</t>
        </is>
      </c>
      <c r="G818" t="n">
        <v>2.6</v>
      </c>
      <c r="H818" t="n">
        <v>0</v>
      </c>
      <c r="I818" t="n">
        <v>0</v>
      </c>
      <c r="J818" t="n">
        <v>0</v>
      </c>
      <c r="K818" t="n">
        <v>0</v>
      </c>
      <c r="L818" t="n">
        <v>0</v>
      </c>
      <c r="M818" t="n">
        <v>0</v>
      </c>
      <c r="N818" t="n">
        <v>0</v>
      </c>
      <c r="O818" t="n">
        <v>0</v>
      </c>
      <c r="P818" t="n">
        <v>0</v>
      </c>
      <c r="Q818" t="n">
        <v>0</v>
      </c>
      <c r="R818" s="2" t="inlineStr"/>
    </row>
    <row r="819" ht="15" customHeight="1">
      <c r="A819" t="inlineStr">
        <is>
          <t>A 20847-2019</t>
        </is>
      </c>
      <c r="B819" s="1" t="n">
        <v>43577</v>
      </c>
      <c r="C819" s="1" t="n">
        <v>45736</v>
      </c>
      <c r="D819" t="inlineStr">
        <is>
          <t>VÄRMLANDS LÄN</t>
        </is>
      </c>
      <c r="E819" t="inlineStr">
        <is>
          <t>KRISTINEHAMN</t>
        </is>
      </c>
      <c r="G819" t="n">
        <v>9</v>
      </c>
      <c r="H819" t="n">
        <v>0</v>
      </c>
      <c r="I819" t="n">
        <v>0</v>
      </c>
      <c r="J819" t="n">
        <v>0</v>
      </c>
      <c r="K819" t="n">
        <v>0</v>
      </c>
      <c r="L819" t="n">
        <v>0</v>
      </c>
      <c r="M819" t="n">
        <v>0</v>
      </c>
      <c r="N819" t="n">
        <v>0</v>
      </c>
      <c r="O819" t="n">
        <v>0</v>
      </c>
      <c r="P819" t="n">
        <v>0</v>
      </c>
      <c r="Q819" t="n">
        <v>0</v>
      </c>
      <c r="R819" s="2" t="inlineStr"/>
    </row>
    <row r="820" ht="15" customHeight="1">
      <c r="A820" t="inlineStr">
        <is>
          <t>A 20852-2019</t>
        </is>
      </c>
      <c r="B820" s="1" t="n">
        <v>43577</v>
      </c>
      <c r="C820" s="1" t="n">
        <v>45736</v>
      </c>
      <c r="D820" t="inlineStr">
        <is>
          <t>VÄRMLANDS LÄN</t>
        </is>
      </c>
      <c r="E820" t="inlineStr">
        <is>
          <t>KARLSTAD</t>
        </is>
      </c>
      <c r="G820" t="n">
        <v>2.6</v>
      </c>
      <c r="H820" t="n">
        <v>0</v>
      </c>
      <c r="I820" t="n">
        <v>0</v>
      </c>
      <c r="J820" t="n">
        <v>0</v>
      </c>
      <c r="K820" t="n">
        <v>0</v>
      </c>
      <c r="L820" t="n">
        <v>0</v>
      </c>
      <c r="M820" t="n">
        <v>0</v>
      </c>
      <c r="N820" t="n">
        <v>0</v>
      </c>
      <c r="O820" t="n">
        <v>0</v>
      </c>
      <c r="P820" t="n">
        <v>0</v>
      </c>
      <c r="Q820" t="n">
        <v>0</v>
      </c>
      <c r="R820" s="2" t="inlineStr"/>
    </row>
    <row r="821" ht="15" customHeight="1">
      <c r="A821" t="inlineStr">
        <is>
          <t>A 20846-2019</t>
        </is>
      </c>
      <c r="B821" s="1" t="n">
        <v>43577</v>
      </c>
      <c r="C821" s="1" t="n">
        <v>45736</v>
      </c>
      <c r="D821" t="inlineStr">
        <is>
          <t>VÄRMLANDS LÄN</t>
        </is>
      </c>
      <c r="E821" t="inlineStr">
        <is>
          <t>KRISTINEHAMN</t>
        </is>
      </c>
      <c r="G821" t="n">
        <v>10.7</v>
      </c>
      <c r="H821" t="n">
        <v>0</v>
      </c>
      <c r="I821" t="n">
        <v>0</v>
      </c>
      <c r="J821" t="n">
        <v>0</v>
      </c>
      <c r="K821" t="n">
        <v>0</v>
      </c>
      <c r="L821" t="n">
        <v>0</v>
      </c>
      <c r="M821" t="n">
        <v>0</v>
      </c>
      <c r="N821" t="n">
        <v>0</v>
      </c>
      <c r="O821" t="n">
        <v>0</v>
      </c>
      <c r="P821" t="n">
        <v>0</v>
      </c>
      <c r="Q821" t="n">
        <v>0</v>
      </c>
      <c r="R821" s="2" t="inlineStr"/>
    </row>
    <row r="822" ht="15" customHeight="1">
      <c r="A822" t="inlineStr">
        <is>
          <t>A 20866-2019</t>
        </is>
      </c>
      <c r="B822" s="1" t="n">
        <v>43578</v>
      </c>
      <c r="C822" s="1" t="n">
        <v>45736</v>
      </c>
      <c r="D822" t="inlineStr">
        <is>
          <t>VÄRMLANDS LÄN</t>
        </is>
      </c>
      <c r="E822" t="inlineStr">
        <is>
          <t>HAGFORS</t>
        </is>
      </c>
      <c r="G822" t="n">
        <v>1.1</v>
      </c>
      <c r="H822" t="n">
        <v>0</v>
      </c>
      <c r="I822" t="n">
        <v>0</v>
      </c>
      <c r="J822" t="n">
        <v>0</v>
      </c>
      <c r="K822" t="n">
        <v>0</v>
      </c>
      <c r="L822" t="n">
        <v>0</v>
      </c>
      <c r="M822" t="n">
        <v>0</v>
      </c>
      <c r="N822" t="n">
        <v>0</v>
      </c>
      <c r="O822" t="n">
        <v>0</v>
      </c>
      <c r="P822" t="n">
        <v>0</v>
      </c>
      <c r="Q822" t="n">
        <v>0</v>
      </c>
      <c r="R822" s="2" t="inlineStr"/>
    </row>
    <row r="823" ht="15" customHeight="1">
      <c r="A823" t="inlineStr">
        <is>
          <t>A 20927-2019</t>
        </is>
      </c>
      <c r="B823" s="1" t="n">
        <v>43578</v>
      </c>
      <c r="C823" s="1" t="n">
        <v>45736</v>
      </c>
      <c r="D823" t="inlineStr">
        <is>
          <t>VÄRMLANDS LÄN</t>
        </is>
      </c>
      <c r="E823" t="inlineStr">
        <is>
          <t>ARVIKA</t>
        </is>
      </c>
      <c r="G823" t="n">
        <v>3.4</v>
      </c>
      <c r="H823" t="n">
        <v>0</v>
      </c>
      <c r="I823" t="n">
        <v>0</v>
      </c>
      <c r="J823" t="n">
        <v>0</v>
      </c>
      <c r="K823" t="n">
        <v>0</v>
      </c>
      <c r="L823" t="n">
        <v>0</v>
      </c>
      <c r="M823" t="n">
        <v>0</v>
      </c>
      <c r="N823" t="n">
        <v>0</v>
      </c>
      <c r="O823" t="n">
        <v>0</v>
      </c>
      <c r="P823" t="n">
        <v>0</v>
      </c>
      <c r="Q823" t="n">
        <v>0</v>
      </c>
      <c r="R823" s="2" t="inlineStr"/>
    </row>
    <row r="824" ht="15" customHeight="1">
      <c r="A824" t="inlineStr">
        <is>
          <t>A 21002-2019</t>
        </is>
      </c>
      <c r="B824" s="1" t="n">
        <v>43578</v>
      </c>
      <c r="C824" s="1" t="n">
        <v>45736</v>
      </c>
      <c r="D824" t="inlineStr">
        <is>
          <t>VÄRMLANDS LÄN</t>
        </is>
      </c>
      <c r="E824" t="inlineStr">
        <is>
          <t>KIL</t>
        </is>
      </c>
      <c r="G824" t="n">
        <v>5</v>
      </c>
      <c r="H824" t="n">
        <v>0</v>
      </c>
      <c r="I824" t="n">
        <v>0</v>
      </c>
      <c r="J824" t="n">
        <v>0</v>
      </c>
      <c r="K824" t="n">
        <v>0</v>
      </c>
      <c r="L824" t="n">
        <v>0</v>
      </c>
      <c r="M824" t="n">
        <v>0</v>
      </c>
      <c r="N824" t="n">
        <v>0</v>
      </c>
      <c r="O824" t="n">
        <v>0</v>
      </c>
      <c r="P824" t="n">
        <v>0</v>
      </c>
      <c r="Q824" t="n">
        <v>0</v>
      </c>
      <c r="R824" s="2" t="inlineStr"/>
    </row>
    <row r="825" ht="15" customHeight="1">
      <c r="A825" t="inlineStr">
        <is>
          <t>A 20865-2019</t>
        </is>
      </c>
      <c r="B825" s="1" t="n">
        <v>43578</v>
      </c>
      <c r="C825" s="1" t="n">
        <v>45736</v>
      </c>
      <c r="D825" t="inlineStr">
        <is>
          <t>VÄRMLANDS LÄN</t>
        </is>
      </c>
      <c r="E825" t="inlineStr">
        <is>
          <t>SUNNE</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21005-2019</t>
        </is>
      </c>
      <c r="B826" s="1" t="n">
        <v>43578</v>
      </c>
      <c r="C826" s="1" t="n">
        <v>45736</v>
      </c>
      <c r="D826" t="inlineStr">
        <is>
          <t>VÄRMLANDS LÄN</t>
        </is>
      </c>
      <c r="E826" t="inlineStr">
        <is>
          <t>KIL</t>
        </is>
      </c>
      <c r="G826" t="n">
        <v>1.5</v>
      </c>
      <c r="H826" t="n">
        <v>0</v>
      </c>
      <c r="I826" t="n">
        <v>0</v>
      </c>
      <c r="J826" t="n">
        <v>0</v>
      </c>
      <c r="K826" t="n">
        <v>0</v>
      </c>
      <c r="L826" t="n">
        <v>0</v>
      </c>
      <c r="M826" t="n">
        <v>0</v>
      </c>
      <c r="N826" t="n">
        <v>0</v>
      </c>
      <c r="O826" t="n">
        <v>0</v>
      </c>
      <c r="P826" t="n">
        <v>0</v>
      </c>
      <c r="Q826" t="n">
        <v>0</v>
      </c>
      <c r="R826" s="2" t="inlineStr"/>
    </row>
    <row r="827" ht="15" customHeight="1">
      <c r="A827" t="inlineStr">
        <is>
          <t>A 20864-2019</t>
        </is>
      </c>
      <c r="B827" s="1" t="n">
        <v>43578</v>
      </c>
      <c r="C827" s="1" t="n">
        <v>45736</v>
      </c>
      <c r="D827" t="inlineStr">
        <is>
          <t>VÄRMLANDS LÄN</t>
        </is>
      </c>
      <c r="E827" t="inlineStr">
        <is>
          <t>SUNNE</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20862-2019</t>
        </is>
      </c>
      <c r="B828" s="1" t="n">
        <v>43578</v>
      </c>
      <c r="C828" s="1" t="n">
        <v>45736</v>
      </c>
      <c r="D828" t="inlineStr">
        <is>
          <t>VÄRMLANDS LÄN</t>
        </is>
      </c>
      <c r="E828" t="inlineStr">
        <is>
          <t>SUNNE</t>
        </is>
      </c>
      <c r="F828" t="inlineStr">
        <is>
          <t>Övriga Aktiebolag</t>
        </is>
      </c>
      <c r="G828" t="n">
        <v>4.5</v>
      </c>
      <c r="H828" t="n">
        <v>0</v>
      </c>
      <c r="I828" t="n">
        <v>0</v>
      </c>
      <c r="J828" t="n">
        <v>0</v>
      </c>
      <c r="K828" t="n">
        <v>0</v>
      </c>
      <c r="L828" t="n">
        <v>0</v>
      </c>
      <c r="M828" t="n">
        <v>0</v>
      </c>
      <c r="N828" t="n">
        <v>0</v>
      </c>
      <c r="O828" t="n">
        <v>0</v>
      </c>
      <c r="P828" t="n">
        <v>0</v>
      </c>
      <c r="Q828" t="n">
        <v>0</v>
      </c>
      <c r="R828" s="2" t="inlineStr"/>
    </row>
    <row r="829" ht="15" customHeight="1">
      <c r="A829" t="inlineStr">
        <is>
          <t>A 21166-2019</t>
        </is>
      </c>
      <c r="B829" s="1" t="n">
        <v>43578</v>
      </c>
      <c r="C829" s="1" t="n">
        <v>45736</v>
      </c>
      <c r="D829" t="inlineStr">
        <is>
          <t>VÄRMLANDS LÄN</t>
        </is>
      </c>
      <c r="E829" t="inlineStr">
        <is>
          <t>TORSBY</t>
        </is>
      </c>
      <c r="G829" t="n">
        <v>3.4</v>
      </c>
      <c r="H829" t="n">
        <v>0</v>
      </c>
      <c r="I829" t="n">
        <v>0</v>
      </c>
      <c r="J829" t="n">
        <v>0</v>
      </c>
      <c r="K829" t="n">
        <v>0</v>
      </c>
      <c r="L829" t="n">
        <v>0</v>
      </c>
      <c r="M829" t="n">
        <v>0</v>
      </c>
      <c r="N829" t="n">
        <v>0</v>
      </c>
      <c r="O829" t="n">
        <v>0</v>
      </c>
      <c r="P829" t="n">
        <v>0</v>
      </c>
      <c r="Q829" t="n">
        <v>0</v>
      </c>
      <c r="R829" s="2" t="inlineStr"/>
    </row>
    <row r="830" ht="15" customHeight="1">
      <c r="A830" t="inlineStr">
        <is>
          <t>A 21185-2019</t>
        </is>
      </c>
      <c r="B830" s="1" t="n">
        <v>43579</v>
      </c>
      <c r="C830" s="1" t="n">
        <v>45736</v>
      </c>
      <c r="D830" t="inlineStr">
        <is>
          <t>VÄRMLANDS LÄN</t>
        </is>
      </c>
      <c r="E830" t="inlineStr">
        <is>
          <t>FORSHAGA</t>
        </is>
      </c>
      <c r="F830" t="inlineStr">
        <is>
          <t>Bergvik skog väst AB</t>
        </is>
      </c>
      <c r="G830" t="n">
        <v>3.5</v>
      </c>
      <c r="H830" t="n">
        <v>0</v>
      </c>
      <c r="I830" t="n">
        <v>0</v>
      </c>
      <c r="J830" t="n">
        <v>0</v>
      </c>
      <c r="K830" t="n">
        <v>0</v>
      </c>
      <c r="L830" t="n">
        <v>0</v>
      </c>
      <c r="M830" t="n">
        <v>0</v>
      </c>
      <c r="N830" t="n">
        <v>0</v>
      </c>
      <c r="O830" t="n">
        <v>0</v>
      </c>
      <c r="P830" t="n">
        <v>0</v>
      </c>
      <c r="Q830" t="n">
        <v>0</v>
      </c>
      <c r="R830" s="2" t="inlineStr"/>
    </row>
    <row r="831" ht="15" customHeight="1">
      <c r="A831" t="inlineStr">
        <is>
          <t>A 21190-2019</t>
        </is>
      </c>
      <c r="B831" s="1" t="n">
        <v>43579</v>
      </c>
      <c r="C831" s="1" t="n">
        <v>45736</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21301-2019</t>
        </is>
      </c>
      <c r="B832" s="1" t="n">
        <v>43579</v>
      </c>
      <c r="C832" s="1" t="n">
        <v>45736</v>
      </c>
      <c r="D832" t="inlineStr">
        <is>
          <t>VÄRMLANDS LÄN</t>
        </is>
      </c>
      <c r="E832" t="inlineStr">
        <is>
          <t>GRUMS</t>
        </is>
      </c>
      <c r="G832" t="n">
        <v>1.4</v>
      </c>
      <c r="H832" t="n">
        <v>0</v>
      </c>
      <c r="I832" t="n">
        <v>0</v>
      </c>
      <c r="J832" t="n">
        <v>0</v>
      </c>
      <c r="K832" t="n">
        <v>0</v>
      </c>
      <c r="L832" t="n">
        <v>0</v>
      </c>
      <c r="M832" t="n">
        <v>0</v>
      </c>
      <c r="N832" t="n">
        <v>0</v>
      </c>
      <c r="O832" t="n">
        <v>0</v>
      </c>
      <c r="P832" t="n">
        <v>0</v>
      </c>
      <c r="Q832" t="n">
        <v>0</v>
      </c>
      <c r="R832" s="2" t="inlineStr"/>
    </row>
    <row r="833" ht="15" customHeight="1">
      <c r="A833" t="inlineStr">
        <is>
          <t>A 21328-2019</t>
        </is>
      </c>
      <c r="B833" s="1" t="n">
        <v>43579</v>
      </c>
      <c r="C833" s="1" t="n">
        <v>45736</v>
      </c>
      <c r="D833" t="inlineStr">
        <is>
          <t>VÄRMLANDS LÄN</t>
        </is>
      </c>
      <c r="E833" t="inlineStr">
        <is>
          <t>SUNNE</t>
        </is>
      </c>
      <c r="G833" t="n">
        <v>1.3</v>
      </c>
      <c r="H833" t="n">
        <v>0</v>
      </c>
      <c r="I833" t="n">
        <v>0</v>
      </c>
      <c r="J833" t="n">
        <v>0</v>
      </c>
      <c r="K833" t="n">
        <v>0</v>
      </c>
      <c r="L833" t="n">
        <v>0</v>
      </c>
      <c r="M833" t="n">
        <v>0</v>
      </c>
      <c r="N833" t="n">
        <v>0</v>
      </c>
      <c r="O833" t="n">
        <v>0</v>
      </c>
      <c r="P833" t="n">
        <v>0</v>
      </c>
      <c r="Q833" t="n">
        <v>0</v>
      </c>
      <c r="R833" s="2" t="inlineStr"/>
    </row>
    <row r="834" ht="15" customHeight="1">
      <c r="A834" t="inlineStr">
        <is>
          <t>A 21283-2019</t>
        </is>
      </c>
      <c r="B834" s="1" t="n">
        <v>43579</v>
      </c>
      <c r="C834" s="1" t="n">
        <v>45736</v>
      </c>
      <c r="D834" t="inlineStr">
        <is>
          <t>VÄRMLANDS LÄN</t>
        </is>
      </c>
      <c r="E834" t="inlineStr">
        <is>
          <t>FORSHAGA</t>
        </is>
      </c>
      <c r="F834" t="inlineStr">
        <is>
          <t>Bergvik skog väst AB</t>
        </is>
      </c>
      <c r="G834" t="n">
        <v>17.2</v>
      </c>
      <c r="H834" t="n">
        <v>0</v>
      </c>
      <c r="I834" t="n">
        <v>0</v>
      </c>
      <c r="J834" t="n">
        <v>0</v>
      </c>
      <c r="K834" t="n">
        <v>0</v>
      </c>
      <c r="L834" t="n">
        <v>0</v>
      </c>
      <c r="M834" t="n">
        <v>0</v>
      </c>
      <c r="N834" t="n">
        <v>0</v>
      </c>
      <c r="O834" t="n">
        <v>0</v>
      </c>
      <c r="P834" t="n">
        <v>0</v>
      </c>
      <c r="Q834" t="n">
        <v>0</v>
      </c>
      <c r="R834" s="2" t="inlineStr"/>
    </row>
    <row r="835" ht="15" customHeight="1">
      <c r="A835" t="inlineStr">
        <is>
          <t>A 21350-2019</t>
        </is>
      </c>
      <c r="B835" s="1" t="n">
        <v>43579</v>
      </c>
      <c r="C835" s="1" t="n">
        <v>45736</v>
      </c>
      <c r="D835" t="inlineStr">
        <is>
          <t>VÄRMLANDS LÄN</t>
        </is>
      </c>
      <c r="E835" t="inlineStr">
        <is>
          <t>KARLSTAD</t>
        </is>
      </c>
      <c r="G835" t="n">
        <v>8.9</v>
      </c>
      <c r="H835" t="n">
        <v>0</v>
      </c>
      <c r="I835" t="n">
        <v>0</v>
      </c>
      <c r="J835" t="n">
        <v>0</v>
      </c>
      <c r="K835" t="n">
        <v>0</v>
      </c>
      <c r="L835" t="n">
        <v>0</v>
      </c>
      <c r="M835" t="n">
        <v>0</v>
      </c>
      <c r="N835" t="n">
        <v>0</v>
      </c>
      <c r="O835" t="n">
        <v>0</v>
      </c>
      <c r="P835" t="n">
        <v>0</v>
      </c>
      <c r="Q835" t="n">
        <v>0</v>
      </c>
      <c r="R835" s="2" t="inlineStr"/>
    </row>
    <row r="836" ht="15" customHeight="1">
      <c r="A836" t="inlineStr">
        <is>
          <t>A 21326-2019</t>
        </is>
      </c>
      <c r="B836" s="1" t="n">
        <v>43579</v>
      </c>
      <c r="C836" s="1" t="n">
        <v>45736</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21299-2019</t>
        </is>
      </c>
      <c r="B837" s="1" t="n">
        <v>43579</v>
      </c>
      <c r="C837" s="1" t="n">
        <v>45736</v>
      </c>
      <c r="D837" t="inlineStr">
        <is>
          <t>VÄRMLANDS LÄN</t>
        </is>
      </c>
      <c r="E837" t="inlineStr">
        <is>
          <t>ARVIKA</t>
        </is>
      </c>
      <c r="G837" t="n">
        <v>2.8</v>
      </c>
      <c r="H837" t="n">
        <v>0</v>
      </c>
      <c r="I837" t="n">
        <v>0</v>
      </c>
      <c r="J837" t="n">
        <v>0</v>
      </c>
      <c r="K837" t="n">
        <v>0</v>
      </c>
      <c r="L837" t="n">
        <v>0</v>
      </c>
      <c r="M837" t="n">
        <v>0</v>
      </c>
      <c r="N837" t="n">
        <v>0</v>
      </c>
      <c r="O837" t="n">
        <v>0</v>
      </c>
      <c r="P837" t="n">
        <v>0</v>
      </c>
      <c r="Q837" t="n">
        <v>0</v>
      </c>
      <c r="R837" s="2" t="inlineStr"/>
    </row>
    <row r="838" ht="15" customHeight="1">
      <c r="A838" t="inlineStr">
        <is>
          <t>A 21222-2019</t>
        </is>
      </c>
      <c r="B838" s="1" t="n">
        <v>43579</v>
      </c>
      <c r="C838" s="1" t="n">
        <v>45736</v>
      </c>
      <c r="D838" t="inlineStr">
        <is>
          <t>VÄRMLANDS LÄN</t>
        </is>
      </c>
      <c r="E838" t="inlineStr">
        <is>
          <t>FILIPSTAD</t>
        </is>
      </c>
      <c r="F838" t="inlineStr">
        <is>
          <t>Bergvik skog väst AB</t>
        </is>
      </c>
      <c r="G838" t="n">
        <v>10.3</v>
      </c>
      <c r="H838" t="n">
        <v>0</v>
      </c>
      <c r="I838" t="n">
        <v>0</v>
      </c>
      <c r="J838" t="n">
        <v>0</v>
      </c>
      <c r="K838" t="n">
        <v>0</v>
      </c>
      <c r="L838" t="n">
        <v>0</v>
      </c>
      <c r="M838" t="n">
        <v>0</v>
      </c>
      <c r="N838" t="n">
        <v>0</v>
      </c>
      <c r="O838" t="n">
        <v>0</v>
      </c>
      <c r="P838" t="n">
        <v>0</v>
      </c>
      <c r="Q838" t="n">
        <v>0</v>
      </c>
      <c r="R838" s="2" t="inlineStr"/>
    </row>
    <row r="839" ht="15" customHeight="1">
      <c r="A839" t="inlineStr">
        <is>
          <t>A 21196-2019</t>
        </is>
      </c>
      <c r="B839" s="1" t="n">
        <v>43579</v>
      </c>
      <c r="C839" s="1" t="n">
        <v>45736</v>
      </c>
      <c r="D839" t="inlineStr">
        <is>
          <t>VÄRMLANDS LÄN</t>
        </is>
      </c>
      <c r="E839" t="inlineStr">
        <is>
          <t>FORSHAGA</t>
        </is>
      </c>
      <c r="F839" t="inlineStr">
        <is>
          <t>Bergvik skog väst AB</t>
        </is>
      </c>
      <c r="G839" t="n">
        <v>6.3</v>
      </c>
      <c r="H839" t="n">
        <v>0</v>
      </c>
      <c r="I839" t="n">
        <v>0</v>
      </c>
      <c r="J839" t="n">
        <v>0</v>
      </c>
      <c r="K839" t="n">
        <v>0</v>
      </c>
      <c r="L839" t="n">
        <v>0</v>
      </c>
      <c r="M839" t="n">
        <v>0</v>
      </c>
      <c r="N839" t="n">
        <v>0</v>
      </c>
      <c r="O839" t="n">
        <v>0</v>
      </c>
      <c r="P839" t="n">
        <v>0</v>
      </c>
      <c r="Q839" t="n">
        <v>0</v>
      </c>
      <c r="R839" s="2" t="inlineStr"/>
    </row>
    <row r="840" ht="15" customHeight="1">
      <c r="A840" t="inlineStr">
        <is>
          <t>A 21464-2019</t>
        </is>
      </c>
      <c r="B840" s="1" t="n">
        <v>43580</v>
      </c>
      <c r="C840" s="1" t="n">
        <v>45736</v>
      </c>
      <c r="D840" t="inlineStr">
        <is>
          <t>VÄRMLANDS LÄN</t>
        </is>
      </c>
      <c r="E840" t="inlineStr">
        <is>
          <t>FORSHAGA</t>
        </is>
      </c>
      <c r="G840" t="n">
        <v>2.3</v>
      </c>
      <c r="H840" t="n">
        <v>0</v>
      </c>
      <c r="I840" t="n">
        <v>0</v>
      </c>
      <c r="J840" t="n">
        <v>0</v>
      </c>
      <c r="K840" t="n">
        <v>0</v>
      </c>
      <c r="L840" t="n">
        <v>0</v>
      </c>
      <c r="M840" t="n">
        <v>0</v>
      </c>
      <c r="N840" t="n">
        <v>0</v>
      </c>
      <c r="O840" t="n">
        <v>0</v>
      </c>
      <c r="P840" t="n">
        <v>0</v>
      </c>
      <c r="Q840" t="n">
        <v>0</v>
      </c>
      <c r="R840" s="2" t="inlineStr"/>
    </row>
    <row r="841" ht="15" customHeight="1">
      <c r="A841" t="inlineStr">
        <is>
          <t>A 21467-2019</t>
        </is>
      </c>
      <c r="B841" s="1" t="n">
        <v>43580</v>
      </c>
      <c r="C841" s="1" t="n">
        <v>45736</v>
      </c>
      <c r="D841" t="inlineStr">
        <is>
          <t>VÄRMLANDS LÄN</t>
        </is>
      </c>
      <c r="E841" t="inlineStr">
        <is>
          <t>FORSHAGA</t>
        </is>
      </c>
      <c r="G841" t="n">
        <v>5</v>
      </c>
      <c r="H841" t="n">
        <v>0</v>
      </c>
      <c r="I841" t="n">
        <v>0</v>
      </c>
      <c r="J841" t="n">
        <v>0</v>
      </c>
      <c r="K841" t="n">
        <v>0</v>
      </c>
      <c r="L841" t="n">
        <v>0</v>
      </c>
      <c r="M841" t="n">
        <v>0</v>
      </c>
      <c r="N841" t="n">
        <v>0</v>
      </c>
      <c r="O841" t="n">
        <v>0</v>
      </c>
      <c r="P841" t="n">
        <v>0</v>
      </c>
      <c r="Q841" t="n">
        <v>0</v>
      </c>
      <c r="R841" s="2" t="inlineStr"/>
    </row>
    <row r="842" ht="15" customHeight="1">
      <c r="A842" t="inlineStr">
        <is>
          <t>A 21486-2019</t>
        </is>
      </c>
      <c r="B842" s="1" t="n">
        <v>43580</v>
      </c>
      <c r="C842" s="1" t="n">
        <v>45736</v>
      </c>
      <c r="D842" t="inlineStr">
        <is>
          <t>VÄRMLANDS LÄN</t>
        </is>
      </c>
      <c r="E842" t="inlineStr">
        <is>
          <t>KRISTINEHAMN</t>
        </is>
      </c>
      <c r="G842" t="n">
        <v>0.4</v>
      </c>
      <c r="H842" t="n">
        <v>0</v>
      </c>
      <c r="I842" t="n">
        <v>0</v>
      </c>
      <c r="J842" t="n">
        <v>0</v>
      </c>
      <c r="K842" t="n">
        <v>0</v>
      </c>
      <c r="L842" t="n">
        <v>0</v>
      </c>
      <c r="M842" t="n">
        <v>0</v>
      </c>
      <c r="N842" t="n">
        <v>0</v>
      </c>
      <c r="O842" t="n">
        <v>0</v>
      </c>
      <c r="P842" t="n">
        <v>0</v>
      </c>
      <c r="Q842" t="n">
        <v>0</v>
      </c>
      <c r="R842" s="2" t="inlineStr"/>
    </row>
    <row r="843" ht="15" customHeight="1">
      <c r="A843" t="inlineStr">
        <is>
          <t>A 21646-2019</t>
        </is>
      </c>
      <c r="B843" s="1" t="n">
        <v>43580</v>
      </c>
      <c r="C843" s="1" t="n">
        <v>45736</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21573-2019</t>
        </is>
      </c>
      <c r="B844" s="1" t="n">
        <v>43580</v>
      </c>
      <c r="C844" s="1" t="n">
        <v>45736</v>
      </c>
      <c r="D844" t="inlineStr">
        <is>
          <t>VÄRMLANDS LÄN</t>
        </is>
      </c>
      <c r="E844" t="inlineStr">
        <is>
          <t>KARLSTAD</t>
        </is>
      </c>
      <c r="G844" t="n">
        <v>1.2</v>
      </c>
      <c r="H844" t="n">
        <v>0</v>
      </c>
      <c r="I844" t="n">
        <v>0</v>
      </c>
      <c r="J844" t="n">
        <v>0</v>
      </c>
      <c r="K844" t="n">
        <v>0</v>
      </c>
      <c r="L844" t="n">
        <v>0</v>
      </c>
      <c r="M844" t="n">
        <v>0</v>
      </c>
      <c r="N844" t="n">
        <v>0</v>
      </c>
      <c r="O844" t="n">
        <v>0</v>
      </c>
      <c r="P844" t="n">
        <v>0</v>
      </c>
      <c r="Q844" t="n">
        <v>0</v>
      </c>
      <c r="R844" s="2" t="inlineStr"/>
    </row>
    <row r="845" ht="15" customHeight="1">
      <c r="A845" t="inlineStr">
        <is>
          <t>A 21523-2019</t>
        </is>
      </c>
      <c r="B845" s="1" t="n">
        <v>43580</v>
      </c>
      <c r="C845" s="1" t="n">
        <v>45736</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21447-2019</t>
        </is>
      </c>
      <c r="B846" s="1" t="n">
        <v>43580</v>
      </c>
      <c r="C846" s="1" t="n">
        <v>45736</v>
      </c>
      <c r="D846" t="inlineStr">
        <is>
          <t>VÄRMLANDS LÄN</t>
        </is>
      </c>
      <c r="E846" t="inlineStr">
        <is>
          <t>ARVIKA</t>
        </is>
      </c>
      <c r="F846" t="inlineStr">
        <is>
          <t>Bergvik skog väst AB</t>
        </is>
      </c>
      <c r="G846" t="n">
        <v>0.6</v>
      </c>
      <c r="H846" t="n">
        <v>0</v>
      </c>
      <c r="I846" t="n">
        <v>0</v>
      </c>
      <c r="J846" t="n">
        <v>0</v>
      </c>
      <c r="K846" t="n">
        <v>0</v>
      </c>
      <c r="L846" t="n">
        <v>0</v>
      </c>
      <c r="M846" t="n">
        <v>0</v>
      </c>
      <c r="N846" t="n">
        <v>0</v>
      </c>
      <c r="O846" t="n">
        <v>0</v>
      </c>
      <c r="P846" t="n">
        <v>0</v>
      </c>
      <c r="Q846" t="n">
        <v>0</v>
      </c>
      <c r="R846" s="2" t="inlineStr"/>
    </row>
    <row r="847" ht="15" customHeight="1">
      <c r="A847" t="inlineStr">
        <is>
          <t>A 21387-2019</t>
        </is>
      </c>
      <c r="B847" s="1" t="n">
        <v>43580</v>
      </c>
      <c r="C847" s="1" t="n">
        <v>45736</v>
      </c>
      <c r="D847" t="inlineStr">
        <is>
          <t>VÄRMLANDS LÄN</t>
        </is>
      </c>
      <c r="E847" t="inlineStr">
        <is>
          <t>TORSBY</t>
        </is>
      </c>
      <c r="G847" t="n">
        <v>2.4</v>
      </c>
      <c r="H847" t="n">
        <v>0</v>
      </c>
      <c r="I847" t="n">
        <v>0</v>
      </c>
      <c r="J847" t="n">
        <v>0</v>
      </c>
      <c r="K847" t="n">
        <v>0</v>
      </c>
      <c r="L847" t="n">
        <v>0</v>
      </c>
      <c r="M847" t="n">
        <v>0</v>
      </c>
      <c r="N847" t="n">
        <v>0</v>
      </c>
      <c r="O847" t="n">
        <v>0</v>
      </c>
      <c r="P847" t="n">
        <v>0</v>
      </c>
      <c r="Q847" t="n">
        <v>0</v>
      </c>
      <c r="R847" s="2" t="inlineStr"/>
    </row>
    <row r="848" ht="15" customHeight="1">
      <c r="A848" t="inlineStr">
        <is>
          <t>A 21643-2019</t>
        </is>
      </c>
      <c r="B848" s="1" t="n">
        <v>43581</v>
      </c>
      <c r="C848" s="1" t="n">
        <v>45736</v>
      </c>
      <c r="D848" t="inlineStr">
        <is>
          <t>VÄRMLANDS LÄN</t>
        </is>
      </c>
      <c r="E848" t="inlineStr">
        <is>
          <t>SÄFFLE</t>
        </is>
      </c>
      <c r="G848" t="n">
        <v>2.9</v>
      </c>
      <c r="H848" t="n">
        <v>0</v>
      </c>
      <c r="I848" t="n">
        <v>0</v>
      </c>
      <c r="J848" t="n">
        <v>0</v>
      </c>
      <c r="K848" t="n">
        <v>0</v>
      </c>
      <c r="L848" t="n">
        <v>0</v>
      </c>
      <c r="M848" t="n">
        <v>0</v>
      </c>
      <c r="N848" t="n">
        <v>0</v>
      </c>
      <c r="O848" t="n">
        <v>0</v>
      </c>
      <c r="P848" t="n">
        <v>0</v>
      </c>
      <c r="Q848" t="n">
        <v>0</v>
      </c>
      <c r="R848" s="2" t="inlineStr"/>
    </row>
    <row r="849" ht="15" customHeight="1">
      <c r="A849" t="inlineStr">
        <is>
          <t>A 21695-2019</t>
        </is>
      </c>
      <c r="B849" s="1" t="n">
        <v>43581</v>
      </c>
      <c r="C849" s="1" t="n">
        <v>45736</v>
      </c>
      <c r="D849" t="inlineStr">
        <is>
          <t>VÄRMLANDS LÄN</t>
        </is>
      </c>
      <c r="E849" t="inlineStr">
        <is>
          <t>FORSHAGA</t>
        </is>
      </c>
      <c r="G849" t="n">
        <v>0.8</v>
      </c>
      <c r="H849" t="n">
        <v>0</v>
      </c>
      <c r="I849" t="n">
        <v>0</v>
      </c>
      <c r="J849" t="n">
        <v>0</v>
      </c>
      <c r="K849" t="n">
        <v>0</v>
      </c>
      <c r="L849" t="n">
        <v>0</v>
      </c>
      <c r="M849" t="n">
        <v>0</v>
      </c>
      <c r="N849" t="n">
        <v>0</v>
      </c>
      <c r="O849" t="n">
        <v>0</v>
      </c>
      <c r="P849" t="n">
        <v>0</v>
      </c>
      <c r="Q849" t="n">
        <v>0</v>
      </c>
      <c r="R849" s="2" t="inlineStr"/>
    </row>
    <row r="850" ht="15" customHeight="1">
      <c r="A850" t="inlineStr">
        <is>
          <t>A 21723-2019</t>
        </is>
      </c>
      <c r="B850" s="1" t="n">
        <v>43581</v>
      </c>
      <c r="C850" s="1" t="n">
        <v>45736</v>
      </c>
      <c r="D850" t="inlineStr">
        <is>
          <t>VÄRMLANDS LÄN</t>
        </is>
      </c>
      <c r="E850" t="inlineStr">
        <is>
          <t>ÅRJÄNG</t>
        </is>
      </c>
      <c r="F850" t="inlineStr">
        <is>
          <t>Bergvik skog väst AB</t>
        </is>
      </c>
      <c r="G850" t="n">
        <v>5.3</v>
      </c>
      <c r="H850" t="n">
        <v>0</v>
      </c>
      <c r="I850" t="n">
        <v>0</v>
      </c>
      <c r="J850" t="n">
        <v>0</v>
      </c>
      <c r="K850" t="n">
        <v>0</v>
      </c>
      <c r="L850" t="n">
        <v>0</v>
      </c>
      <c r="M850" t="n">
        <v>0</v>
      </c>
      <c r="N850" t="n">
        <v>0</v>
      </c>
      <c r="O850" t="n">
        <v>0</v>
      </c>
      <c r="P850" t="n">
        <v>0</v>
      </c>
      <c r="Q850" t="n">
        <v>0</v>
      </c>
      <c r="R850" s="2" t="inlineStr"/>
    </row>
    <row r="851" ht="15" customHeight="1">
      <c r="A851" t="inlineStr">
        <is>
          <t>A 21724-2019</t>
        </is>
      </c>
      <c r="B851" s="1" t="n">
        <v>43581</v>
      </c>
      <c r="C851" s="1" t="n">
        <v>45736</v>
      </c>
      <c r="D851" t="inlineStr">
        <is>
          <t>VÄRMLANDS LÄN</t>
        </is>
      </c>
      <c r="E851" t="inlineStr">
        <is>
          <t>SUNNE</t>
        </is>
      </c>
      <c r="G851" t="n">
        <v>1.8</v>
      </c>
      <c r="H851" t="n">
        <v>0</v>
      </c>
      <c r="I851" t="n">
        <v>0</v>
      </c>
      <c r="J851" t="n">
        <v>0</v>
      </c>
      <c r="K851" t="n">
        <v>0</v>
      </c>
      <c r="L851" t="n">
        <v>0</v>
      </c>
      <c r="M851" t="n">
        <v>0</v>
      </c>
      <c r="N851" t="n">
        <v>0</v>
      </c>
      <c r="O851" t="n">
        <v>0</v>
      </c>
      <c r="P851" t="n">
        <v>0</v>
      </c>
      <c r="Q851" t="n">
        <v>0</v>
      </c>
      <c r="R851" s="2" t="inlineStr"/>
    </row>
    <row r="852" ht="15" customHeight="1">
      <c r="A852" t="inlineStr">
        <is>
          <t>A 21831-2019</t>
        </is>
      </c>
      <c r="B852" s="1" t="n">
        <v>43581</v>
      </c>
      <c r="C852" s="1" t="n">
        <v>45736</v>
      </c>
      <c r="D852" t="inlineStr">
        <is>
          <t>VÄRMLANDS LÄN</t>
        </is>
      </c>
      <c r="E852" t="inlineStr">
        <is>
          <t>ÅRJÄNG</t>
        </is>
      </c>
      <c r="F852" t="inlineStr">
        <is>
          <t>Kyrkan</t>
        </is>
      </c>
      <c r="G852" t="n">
        <v>0.9</v>
      </c>
      <c r="H852" t="n">
        <v>0</v>
      </c>
      <c r="I852" t="n">
        <v>0</v>
      </c>
      <c r="J852" t="n">
        <v>0</v>
      </c>
      <c r="K852" t="n">
        <v>0</v>
      </c>
      <c r="L852" t="n">
        <v>0</v>
      </c>
      <c r="M852" t="n">
        <v>0</v>
      </c>
      <c r="N852" t="n">
        <v>0</v>
      </c>
      <c r="O852" t="n">
        <v>0</v>
      </c>
      <c r="P852" t="n">
        <v>0</v>
      </c>
      <c r="Q852" t="n">
        <v>0</v>
      </c>
      <c r="R852" s="2" t="inlineStr"/>
    </row>
    <row r="853" ht="15" customHeight="1">
      <c r="A853" t="inlineStr">
        <is>
          <t>A 21802-2019</t>
        </is>
      </c>
      <c r="B853" s="1" t="n">
        <v>43582</v>
      </c>
      <c r="C853" s="1" t="n">
        <v>45736</v>
      </c>
      <c r="D853" t="inlineStr">
        <is>
          <t>VÄRMLANDS LÄN</t>
        </is>
      </c>
      <c r="E853" t="inlineStr">
        <is>
          <t>ARVIKA</t>
        </is>
      </c>
      <c r="G853" t="n">
        <v>12.8</v>
      </c>
      <c r="H853" t="n">
        <v>0</v>
      </c>
      <c r="I853" t="n">
        <v>0</v>
      </c>
      <c r="J853" t="n">
        <v>0</v>
      </c>
      <c r="K853" t="n">
        <v>0</v>
      </c>
      <c r="L853" t="n">
        <v>0</v>
      </c>
      <c r="M853" t="n">
        <v>0</v>
      </c>
      <c r="N853" t="n">
        <v>0</v>
      </c>
      <c r="O853" t="n">
        <v>0</v>
      </c>
      <c r="P853" t="n">
        <v>0</v>
      </c>
      <c r="Q853" t="n">
        <v>0</v>
      </c>
      <c r="R853" s="2" t="inlineStr"/>
    </row>
    <row r="854" ht="15" customHeight="1">
      <c r="A854" t="inlineStr">
        <is>
          <t>A 21804-2019</t>
        </is>
      </c>
      <c r="B854" s="1" t="n">
        <v>43582</v>
      </c>
      <c r="C854" s="1" t="n">
        <v>45736</v>
      </c>
      <c r="D854" t="inlineStr">
        <is>
          <t>VÄRMLANDS LÄN</t>
        </is>
      </c>
      <c r="E854" t="inlineStr">
        <is>
          <t>ARVIKA</t>
        </is>
      </c>
      <c r="G854" t="n">
        <v>6.2</v>
      </c>
      <c r="H854" t="n">
        <v>0</v>
      </c>
      <c r="I854" t="n">
        <v>0</v>
      </c>
      <c r="J854" t="n">
        <v>0</v>
      </c>
      <c r="K854" t="n">
        <v>0</v>
      </c>
      <c r="L854" t="n">
        <v>0</v>
      </c>
      <c r="M854" t="n">
        <v>0</v>
      </c>
      <c r="N854" t="n">
        <v>0</v>
      </c>
      <c r="O854" t="n">
        <v>0</v>
      </c>
      <c r="P854" t="n">
        <v>0</v>
      </c>
      <c r="Q854" t="n">
        <v>0</v>
      </c>
      <c r="R854" s="2" t="inlineStr"/>
    </row>
    <row r="855" ht="15" customHeight="1">
      <c r="A855" t="inlineStr">
        <is>
          <t>A 21939-2019</t>
        </is>
      </c>
      <c r="B855" s="1" t="n">
        <v>43584</v>
      </c>
      <c r="C855" s="1" t="n">
        <v>45736</v>
      </c>
      <c r="D855" t="inlineStr">
        <is>
          <t>VÄRMLANDS LÄN</t>
        </is>
      </c>
      <c r="E855" t="inlineStr">
        <is>
          <t>EDA</t>
        </is>
      </c>
      <c r="G855" t="n">
        <v>2.2</v>
      </c>
      <c r="H855" t="n">
        <v>0</v>
      </c>
      <c r="I855" t="n">
        <v>0</v>
      </c>
      <c r="J855" t="n">
        <v>0</v>
      </c>
      <c r="K855" t="n">
        <v>0</v>
      </c>
      <c r="L855" t="n">
        <v>0</v>
      </c>
      <c r="M855" t="n">
        <v>0</v>
      </c>
      <c r="N855" t="n">
        <v>0</v>
      </c>
      <c r="O855" t="n">
        <v>0</v>
      </c>
      <c r="P855" t="n">
        <v>0</v>
      </c>
      <c r="Q855" t="n">
        <v>0</v>
      </c>
      <c r="R855" s="2" t="inlineStr"/>
    </row>
    <row r="856" ht="15" customHeight="1">
      <c r="A856" t="inlineStr">
        <is>
          <t>A 21899-2019</t>
        </is>
      </c>
      <c r="B856" s="1" t="n">
        <v>43584</v>
      </c>
      <c r="C856" s="1" t="n">
        <v>45736</v>
      </c>
      <c r="D856" t="inlineStr">
        <is>
          <t>VÄRMLANDS LÄN</t>
        </is>
      </c>
      <c r="E856" t="inlineStr">
        <is>
          <t>KARLSTAD</t>
        </is>
      </c>
      <c r="G856" t="n">
        <v>2.2</v>
      </c>
      <c r="H856" t="n">
        <v>0</v>
      </c>
      <c r="I856" t="n">
        <v>0</v>
      </c>
      <c r="J856" t="n">
        <v>0</v>
      </c>
      <c r="K856" t="n">
        <v>0</v>
      </c>
      <c r="L856" t="n">
        <v>0</v>
      </c>
      <c r="M856" t="n">
        <v>0</v>
      </c>
      <c r="N856" t="n">
        <v>0</v>
      </c>
      <c r="O856" t="n">
        <v>0</v>
      </c>
      <c r="P856" t="n">
        <v>0</v>
      </c>
      <c r="Q856" t="n">
        <v>0</v>
      </c>
      <c r="R856" s="2" t="inlineStr"/>
    </row>
    <row r="857" ht="15" customHeight="1">
      <c r="A857" t="inlineStr">
        <is>
          <t>A 21961-2019</t>
        </is>
      </c>
      <c r="B857" s="1" t="n">
        <v>43584</v>
      </c>
      <c r="C857" s="1" t="n">
        <v>45736</v>
      </c>
      <c r="D857" t="inlineStr">
        <is>
          <t>VÄRMLANDS LÄN</t>
        </is>
      </c>
      <c r="E857" t="inlineStr">
        <is>
          <t>SÄFFLE</t>
        </is>
      </c>
      <c r="G857" t="n">
        <v>2.5</v>
      </c>
      <c r="H857" t="n">
        <v>0</v>
      </c>
      <c r="I857" t="n">
        <v>0</v>
      </c>
      <c r="J857" t="n">
        <v>0</v>
      </c>
      <c r="K857" t="n">
        <v>0</v>
      </c>
      <c r="L857" t="n">
        <v>0</v>
      </c>
      <c r="M857" t="n">
        <v>0</v>
      </c>
      <c r="N857" t="n">
        <v>0</v>
      </c>
      <c r="O857" t="n">
        <v>0</v>
      </c>
      <c r="P857" t="n">
        <v>0</v>
      </c>
      <c r="Q857" t="n">
        <v>0</v>
      </c>
      <c r="R857" s="2" t="inlineStr"/>
    </row>
    <row r="858" ht="15" customHeight="1">
      <c r="A858" t="inlineStr">
        <is>
          <t>A 21938-2019</t>
        </is>
      </c>
      <c r="B858" s="1" t="n">
        <v>43584</v>
      </c>
      <c r="C858" s="1" t="n">
        <v>45736</v>
      </c>
      <c r="D858" t="inlineStr">
        <is>
          <t>VÄRMLANDS LÄN</t>
        </is>
      </c>
      <c r="E858" t="inlineStr">
        <is>
          <t>EDA</t>
        </is>
      </c>
      <c r="G858" t="n">
        <v>0.1</v>
      </c>
      <c r="H858" t="n">
        <v>0</v>
      </c>
      <c r="I858" t="n">
        <v>0</v>
      </c>
      <c r="J858" t="n">
        <v>0</v>
      </c>
      <c r="K858" t="n">
        <v>0</v>
      </c>
      <c r="L858" t="n">
        <v>0</v>
      </c>
      <c r="M858" t="n">
        <v>0</v>
      </c>
      <c r="N858" t="n">
        <v>0</v>
      </c>
      <c r="O858" t="n">
        <v>0</v>
      </c>
      <c r="P858" t="n">
        <v>0</v>
      </c>
      <c r="Q858" t="n">
        <v>0</v>
      </c>
      <c r="R858" s="2" t="inlineStr"/>
    </row>
    <row r="859" ht="15" customHeight="1">
      <c r="A859" t="inlineStr">
        <is>
          <t>A 21970-2019</t>
        </is>
      </c>
      <c r="B859" s="1" t="n">
        <v>43584</v>
      </c>
      <c r="C859" s="1" t="n">
        <v>45736</v>
      </c>
      <c r="D859" t="inlineStr">
        <is>
          <t>VÄRMLANDS LÄN</t>
        </is>
      </c>
      <c r="E859" t="inlineStr">
        <is>
          <t>SÄFFLE</t>
        </is>
      </c>
      <c r="G859" t="n">
        <v>1.6</v>
      </c>
      <c r="H859" t="n">
        <v>0</v>
      </c>
      <c r="I859" t="n">
        <v>0</v>
      </c>
      <c r="J859" t="n">
        <v>0</v>
      </c>
      <c r="K859" t="n">
        <v>0</v>
      </c>
      <c r="L859" t="n">
        <v>0</v>
      </c>
      <c r="M859" t="n">
        <v>0</v>
      </c>
      <c r="N859" t="n">
        <v>0</v>
      </c>
      <c r="O859" t="n">
        <v>0</v>
      </c>
      <c r="P859" t="n">
        <v>0</v>
      </c>
      <c r="Q859" t="n">
        <v>0</v>
      </c>
      <c r="R859" s="2" t="inlineStr"/>
    </row>
    <row r="860" ht="15" customHeight="1">
      <c r="A860" t="inlineStr">
        <is>
          <t>A 22079-2019</t>
        </is>
      </c>
      <c r="B860" s="1" t="n">
        <v>43584</v>
      </c>
      <c r="C860" s="1" t="n">
        <v>45736</v>
      </c>
      <c r="D860" t="inlineStr">
        <is>
          <t>VÄRMLANDS LÄN</t>
        </is>
      </c>
      <c r="E860" t="inlineStr">
        <is>
          <t>EDA</t>
        </is>
      </c>
      <c r="G860" t="n">
        <v>0.9</v>
      </c>
      <c r="H860" t="n">
        <v>0</v>
      </c>
      <c r="I860" t="n">
        <v>0</v>
      </c>
      <c r="J860" t="n">
        <v>0</v>
      </c>
      <c r="K860" t="n">
        <v>0</v>
      </c>
      <c r="L860" t="n">
        <v>0</v>
      </c>
      <c r="M860" t="n">
        <v>0</v>
      </c>
      <c r="N860" t="n">
        <v>0</v>
      </c>
      <c r="O860" t="n">
        <v>0</v>
      </c>
      <c r="P860" t="n">
        <v>0</v>
      </c>
      <c r="Q860" t="n">
        <v>0</v>
      </c>
      <c r="R860" s="2" t="inlineStr"/>
    </row>
    <row r="861" ht="15" customHeight="1">
      <c r="A861" t="inlineStr">
        <is>
          <t>A 21974-2019</t>
        </is>
      </c>
      <c r="B861" s="1" t="n">
        <v>43584</v>
      </c>
      <c r="C861" s="1" t="n">
        <v>45736</v>
      </c>
      <c r="D861" t="inlineStr">
        <is>
          <t>VÄRMLANDS LÄN</t>
        </is>
      </c>
      <c r="E861" t="inlineStr">
        <is>
          <t>SÄFFLE</t>
        </is>
      </c>
      <c r="G861" t="n">
        <v>2.7</v>
      </c>
      <c r="H861" t="n">
        <v>0</v>
      </c>
      <c r="I861" t="n">
        <v>0</v>
      </c>
      <c r="J861" t="n">
        <v>0</v>
      </c>
      <c r="K861" t="n">
        <v>0</v>
      </c>
      <c r="L861" t="n">
        <v>0</v>
      </c>
      <c r="M861" t="n">
        <v>0</v>
      </c>
      <c r="N861" t="n">
        <v>0</v>
      </c>
      <c r="O861" t="n">
        <v>0</v>
      </c>
      <c r="P861" t="n">
        <v>0</v>
      </c>
      <c r="Q861" t="n">
        <v>0</v>
      </c>
      <c r="R861" s="2" t="inlineStr"/>
    </row>
    <row r="862" ht="15" customHeight="1">
      <c r="A862" t="inlineStr">
        <is>
          <t>A 22019-2019</t>
        </is>
      </c>
      <c r="B862" s="1" t="n">
        <v>43584</v>
      </c>
      <c r="C862" s="1" t="n">
        <v>45736</v>
      </c>
      <c r="D862" t="inlineStr">
        <is>
          <t>VÄRMLANDS LÄN</t>
        </is>
      </c>
      <c r="E862" t="inlineStr">
        <is>
          <t>SUNNE</t>
        </is>
      </c>
      <c r="G862" t="n">
        <v>2.8</v>
      </c>
      <c r="H862" t="n">
        <v>0</v>
      </c>
      <c r="I862" t="n">
        <v>0</v>
      </c>
      <c r="J862" t="n">
        <v>0</v>
      </c>
      <c r="K862" t="n">
        <v>0</v>
      </c>
      <c r="L862" t="n">
        <v>0</v>
      </c>
      <c r="M862" t="n">
        <v>0</v>
      </c>
      <c r="N862" t="n">
        <v>0</v>
      </c>
      <c r="O862" t="n">
        <v>0</v>
      </c>
      <c r="P862" t="n">
        <v>0</v>
      </c>
      <c r="Q862" t="n">
        <v>0</v>
      </c>
      <c r="R862" s="2" t="inlineStr"/>
    </row>
    <row r="863" ht="15" customHeight="1">
      <c r="A863" t="inlineStr">
        <is>
          <t>A 21965-2019</t>
        </is>
      </c>
      <c r="B863" s="1" t="n">
        <v>43584</v>
      </c>
      <c r="C863" s="1" t="n">
        <v>45736</v>
      </c>
      <c r="D863" t="inlineStr">
        <is>
          <t>VÄRMLANDS LÄN</t>
        </is>
      </c>
      <c r="E863" t="inlineStr">
        <is>
          <t>SÄFFLE</t>
        </is>
      </c>
      <c r="G863" t="n">
        <v>3.5</v>
      </c>
      <c r="H863" t="n">
        <v>0</v>
      </c>
      <c r="I863" t="n">
        <v>0</v>
      </c>
      <c r="J863" t="n">
        <v>0</v>
      </c>
      <c r="K863" t="n">
        <v>0</v>
      </c>
      <c r="L863" t="n">
        <v>0</v>
      </c>
      <c r="M863" t="n">
        <v>0</v>
      </c>
      <c r="N863" t="n">
        <v>0</v>
      </c>
      <c r="O863" t="n">
        <v>0</v>
      </c>
      <c r="P863" t="n">
        <v>0</v>
      </c>
      <c r="Q863" t="n">
        <v>0</v>
      </c>
      <c r="R863" s="2" t="inlineStr"/>
    </row>
    <row r="864" ht="15" customHeight="1">
      <c r="A864" t="inlineStr">
        <is>
          <t>A 21871-2019</t>
        </is>
      </c>
      <c r="B864" s="1" t="n">
        <v>43584</v>
      </c>
      <c r="C864" s="1" t="n">
        <v>45736</v>
      </c>
      <c r="D864" t="inlineStr">
        <is>
          <t>VÄRMLANDS LÄN</t>
        </is>
      </c>
      <c r="E864" t="inlineStr">
        <is>
          <t>EDA</t>
        </is>
      </c>
      <c r="F864" t="inlineStr">
        <is>
          <t>Bergvik skog väst AB</t>
        </is>
      </c>
      <c r="G864" t="n">
        <v>5.7</v>
      </c>
      <c r="H864" t="n">
        <v>0</v>
      </c>
      <c r="I864" t="n">
        <v>0</v>
      </c>
      <c r="J864" t="n">
        <v>0</v>
      </c>
      <c r="K864" t="n">
        <v>0</v>
      </c>
      <c r="L864" t="n">
        <v>0</v>
      </c>
      <c r="M864" t="n">
        <v>0</v>
      </c>
      <c r="N864" t="n">
        <v>0</v>
      </c>
      <c r="O864" t="n">
        <v>0</v>
      </c>
      <c r="P864" t="n">
        <v>0</v>
      </c>
      <c r="Q864" t="n">
        <v>0</v>
      </c>
      <c r="R864" s="2" t="inlineStr"/>
    </row>
    <row r="865" ht="15" customHeight="1">
      <c r="A865" t="inlineStr">
        <is>
          <t>A 21958-2019</t>
        </is>
      </c>
      <c r="B865" s="1" t="n">
        <v>43584</v>
      </c>
      <c r="C865" s="1" t="n">
        <v>45736</v>
      </c>
      <c r="D865" t="inlineStr">
        <is>
          <t>VÄRMLANDS LÄN</t>
        </is>
      </c>
      <c r="E865" t="inlineStr">
        <is>
          <t>TORSBY</t>
        </is>
      </c>
      <c r="G865" t="n">
        <v>3.5</v>
      </c>
      <c r="H865" t="n">
        <v>0</v>
      </c>
      <c r="I865" t="n">
        <v>0</v>
      </c>
      <c r="J865" t="n">
        <v>0</v>
      </c>
      <c r="K865" t="n">
        <v>0</v>
      </c>
      <c r="L865" t="n">
        <v>0</v>
      </c>
      <c r="M865" t="n">
        <v>0</v>
      </c>
      <c r="N865" t="n">
        <v>0</v>
      </c>
      <c r="O865" t="n">
        <v>0</v>
      </c>
      <c r="P865" t="n">
        <v>0</v>
      </c>
      <c r="Q865" t="n">
        <v>0</v>
      </c>
      <c r="R865" s="2" t="inlineStr"/>
    </row>
    <row r="866" ht="15" customHeight="1">
      <c r="A866" t="inlineStr">
        <is>
          <t>A 22116-2019</t>
        </is>
      </c>
      <c r="B866" s="1" t="n">
        <v>43585</v>
      </c>
      <c r="C866" s="1" t="n">
        <v>45736</v>
      </c>
      <c r="D866" t="inlineStr">
        <is>
          <t>VÄRMLANDS LÄN</t>
        </is>
      </c>
      <c r="E866" t="inlineStr">
        <is>
          <t>ÅRJÄNG</t>
        </is>
      </c>
      <c r="G866" t="n">
        <v>1.4</v>
      </c>
      <c r="H866" t="n">
        <v>0</v>
      </c>
      <c r="I866" t="n">
        <v>0</v>
      </c>
      <c r="J866" t="n">
        <v>0</v>
      </c>
      <c r="K866" t="n">
        <v>0</v>
      </c>
      <c r="L866" t="n">
        <v>0</v>
      </c>
      <c r="M866" t="n">
        <v>0</v>
      </c>
      <c r="N866" t="n">
        <v>0</v>
      </c>
      <c r="O866" t="n">
        <v>0</v>
      </c>
      <c r="P866" t="n">
        <v>0</v>
      </c>
      <c r="Q866" t="n">
        <v>0</v>
      </c>
      <c r="R866" s="2" t="inlineStr"/>
    </row>
    <row r="867" ht="15" customHeight="1">
      <c r="A867" t="inlineStr">
        <is>
          <t>A 22194-2019</t>
        </is>
      </c>
      <c r="B867" s="1" t="n">
        <v>43585</v>
      </c>
      <c r="C867" s="1" t="n">
        <v>45736</v>
      </c>
      <c r="D867" t="inlineStr">
        <is>
          <t>VÄRMLANDS LÄN</t>
        </is>
      </c>
      <c r="E867" t="inlineStr">
        <is>
          <t>HAGFORS</t>
        </is>
      </c>
      <c r="G867" t="n">
        <v>6.5</v>
      </c>
      <c r="H867" t="n">
        <v>0</v>
      </c>
      <c r="I867" t="n">
        <v>0</v>
      </c>
      <c r="J867" t="n">
        <v>0</v>
      </c>
      <c r="K867" t="n">
        <v>0</v>
      </c>
      <c r="L867" t="n">
        <v>0</v>
      </c>
      <c r="M867" t="n">
        <v>0</v>
      </c>
      <c r="N867" t="n">
        <v>0</v>
      </c>
      <c r="O867" t="n">
        <v>0</v>
      </c>
      <c r="P867" t="n">
        <v>0</v>
      </c>
      <c r="Q867" t="n">
        <v>0</v>
      </c>
      <c r="R867" s="2" t="inlineStr"/>
    </row>
    <row r="868" ht="15" customHeight="1">
      <c r="A868" t="inlineStr">
        <is>
          <t>A 22265-2019</t>
        </is>
      </c>
      <c r="B868" s="1" t="n">
        <v>43585</v>
      </c>
      <c r="C868" s="1" t="n">
        <v>45736</v>
      </c>
      <c r="D868" t="inlineStr">
        <is>
          <t>VÄRMLANDS LÄN</t>
        </is>
      </c>
      <c r="E868" t="inlineStr">
        <is>
          <t>SUNNE</t>
        </is>
      </c>
      <c r="G868" t="n">
        <v>0.9</v>
      </c>
      <c r="H868" t="n">
        <v>0</v>
      </c>
      <c r="I868" t="n">
        <v>0</v>
      </c>
      <c r="J868" t="n">
        <v>0</v>
      </c>
      <c r="K868" t="n">
        <v>0</v>
      </c>
      <c r="L868" t="n">
        <v>0</v>
      </c>
      <c r="M868" t="n">
        <v>0</v>
      </c>
      <c r="N868" t="n">
        <v>0</v>
      </c>
      <c r="O868" t="n">
        <v>0</v>
      </c>
      <c r="P868" t="n">
        <v>0</v>
      </c>
      <c r="Q868" t="n">
        <v>0</v>
      </c>
      <c r="R868" s="2" t="inlineStr"/>
    </row>
    <row r="869" ht="15" customHeight="1">
      <c r="A869" t="inlineStr">
        <is>
          <t>A 22259-2019</t>
        </is>
      </c>
      <c r="B869" s="1" t="n">
        <v>43585</v>
      </c>
      <c r="C869" s="1" t="n">
        <v>45736</v>
      </c>
      <c r="D869" t="inlineStr">
        <is>
          <t>VÄRMLANDS LÄN</t>
        </is>
      </c>
      <c r="E869" t="inlineStr">
        <is>
          <t>SUNNE</t>
        </is>
      </c>
      <c r="G869" t="n">
        <v>0.7</v>
      </c>
      <c r="H869" t="n">
        <v>0</v>
      </c>
      <c r="I869" t="n">
        <v>0</v>
      </c>
      <c r="J869" t="n">
        <v>0</v>
      </c>
      <c r="K869" t="n">
        <v>0</v>
      </c>
      <c r="L869" t="n">
        <v>0</v>
      </c>
      <c r="M869" t="n">
        <v>0</v>
      </c>
      <c r="N869" t="n">
        <v>0</v>
      </c>
      <c r="O869" t="n">
        <v>0</v>
      </c>
      <c r="P869" t="n">
        <v>0</v>
      </c>
      <c r="Q869" t="n">
        <v>0</v>
      </c>
      <c r="R869" s="2" t="inlineStr"/>
    </row>
    <row r="870" ht="15" customHeight="1">
      <c r="A870" t="inlineStr">
        <is>
          <t>A 22261-2019</t>
        </is>
      </c>
      <c r="B870" s="1" t="n">
        <v>43585</v>
      </c>
      <c r="C870" s="1" t="n">
        <v>45736</v>
      </c>
      <c r="D870" t="inlineStr">
        <is>
          <t>VÄRMLANDS LÄN</t>
        </is>
      </c>
      <c r="E870" t="inlineStr">
        <is>
          <t>SUNNE</t>
        </is>
      </c>
      <c r="G870" t="n">
        <v>0.7</v>
      </c>
      <c r="H870" t="n">
        <v>0</v>
      </c>
      <c r="I870" t="n">
        <v>0</v>
      </c>
      <c r="J870" t="n">
        <v>0</v>
      </c>
      <c r="K870" t="n">
        <v>0</v>
      </c>
      <c r="L870" t="n">
        <v>0</v>
      </c>
      <c r="M870" t="n">
        <v>0</v>
      </c>
      <c r="N870" t="n">
        <v>0</v>
      </c>
      <c r="O870" t="n">
        <v>0</v>
      </c>
      <c r="P870" t="n">
        <v>0</v>
      </c>
      <c r="Q870" t="n">
        <v>0</v>
      </c>
      <c r="R870" s="2" t="inlineStr"/>
    </row>
    <row r="871" ht="15" customHeight="1">
      <c r="A871" t="inlineStr">
        <is>
          <t>A 22252-2019</t>
        </is>
      </c>
      <c r="B871" s="1" t="n">
        <v>43585</v>
      </c>
      <c r="C871" s="1" t="n">
        <v>45736</v>
      </c>
      <c r="D871" t="inlineStr">
        <is>
          <t>VÄRMLANDS LÄN</t>
        </is>
      </c>
      <c r="E871" t="inlineStr">
        <is>
          <t>TORSBY</t>
        </is>
      </c>
      <c r="G871" t="n">
        <v>3.7</v>
      </c>
      <c r="H871" t="n">
        <v>0</v>
      </c>
      <c r="I871" t="n">
        <v>0</v>
      </c>
      <c r="J871" t="n">
        <v>0</v>
      </c>
      <c r="K871" t="n">
        <v>0</v>
      </c>
      <c r="L871" t="n">
        <v>0</v>
      </c>
      <c r="M871" t="n">
        <v>0</v>
      </c>
      <c r="N871" t="n">
        <v>0</v>
      </c>
      <c r="O871" t="n">
        <v>0</v>
      </c>
      <c r="P871" t="n">
        <v>0</v>
      </c>
      <c r="Q871" t="n">
        <v>0</v>
      </c>
      <c r="R871" s="2" t="inlineStr"/>
    </row>
    <row r="872" ht="15" customHeight="1">
      <c r="A872" t="inlineStr">
        <is>
          <t>A 22173-2019</t>
        </is>
      </c>
      <c r="B872" s="1" t="n">
        <v>43585</v>
      </c>
      <c r="C872" s="1" t="n">
        <v>45736</v>
      </c>
      <c r="D872" t="inlineStr">
        <is>
          <t>VÄRMLANDS LÄN</t>
        </is>
      </c>
      <c r="E872" t="inlineStr">
        <is>
          <t>ÅRJÄNG</t>
        </is>
      </c>
      <c r="G872" t="n">
        <v>3.5</v>
      </c>
      <c r="H872" t="n">
        <v>0</v>
      </c>
      <c r="I872" t="n">
        <v>0</v>
      </c>
      <c r="J872" t="n">
        <v>0</v>
      </c>
      <c r="K872" t="n">
        <v>0</v>
      </c>
      <c r="L872" t="n">
        <v>0</v>
      </c>
      <c r="M872" t="n">
        <v>0</v>
      </c>
      <c r="N872" t="n">
        <v>0</v>
      </c>
      <c r="O872" t="n">
        <v>0</v>
      </c>
      <c r="P872" t="n">
        <v>0</v>
      </c>
      <c r="Q872" t="n">
        <v>0</v>
      </c>
      <c r="R872" s="2" t="inlineStr"/>
    </row>
    <row r="873" ht="15" customHeight="1">
      <c r="A873" t="inlineStr">
        <is>
          <t>A 22230-2019</t>
        </is>
      </c>
      <c r="B873" s="1" t="n">
        <v>43585</v>
      </c>
      <c r="C873" s="1" t="n">
        <v>45736</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22204-2019</t>
        </is>
      </c>
      <c r="B874" s="1" t="n">
        <v>43585</v>
      </c>
      <c r="C874" s="1" t="n">
        <v>45736</v>
      </c>
      <c r="D874" t="inlineStr">
        <is>
          <t>VÄRMLANDS LÄN</t>
        </is>
      </c>
      <c r="E874" t="inlineStr">
        <is>
          <t>HAGFORS</t>
        </is>
      </c>
      <c r="G874" t="n">
        <v>1.5</v>
      </c>
      <c r="H874" t="n">
        <v>0</v>
      </c>
      <c r="I874" t="n">
        <v>0</v>
      </c>
      <c r="J874" t="n">
        <v>0</v>
      </c>
      <c r="K874" t="n">
        <v>0</v>
      </c>
      <c r="L874" t="n">
        <v>0</v>
      </c>
      <c r="M874" t="n">
        <v>0</v>
      </c>
      <c r="N874" t="n">
        <v>0</v>
      </c>
      <c r="O874" t="n">
        <v>0</v>
      </c>
      <c r="P874" t="n">
        <v>0</v>
      </c>
      <c r="Q874" t="n">
        <v>0</v>
      </c>
      <c r="R874" s="2" t="inlineStr"/>
    </row>
    <row r="875" ht="15" customHeight="1">
      <c r="A875" t="inlineStr">
        <is>
          <t>A 22158-2019</t>
        </is>
      </c>
      <c r="B875" s="1" t="n">
        <v>43585</v>
      </c>
      <c r="C875" s="1" t="n">
        <v>45736</v>
      </c>
      <c r="D875" t="inlineStr">
        <is>
          <t>VÄRMLANDS LÄN</t>
        </is>
      </c>
      <c r="E875" t="inlineStr">
        <is>
          <t>TORSBY</t>
        </is>
      </c>
      <c r="G875" t="n">
        <v>4.5</v>
      </c>
      <c r="H875" t="n">
        <v>0</v>
      </c>
      <c r="I875" t="n">
        <v>0</v>
      </c>
      <c r="J875" t="n">
        <v>0</v>
      </c>
      <c r="K875" t="n">
        <v>0</v>
      </c>
      <c r="L875" t="n">
        <v>0</v>
      </c>
      <c r="M875" t="n">
        <v>0</v>
      </c>
      <c r="N875" t="n">
        <v>0</v>
      </c>
      <c r="O875" t="n">
        <v>0</v>
      </c>
      <c r="P875" t="n">
        <v>0</v>
      </c>
      <c r="Q875" t="n">
        <v>0</v>
      </c>
      <c r="R875" s="2" t="inlineStr"/>
    </row>
    <row r="876" ht="15" customHeight="1">
      <c r="A876" t="inlineStr">
        <is>
          <t>A 22513-2019</t>
        </is>
      </c>
      <c r="B876" s="1" t="n">
        <v>43587</v>
      </c>
      <c r="C876" s="1" t="n">
        <v>45736</v>
      </c>
      <c r="D876" t="inlineStr">
        <is>
          <t>VÄRMLANDS LÄN</t>
        </is>
      </c>
      <c r="E876" t="inlineStr">
        <is>
          <t>SUNNE</t>
        </is>
      </c>
      <c r="G876" t="n">
        <v>1</v>
      </c>
      <c r="H876" t="n">
        <v>0</v>
      </c>
      <c r="I876" t="n">
        <v>0</v>
      </c>
      <c r="J876" t="n">
        <v>0</v>
      </c>
      <c r="K876" t="n">
        <v>0</v>
      </c>
      <c r="L876" t="n">
        <v>0</v>
      </c>
      <c r="M876" t="n">
        <v>0</v>
      </c>
      <c r="N876" t="n">
        <v>0</v>
      </c>
      <c r="O876" t="n">
        <v>0</v>
      </c>
      <c r="P876" t="n">
        <v>0</v>
      </c>
      <c r="Q876" t="n">
        <v>0</v>
      </c>
      <c r="R876" s="2" t="inlineStr"/>
    </row>
    <row r="877" ht="15" customHeight="1">
      <c r="A877" t="inlineStr">
        <is>
          <t>A 22386-2019</t>
        </is>
      </c>
      <c r="B877" s="1" t="n">
        <v>43587</v>
      </c>
      <c r="C877" s="1" t="n">
        <v>45736</v>
      </c>
      <c r="D877" t="inlineStr">
        <is>
          <t>VÄRMLANDS LÄN</t>
        </is>
      </c>
      <c r="E877" t="inlineStr">
        <is>
          <t>KARLSTAD</t>
        </is>
      </c>
      <c r="F877" t="inlineStr">
        <is>
          <t>Kommuner</t>
        </is>
      </c>
      <c r="G877" t="n">
        <v>0.7</v>
      </c>
      <c r="H877" t="n">
        <v>0</v>
      </c>
      <c r="I877" t="n">
        <v>0</v>
      </c>
      <c r="J877" t="n">
        <v>0</v>
      </c>
      <c r="K877" t="n">
        <v>0</v>
      </c>
      <c r="L877" t="n">
        <v>0</v>
      </c>
      <c r="M877" t="n">
        <v>0</v>
      </c>
      <c r="N877" t="n">
        <v>0</v>
      </c>
      <c r="O877" t="n">
        <v>0</v>
      </c>
      <c r="P877" t="n">
        <v>0</v>
      </c>
      <c r="Q877" t="n">
        <v>0</v>
      </c>
      <c r="R877" s="2" t="inlineStr"/>
    </row>
    <row r="878" ht="15" customHeight="1">
      <c r="A878" t="inlineStr">
        <is>
          <t>A 22435-2019</t>
        </is>
      </c>
      <c r="B878" s="1" t="n">
        <v>43587</v>
      </c>
      <c r="C878" s="1" t="n">
        <v>45736</v>
      </c>
      <c r="D878" t="inlineStr">
        <is>
          <t>VÄRMLANDS LÄN</t>
        </is>
      </c>
      <c r="E878" t="inlineStr">
        <is>
          <t>ÅRJÄNG</t>
        </is>
      </c>
      <c r="G878" t="n">
        <v>2.1</v>
      </c>
      <c r="H878" t="n">
        <v>0</v>
      </c>
      <c r="I878" t="n">
        <v>0</v>
      </c>
      <c r="J878" t="n">
        <v>0</v>
      </c>
      <c r="K878" t="n">
        <v>0</v>
      </c>
      <c r="L878" t="n">
        <v>0</v>
      </c>
      <c r="M878" t="n">
        <v>0</v>
      </c>
      <c r="N878" t="n">
        <v>0</v>
      </c>
      <c r="O878" t="n">
        <v>0</v>
      </c>
      <c r="P878" t="n">
        <v>0</v>
      </c>
      <c r="Q878" t="n">
        <v>0</v>
      </c>
      <c r="R878" s="2" t="inlineStr"/>
    </row>
    <row r="879" ht="15" customHeight="1">
      <c r="A879" t="inlineStr">
        <is>
          <t>A 22416-2019</t>
        </is>
      </c>
      <c r="B879" s="1" t="n">
        <v>43587</v>
      </c>
      <c r="C879" s="1" t="n">
        <v>45736</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22574-2019</t>
        </is>
      </c>
      <c r="B880" s="1" t="n">
        <v>43587</v>
      </c>
      <c r="C880" s="1" t="n">
        <v>45736</v>
      </c>
      <c r="D880" t="inlineStr">
        <is>
          <t>VÄRMLANDS LÄN</t>
        </is>
      </c>
      <c r="E880" t="inlineStr">
        <is>
          <t>HAGFORS</t>
        </is>
      </c>
      <c r="G880" t="n">
        <v>3.5</v>
      </c>
      <c r="H880" t="n">
        <v>0</v>
      </c>
      <c r="I880" t="n">
        <v>0</v>
      </c>
      <c r="J880" t="n">
        <v>0</v>
      </c>
      <c r="K880" t="n">
        <v>0</v>
      </c>
      <c r="L880" t="n">
        <v>0</v>
      </c>
      <c r="M880" t="n">
        <v>0</v>
      </c>
      <c r="N880" t="n">
        <v>0</v>
      </c>
      <c r="O880" t="n">
        <v>0</v>
      </c>
      <c r="P880" t="n">
        <v>0</v>
      </c>
      <c r="Q880" t="n">
        <v>0</v>
      </c>
      <c r="R880" s="2" t="inlineStr"/>
    </row>
    <row r="881" ht="15" customHeight="1">
      <c r="A881" t="inlineStr">
        <is>
          <t>A 22342-2019</t>
        </is>
      </c>
      <c r="B881" s="1" t="n">
        <v>43587</v>
      </c>
      <c r="C881" s="1" t="n">
        <v>45736</v>
      </c>
      <c r="D881" t="inlineStr">
        <is>
          <t>VÄRMLANDS LÄN</t>
        </is>
      </c>
      <c r="E881" t="inlineStr">
        <is>
          <t>GRUMS</t>
        </is>
      </c>
      <c r="G881" t="n">
        <v>1.6</v>
      </c>
      <c r="H881" t="n">
        <v>0</v>
      </c>
      <c r="I881" t="n">
        <v>0</v>
      </c>
      <c r="J881" t="n">
        <v>0</v>
      </c>
      <c r="K881" t="n">
        <v>0</v>
      </c>
      <c r="L881" t="n">
        <v>0</v>
      </c>
      <c r="M881" t="n">
        <v>0</v>
      </c>
      <c r="N881" t="n">
        <v>0</v>
      </c>
      <c r="O881" t="n">
        <v>0</v>
      </c>
      <c r="P881" t="n">
        <v>0</v>
      </c>
      <c r="Q881" t="n">
        <v>0</v>
      </c>
      <c r="R881" s="2" t="inlineStr"/>
    </row>
    <row r="882" ht="15" customHeight="1">
      <c r="A882" t="inlineStr">
        <is>
          <t>A 22387-2019</t>
        </is>
      </c>
      <c r="B882" s="1" t="n">
        <v>43587</v>
      </c>
      <c r="C882" s="1" t="n">
        <v>45736</v>
      </c>
      <c r="D882" t="inlineStr">
        <is>
          <t>VÄRMLANDS LÄN</t>
        </is>
      </c>
      <c r="E882" t="inlineStr">
        <is>
          <t>SUNNE</t>
        </is>
      </c>
      <c r="G882" t="n">
        <v>3.4</v>
      </c>
      <c r="H882" t="n">
        <v>0</v>
      </c>
      <c r="I882" t="n">
        <v>0</v>
      </c>
      <c r="J882" t="n">
        <v>0</v>
      </c>
      <c r="K882" t="n">
        <v>0</v>
      </c>
      <c r="L882" t="n">
        <v>0</v>
      </c>
      <c r="M882" t="n">
        <v>0</v>
      </c>
      <c r="N882" t="n">
        <v>0</v>
      </c>
      <c r="O882" t="n">
        <v>0</v>
      </c>
      <c r="P882" t="n">
        <v>0</v>
      </c>
      <c r="Q882" t="n">
        <v>0</v>
      </c>
      <c r="R882" s="2" t="inlineStr"/>
    </row>
    <row r="883" ht="15" customHeight="1">
      <c r="A883" t="inlineStr">
        <is>
          <t>A 22351-2019</t>
        </is>
      </c>
      <c r="B883" s="1" t="n">
        <v>43587</v>
      </c>
      <c r="C883" s="1" t="n">
        <v>45736</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22657-2019</t>
        </is>
      </c>
      <c r="B884" s="1" t="n">
        <v>43588</v>
      </c>
      <c r="C884" s="1" t="n">
        <v>45736</v>
      </c>
      <c r="D884" t="inlineStr">
        <is>
          <t>VÄRMLANDS LÄN</t>
        </is>
      </c>
      <c r="E884" t="inlineStr">
        <is>
          <t>GRUMS</t>
        </is>
      </c>
      <c r="F884" t="inlineStr">
        <is>
          <t>Bergvik skog väst AB</t>
        </is>
      </c>
      <c r="G884" t="n">
        <v>4.4</v>
      </c>
      <c r="H884" t="n">
        <v>0</v>
      </c>
      <c r="I884" t="n">
        <v>0</v>
      </c>
      <c r="J884" t="n">
        <v>0</v>
      </c>
      <c r="K884" t="n">
        <v>0</v>
      </c>
      <c r="L884" t="n">
        <v>0</v>
      </c>
      <c r="M884" t="n">
        <v>0</v>
      </c>
      <c r="N884" t="n">
        <v>0</v>
      </c>
      <c r="O884" t="n">
        <v>0</v>
      </c>
      <c r="P884" t="n">
        <v>0</v>
      </c>
      <c r="Q884" t="n">
        <v>0</v>
      </c>
      <c r="R884" s="2" t="inlineStr"/>
    </row>
    <row r="885" ht="15" customHeight="1">
      <c r="A885" t="inlineStr">
        <is>
          <t>A 22724-2019</t>
        </is>
      </c>
      <c r="B885" s="1" t="n">
        <v>43588</v>
      </c>
      <c r="C885" s="1" t="n">
        <v>45736</v>
      </c>
      <c r="D885" t="inlineStr">
        <is>
          <t>VÄRMLANDS LÄN</t>
        </is>
      </c>
      <c r="E885" t="inlineStr">
        <is>
          <t>STORFORS</t>
        </is>
      </c>
      <c r="G885" t="n">
        <v>0.5</v>
      </c>
      <c r="H885" t="n">
        <v>0</v>
      </c>
      <c r="I885" t="n">
        <v>0</v>
      </c>
      <c r="J885" t="n">
        <v>0</v>
      </c>
      <c r="K885" t="n">
        <v>0</v>
      </c>
      <c r="L885" t="n">
        <v>0</v>
      </c>
      <c r="M885" t="n">
        <v>0</v>
      </c>
      <c r="N885" t="n">
        <v>0</v>
      </c>
      <c r="O885" t="n">
        <v>0</v>
      </c>
      <c r="P885" t="n">
        <v>0</v>
      </c>
      <c r="Q885" t="n">
        <v>0</v>
      </c>
      <c r="R885" s="2" t="inlineStr"/>
    </row>
    <row r="886" ht="15" customHeight="1">
      <c r="A886" t="inlineStr">
        <is>
          <t>A 22692-2019</t>
        </is>
      </c>
      <c r="B886" s="1" t="n">
        <v>43588</v>
      </c>
      <c r="C886" s="1" t="n">
        <v>45736</v>
      </c>
      <c r="D886" t="inlineStr">
        <is>
          <t>VÄRMLANDS LÄN</t>
        </is>
      </c>
      <c r="E886" t="inlineStr">
        <is>
          <t>TORSBY</t>
        </is>
      </c>
      <c r="F886" t="inlineStr">
        <is>
          <t>Bergvik skog väst AB</t>
        </is>
      </c>
      <c r="G886" t="n">
        <v>5.4</v>
      </c>
      <c r="H886" t="n">
        <v>0</v>
      </c>
      <c r="I886" t="n">
        <v>0</v>
      </c>
      <c r="J886" t="n">
        <v>0</v>
      </c>
      <c r="K886" t="n">
        <v>0</v>
      </c>
      <c r="L886" t="n">
        <v>0</v>
      </c>
      <c r="M886" t="n">
        <v>0</v>
      </c>
      <c r="N886" t="n">
        <v>0</v>
      </c>
      <c r="O886" t="n">
        <v>0</v>
      </c>
      <c r="P886" t="n">
        <v>0</v>
      </c>
      <c r="Q886" t="n">
        <v>0</v>
      </c>
      <c r="R886" s="2" t="inlineStr"/>
    </row>
    <row r="887" ht="15" customHeight="1">
      <c r="A887" t="inlineStr">
        <is>
          <t>A 22717-2019</t>
        </is>
      </c>
      <c r="B887" s="1" t="n">
        <v>43588</v>
      </c>
      <c r="C887" s="1" t="n">
        <v>45736</v>
      </c>
      <c r="D887" t="inlineStr">
        <is>
          <t>VÄRMLANDS LÄN</t>
        </is>
      </c>
      <c r="E887" t="inlineStr">
        <is>
          <t>TORSBY</t>
        </is>
      </c>
      <c r="G887" t="n">
        <v>8</v>
      </c>
      <c r="H887" t="n">
        <v>0</v>
      </c>
      <c r="I887" t="n">
        <v>0</v>
      </c>
      <c r="J887" t="n">
        <v>0</v>
      </c>
      <c r="K887" t="n">
        <v>0</v>
      </c>
      <c r="L887" t="n">
        <v>0</v>
      </c>
      <c r="M887" t="n">
        <v>0</v>
      </c>
      <c r="N887" t="n">
        <v>0</v>
      </c>
      <c r="O887" t="n">
        <v>0</v>
      </c>
      <c r="P887" t="n">
        <v>0</v>
      </c>
      <c r="Q887" t="n">
        <v>0</v>
      </c>
      <c r="R887" s="2" t="inlineStr"/>
    </row>
    <row r="888" ht="15" customHeight="1">
      <c r="A888" t="inlineStr">
        <is>
          <t>A 22700-2019</t>
        </is>
      </c>
      <c r="B888" s="1" t="n">
        <v>43588</v>
      </c>
      <c r="C888" s="1" t="n">
        <v>45736</v>
      </c>
      <c r="D888" t="inlineStr">
        <is>
          <t>VÄRMLANDS LÄN</t>
        </is>
      </c>
      <c r="E888" t="inlineStr">
        <is>
          <t>KARLSTAD</t>
        </is>
      </c>
      <c r="G888" t="n">
        <v>2.7</v>
      </c>
      <c r="H888" t="n">
        <v>0</v>
      </c>
      <c r="I888" t="n">
        <v>0</v>
      </c>
      <c r="J888" t="n">
        <v>0</v>
      </c>
      <c r="K888" t="n">
        <v>0</v>
      </c>
      <c r="L888" t="n">
        <v>0</v>
      </c>
      <c r="M888" t="n">
        <v>0</v>
      </c>
      <c r="N888" t="n">
        <v>0</v>
      </c>
      <c r="O888" t="n">
        <v>0</v>
      </c>
      <c r="P888" t="n">
        <v>0</v>
      </c>
      <c r="Q888" t="n">
        <v>0</v>
      </c>
      <c r="R888" s="2" t="inlineStr"/>
    </row>
    <row r="889" ht="15" customHeight="1">
      <c r="A889" t="inlineStr">
        <is>
          <t>A 22773-2019</t>
        </is>
      </c>
      <c r="B889" s="1" t="n">
        <v>43588</v>
      </c>
      <c r="C889" s="1" t="n">
        <v>45736</v>
      </c>
      <c r="D889" t="inlineStr">
        <is>
          <t>VÄRMLANDS LÄN</t>
        </is>
      </c>
      <c r="E889" t="inlineStr">
        <is>
          <t>EDA</t>
        </is>
      </c>
      <c r="G889" t="n">
        <v>3.5</v>
      </c>
      <c r="H889" t="n">
        <v>0</v>
      </c>
      <c r="I889" t="n">
        <v>0</v>
      </c>
      <c r="J889" t="n">
        <v>0</v>
      </c>
      <c r="K889" t="n">
        <v>0</v>
      </c>
      <c r="L889" t="n">
        <v>0</v>
      </c>
      <c r="M889" t="n">
        <v>0</v>
      </c>
      <c r="N889" t="n">
        <v>0</v>
      </c>
      <c r="O889" t="n">
        <v>0</v>
      </c>
      <c r="P889" t="n">
        <v>0</v>
      </c>
      <c r="Q889" t="n">
        <v>0</v>
      </c>
      <c r="R889" s="2" t="inlineStr"/>
    </row>
    <row r="890" ht="15" customHeight="1">
      <c r="A890" t="inlineStr">
        <is>
          <t>A 22774-2019</t>
        </is>
      </c>
      <c r="B890" s="1" t="n">
        <v>43588</v>
      </c>
      <c r="C890" s="1" t="n">
        <v>45736</v>
      </c>
      <c r="D890" t="inlineStr">
        <is>
          <t>VÄRMLANDS LÄN</t>
        </is>
      </c>
      <c r="E890" t="inlineStr">
        <is>
          <t>EDA</t>
        </is>
      </c>
      <c r="G890" t="n">
        <v>1.2</v>
      </c>
      <c r="H890" t="n">
        <v>0</v>
      </c>
      <c r="I890" t="n">
        <v>0</v>
      </c>
      <c r="J890" t="n">
        <v>0</v>
      </c>
      <c r="K890" t="n">
        <v>0</v>
      </c>
      <c r="L890" t="n">
        <v>0</v>
      </c>
      <c r="M890" t="n">
        <v>0</v>
      </c>
      <c r="N890" t="n">
        <v>0</v>
      </c>
      <c r="O890" t="n">
        <v>0</v>
      </c>
      <c r="P890" t="n">
        <v>0</v>
      </c>
      <c r="Q890" t="n">
        <v>0</v>
      </c>
      <c r="R890" s="2" t="inlineStr"/>
    </row>
    <row r="891" ht="15" customHeight="1">
      <c r="A891" t="inlineStr">
        <is>
          <t>A 22641-2019</t>
        </is>
      </c>
      <c r="B891" s="1" t="n">
        <v>43588</v>
      </c>
      <c r="C891" s="1" t="n">
        <v>45736</v>
      </c>
      <c r="D891" t="inlineStr">
        <is>
          <t>VÄRMLANDS LÄN</t>
        </is>
      </c>
      <c r="E891" t="inlineStr">
        <is>
          <t>SUNNE</t>
        </is>
      </c>
      <c r="G891" t="n">
        <v>0.6</v>
      </c>
      <c r="H891" t="n">
        <v>0</v>
      </c>
      <c r="I891" t="n">
        <v>0</v>
      </c>
      <c r="J891" t="n">
        <v>0</v>
      </c>
      <c r="K891" t="n">
        <v>0</v>
      </c>
      <c r="L891" t="n">
        <v>0</v>
      </c>
      <c r="M891" t="n">
        <v>0</v>
      </c>
      <c r="N891" t="n">
        <v>0</v>
      </c>
      <c r="O891" t="n">
        <v>0</v>
      </c>
      <c r="P891" t="n">
        <v>0</v>
      </c>
      <c r="Q891" t="n">
        <v>0</v>
      </c>
      <c r="R891" s="2" t="inlineStr"/>
    </row>
    <row r="892" ht="15" customHeight="1">
      <c r="A892" t="inlineStr">
        <is>
          <t>A 22654-2019</t>
        </is>
      </c>
      <c r="B892" s="1" t="n">
        <v>43588</v>
      </c>
      <c r="C892" s="1" t="n">
        <v>45736</v>
      </c>
      <c r="D892" t="inlineStr">
        <is>
          <t>VÄRMLANDS LÄN</t>
        </is>
      </c>
      <c r="E892" t="inlineStr">
        <is>
          <t>GRUMS</t>
        </is>
      </c>
      <c r="F892" t="inlineStr">
        <is>
          <t>Bergvik skog väst AB</t>
        </is>
      </c>
      <c r="G892" t="n">
        <v>1</v>
      </c>
      <c r="H892" t="n">
        <v>0</v>
      </c>
      <c r="I892" t="n">
        <v>0</v>
      </c>
      <c r="J892" t="n">
        <v>0</v>
      </c>
      <c r="K892" t="n">
        <v>0</v>
      </c>
      <c r="L892" t="n">
        <v>0</v>
      </c>
      <c r="M892" t="n">
        <v>0</v>
      </c>
      <c r="N892" t="n">
        <v>0</v>
      </c>
      <c r="O892" t="n">
        <v>0</v>
      </c>
      <c r="P892" t="n">
        <v>0</v>
      </c>
      <c r="Q892" t="n">
        <v>0</v>
      </c>
      <c r="R892" s="2" t="inlineStr"/>
    </row>
    <row r="893" ht="15" customHeight="1">
      <c r="A893" t="inlineStr">
        <is>
          <t>A 22775-2019</t>
        </is>
      </c>
      <c r="B893" s="1" t="n">
        <v>43588</v>
      </c>
      <c r="C893" s="1" t="n">
        <v>45736</v>
      </c>
      <c r="D893" t="inlineStr">
        <is>
          <t>VÄRMLANDS LÄN</t>
        </is>
      </c>
      <c r="E893" t="inlineStr">
        <is>
          <t>EDA</t>
        </is>
      </c>
      <c r="G893" t="n">
        <v>3.1</v>
      </c>
      <c r="H893" t="n">
        <v>0</v>
      </c>
      <c r="I893" t="n">
        <v>0</v>
      </c>
      <c r="J893" t="n">
        <v>0</v>
      </c>
      <c r="K893" t="n">
        <v>0</v>
      </c>
      <c r="L893" t="n">
        <v>0</v>
      </c>
      <c r="M893" t="n">
        <v>0</v>
      </c>
      <c r="N893" t="n">
        <v>0</v>
      </c>
      <c r="O893" t="n">
        <v>0</v>
      </c>
      <c r="P893" t="n">
        <v>0</v>
      </c>
      <c r="Q893" t="n">
        <v>0</v>
      </c>
      <c r="R893" s="2" t="inlineStr"/>
    </row>
    <row r="894" ht="15" customHeight="1">
      <c r="A894" t="inlineStr">
        <is>
          <t>A 22795-2019</t>
        </is>
      </c>
      <c r="B894" s="1" t="n">
        <v>43589</v>
      </c>
      <c r="C894" s="1" t="n">
        <v>45736</v>
      </c>
      <c r="D894" t="inlineStr">
        <is>
          <t>VÄRMLANDS LÄN</t>
        </is>
      </c>
      <c r="E894" t="inlineStr">
        <is>
          <t>EDA</t>
        </is>
      </c>
      <c r="G894" t="n">
        <v>1.4</v>
      </c>
      <c r="H894" t="n">
        <v>0</v>
      </c>
      <c r="I894" t="n">
        <v>0</v>
      </c>
      <c r="J894" t="n">
        <v>0</v>
      </c>
      <c r="K894" t="n">
        <v>0</v>
      </c>
      <c r="L894" t="n">
        <v>0</v>
      </c>
      <c r="M894" t="n">
        <v>0</v>
      </c>
      <c r="N894" t="n">
        <v>0</v>
      </c>
      <c r="O894" t="n">
        <v>0</v>
      </c>
      <c r="P894" t="n">
        <v>0</v>
      </c>
      <c r="Q894" t="n">
        <v>0</v>
      </c>
      <c r="R894" s="2" t="inlineStr"/>
    </row>
    <row r="895" ht="15" customHeight="1">
      <c r="A895" t="inlineStr">
        <is>
          <t>A 22794-2019</t>
        </is>
      </c>
      <c r="B895" s="1" t="n">
        <v>43589</v>
      </c>
      <c r="C895" s="1" t="n">
        <v>45736</v>
      </c>
      <c r="D895" t="inlineStr">
        <is>
          <t>VÄRMLANDS LÄN</t>
        </is>
      </c>
      <c r="E895" t="inlineStr">
        <is>
          <t>EDA</t>
        </is>
      </c>
      <c r="G895" t="n">
        <v>1.7</v>
      </c>
      <c r="H895" t="n">
        <v>0</v>
      </c>
      <c r="I895" t="n">
        <v>0</v>
      </c>
      <c r="J895" t="n">
        <v>0</v>
      </c>
      <c r="K895" t="n">
        <v>0</v>
      </c>
      <c r="L895" t="n">
        <v>0</v>
      </c>
      <c r="M895" t="n">
        <v>0</v>
      </c>
      <c r="N895" t="n">
        <v>0</v>
      </c>
      <c r="O895" t="n">
        <v>0</v>
      </c>
      <c r="P895" t="n">
        <v>0</v>
      </c>
      <c r="Q895" t="n">
        <v>0</v>
      </c>
      <c r="R895" s="2" t="inlineStr"/>
    </row>
    <row r="896" ht="15" customHeight="1">
      <c r="A896" t="inlineStr">
        <is>
          <t>A 22815-2019</t>
        </is>
      </c>
      <c r="B896" s="1" t="n">
        <v>43590</v>
      </c>
      <c r="C896" s="1" t="n">
        <v>45736</v>
      </c>
      <c r="D896" t="inlineStr">
        <is>
          <t>VÄRMLANDS LÄN</t>
        </is>
      </c>
      <c r="E896" t="inlineStr">
        <is>
          <t>KIL</t>
        </is>
      </c>
      <c r="G896" t="n">
        <v>1.9</v>
      </c>
      <c r="H896" t="n">
        <v>0</v>
      </c>
      <c r="I896" t="n">
        <v>0</v>
      </c>
      <c r="J896" t="n">
        <v>0</v>
      </c>
      <c r="K896" t="n">
        <v>0</v>
      </c>
      <c r="L896" t="n">
        <v>0</v>
      </c>
      <c r="M896" t="n">
        <v>0</v>
      </c>
      <c r="N896" t="n">
        <v>0</v>
      </c>
      <c r="O896" t="n">
        <v>0</v>
      </c>
      <c r="P896" t="n">
        <v>0</v>
      </c>
      <c r="Q896" t="n">
        <v>0</v>
      </c>
      <c r="R896" s="2" t="inlineStr"/>
    </row>
    <row r="897" ht="15" customHeight="1">
      <c r="A897" t="inlineStr">
        <is>
          <t>A 22813-2019</t>
        </is>
      </c>
      <c r="B897" s="1" t="n">
        <v>43590</v>
      </c>
      <c r="C897" s="1" t="n">
        <v>45736</v>
      </c>
      <c r="D897" t="inlineStr">
        <is>
          <t>VÄRMLANDS LÄN</t>
        </is>
      </c>
      <c r="E897" t="inlineStr">
        <is>
          <t>KIL</t>
        </is>
      </c>
      <c r="G897" t="n">
        <v>3.4</v>
      </c>
      <c r="H897" t="n">
        <v>0</v>
      </c>
      <c r="I897" t="n">
        <v>0</v>
      </c>
      <c r="J897" t="n">
        <v>0</v>
      </c>
      <c r="K897" t="n">
        <v>0</v>
      </c>
      <c r="L897" t="n">
        <v>0</v>
      </c>
      <c r="M897" t="n">
        <v>0</v>
      </c>
      <c r="N897" t="n">
        <v>0</v>
      </c>
      <c r="O897" t="n">
        <v>0</v>
      </c>
      <c r="P897" t="n">
        <v>0</v>
      </c>
      <c r="Q897" t="n">
        <v>0</v>
      </c>
      <c r="R897" s="2" t="inlineStr"/>
    </row>
    <row r="898" ht="15" customHeight="1">
      <c r="A898" t="inlineStr">
        <is>
          <t>A 22816-2019</t>
        </is>
      </c>
      <c r="B898" s="1" t="n">
        <v>43590</v>
      </c>
      <c r="C898" s="1" t="n">
        <v>45736</v>
      </c>
      <c r="D898" t="inlineStr">
        <is>
          <t>VÄRMLANDS LÄN</t>
        </is>
      </c>
      <c r="E898" t="inlineStr">
        <is>
          <t>KIL</t>
        </is>
      </c>
      <c r="G898" t="n">
        <v>2.5</v>
      </c>
      <c r="H898" t="n">
        <v>0</v>
      </c>
      <c r="I898" t="n">
        <v>0</v>
      </c>
      <c r="J898" t="n">
        <v>0</v>
      </c>
      <c r="K898" t="n">
        <v>0</v>
      </c>
      <c r="L898" t="n">
        <v>0</v>
      </c>
      <c r="M898" t="n">
        <v>0</v>
      </c>
      <c r="N898" t="n">
        <v>0</v>
      </c>
      <c r="O898" t="n">
        <v>0</v>
      </c>
      <c r="P898" t="n">
        <v>0</v>
      </c>
      <c r="Q898" t="n">
        <v>0</v>
      </c>
      <c r="R898" s="2" t="inlineStr"/>
    </row>
    <row r="899" ht="15" customHeight="1">
      <c r="A899" t="inlineStr">
        <is>
          <t>A 22840-2019</t>
        </is>
      </c>
      <c r="B899" s="1" t="n">
        <v>43591</v>
      </c>
      <c r="C899" s="1" t="n">
        <v>45736</v>
      </c>
      <c r="D899" t="inlineStr">
        <is>
          <t>VÄRMLANDS LÄN</t>
        </is>
      </c>
      <c r="E899" t="inlineStr">
        <is>
          <t>GRUMS</t>
        </is>
      </c>
      <c r="G899" t="n">
        <v>0.6</v>
      </c>
      <c r="H899" t="n">
        <v>0</v>
      </c>
      <c r="I899" t="n">
        <v>0</v>
      </c>
      <c r="J899" t="n">
        <v>0</v>
      </c>
      <c r="K899" t="n">
        <v>0</v>
      </c>
      <c r="L899" t="n">
        <v>0</v>
      </c>
      <c r="M899" t="n">
        <v>0</v>
      </c>
      <c r="N899" t="n">
        <v>0</v>
      </c>
      <c r="O899" t="n">
        <v>0</v>
      </c>
      <c r="P899" t="n">
        <v>0</v>
      </c>
      <c r="Q899" t="n">
        <v>0</v>
      </c>
      <c r="R899" s="2" t="inlineStr"/>
    </row>
    <row r="900" ht="15" customHeight="1">
      <c r="A900" t="inlineStr">
        <is>
          <t>A 22986-2019</t>
        </is>
      </c>
      <c r="B900" s="1" t="n">
        <v>43591</v>
      </c>
      <c r="C900" s="1" t="n">
        <v>45736</v>
      </c>
      <c r="D900" t="inlineStr">
        <is>
          <t>VÄRMLANDS LÄN</t>
        </is>
      </c>
      <c r="E900" t="inlineStr">
        <is>
          <t>HAGFORS</t>
        </is>
      </c>
      <c r="G900" t="n">
        <v>1.6</v>
      </c>
      <c r="H900" t="n">
        <v>0</v>
      </c>
      <c r="I900" t="n">
        <v>0</v>
      </c>
      <c r="J900" t="n">
        <v>0</v>
      </c>
      <c r="K900" t="n">
        <v>0</v>
      </c>
      <c r="L900" t="n">
        <v>0</v>
      </c>
      <c r="M900" t="n">
        <v>0</v>
      </c>
      <c r="N900" t="n">
        <v>0</v>
      </c>
      <c r="O900" t="n">
        <v>0</v>
      </c>
      <c r="P900" t="n">
        <v>0</v>
      </c>
      <c r="Q900" t="n">
        <v>0</v>
      </c>
      <c r="R900" s="2" t="inlineStr"/>
    </row>
    <row r="901" ht="15" customHeight="1">
      <c r="A901" t="inlineStr">
        <is>
          <t>A 23251-2019</t>
        </is>
      </c>
      <c r="B901" s="1" t="n">
        <v>43591</v>
      </c>
      <c r="C901" s="1" t="n">
        <v>45736</v>
      </c>
      <c r="D901" t="inlineStr">
        <is>
          <t>VÄRMLANDS LÄN</t>
        </is>
      </c>
      <c r="E901" t="inlineStr">
        <is>
          <t>HAGFORS</t>
        </is>
      </c>
      <c r="G901" t="n">
        <v>1.1</v>
      </c>
      <c r="H901" t="n">
        <v>0</v>
      </c>
      <c r="I901" t="n">
        <v>0</v>
      </c>
      <c r="J901" t="n">
        <v>0</v>
      </c>
      <c r="K901" t="n">
        <v>0</v>
      </c>
      <c r="L901" t="n">
        <v>0</v>
      </c>
      <c r="M901" t="n">
        <v>0</v>
      </c>
      <c r="N901" t="n">
        <v>0</v>
      </c>
      <c r="O901" t="n">
        <v>0</v>
      </c>
      <c r="P901" t="n">
        <v>0</v>
      </c>
      <c r="Q901" t="n">
        <v>0</v>
      </c>
      <c r="R901" s="2" t="inlineStr"/>
    </row>
    <row r="902" ht="15" customHeight="1">
      <c r="A902" t="inlineStr">
        <is>
          <t>A 23255-2019</t>
        </is>
      </c>
      <c r="B902" s="1" t="n">
        <v>43591</v>
      </c>
      <c r="C902" s="1" t="n">
        <v>45736</v>
      </c>
      <c r="D902" t="inlineStr">
        <is>
          <t>VÄRMLANDS LÄN</t>
        </is>
      </c>
      <c r="E902" t="inlineStr">
        <is>
          <t>SUNNE</t>
        </is>
      </c>
      <c r="F902" t="inlineStr">
        <is>
          <t>Kyrkan</t>
        </is>
      </c>
      <c r="G902" t="n">
        <v>5.4</v>
      </c>
      <c r="H902" t="n">
        <v>0</v>
      </c>
      <c r="I902" t="n">
        <v>0</v>
      </c>
      <c r="J902" t="n">
        <v>0</v>
      </c>
      <c r="K902" t="n">
        <v>0</v>
      </c>
      <c r="L902" t="n">
        <v>0</v>
      </c>
      <c r="M902" t="n">
        <v>0</v>
      </c>
      <c r="N902" t="n">
        <v>0</v>
      </c>
      <c r="O902" t="n">
        <v>0</v>
      </c>
      <c r="P902" t="n">
        <v>0</v>
      </c>
      <c r="Q902" t="n">
        <v>0</v>
      </c>
      <c r="R902" s="2" t="inlineStr"/>
    </row>
    <row r="903" ht="15" customHeight="1">
      <c r="A903" t="inlineStr">
        <is>
          <t>A 23023-2019</t>
        </is>
      </c>
      <c r="B903" s="1" t="n">
        <v>43591</v>
      </c>
      <c r="C903" s="1" t="n">
        <v>45736</v>
      </c>
      <c r="D903" t="inlineStr">
        <is>
          <t>VÄRMLANDS LÄN</t>
        </is>
      </c>
      <c r="E903" t="inlineStr">
        <is>
          <t>FILIPSTAD</t>
        </is>
      </c>
      <c r="G903" t="n">
        <v>9.4</v>
      </c>
      <c r="H903" t="n">
        <v>0</v>
      </c>
      <c r="I903" t="n">
        <v>0</v>
      </c>
      <c r="J903" t="n">
        <v>0</v>
      </c>
      <c r="K903" t="n">
        <v>0</v>
      </c>
      <c r="L903" t="n">
        <v>0</v>
      </c>
      <c r="M903" t="n">
        <v>0</v>
      </c>
      <c r="N903" t="n">
        <v>0</v>
      </c>
      <c r="O903" t="n">
        <v>0</v>
      </c>
      <c r="P903" t="n">
        <v>0</v>
      </c>
      <c r="Q903" t="n">
        <v>0</v>
      </c>
      <c r="R903" s="2" t="inlineStr"/>
    </row>
    <row r="904" ht="15" customHeight="1">
      <c r="A904" t="inlineStr">
        <is>
          <t>A 23045-2019</t>
        </is>
      </c>
      <c r="B904" s="1" t="n">
        <v>43591</v>
      </c>
      <c r="C904" s="1" t="n">
        <v>45736</v>
      </c>
      <c r="D904" t="inlineStr">
        <is>
          <t>VÄRMLANDS LÄN</t>
        </is>
      </c>
      <c r="E904" t="inlineStr">
        <is>
          <t>KARLSTAD</t>
        </is>
      </c>
      <c r="F904" t="inlineStr">
        <is>
          <t>Kommuner</t>
        </is>
      </c>
      <c r="G904" t="n">
        <v>0.9</v>
      </c>
      <c r="H904" t="n">
        <v>0</v>
      </c>
      <c r="I904" t="n">
        <v>0</v>
      </c>
      <c r="J904" t="n">
        <v>0</v>
      </c>
      <c r="K904" t="n">
        <v>0</v>
      </c>
      <c r="L904" t="n">
        <v>0</v>
      </c>
      <c r="M904" t="n">
        <v>0</v>
      </c>
      <c r="N904" t="n">
        <v>0</v>
      </c>
      <c r="O904" t="n">
        <v>0</v>
      </c>
      <c r="P904" t="n">
        <v>0</v>
      </c>
      <c r="Q904" t="n">
        <v>0</v>
      </c>
      <c r="R904" s="2" t="inlineStr"/>
    </row>
    <row r="905" ht="15" customHeight="1">
      <c r="A905" t="inlineStr">
        <is>
          <t>A 23242-2019</t>
        </is>
      </c>
      <c r="B905" s="1" t="n">
        <v>43591</v>
      </c>
      <c r="C905" s="1" t="n">
        <v>45736</v>
      </c>
      <c r="D905" t="inlineStr">
        <is>
          <t>VÄRMLANDS LÄN</t>
        </is>
      </c>
      <c r="E905" t="inlineStr">
        <is>
          <t>HAGFORS</t>
        </is>
      </c>
      <c r="G905" t="n">
        <v>1.1</v>
      </c>
      <c r="H905" t="n">
        <v>0</v>
      </c>
      <c r="I905" t="n">
        <v>0</v>
      </c>
      <c r="J905" t="n">
        <v>0</v>
      </c>
      <c r="K905" t="n">
        <v>0</v>
      </c>
      <c r="L905" t="n">
        <v>0</v>
      </c>
      <c r="M905" t="n">
        <v>0</v>
      </c>
      <c r="N905" t="n">
        <v>0</v>
      </c>
      <c r="O905" t="n">
        <v>0</v>
      </c>
      <c r="P905" t="n">
        <v>0</v>
      </c>
      <c r="Q905" t="n">
        <v>0</v>
      </c>
      <c r="R905" s="2" t="inlineStr"/>
    </row>
    <row r="906" ht="15" customHeight="1">
      <c r="A906" t="inlineStr">
        <is>
          <t>A 23340-2019</t>
        </is>
      </c>
      <c r="B906" s="1" t="n">
        <v>43591</v>
      </c>
      <c r="C906" s="1" t="n">
        <v>45736</v>
      </c>
      <c r="D906" t="inlineStr">
        <is>
          <t>VÄRMLANDS LÄN</t>
        </is>
      </c>
      <c r="E906" t="inlineStr">
        <is>
          <t>SÄFFLE</t>
        </is>
      </c>
      <c r="G906" t="n">
        <v>1.2</v>
      </c>
      <c r="H906" t="n">
        <v>0</v>
      </c>
      <c r="I906" t="n">
        <v>0</v>
      </c>
      <c r="J906" t="n">
        <v>0</v>
      </c>
      <c r="K906" t="n">
        <v>0</v>
      </c>
      <c r="L906" t="n">
        <v>0</v>
      </c>
      <c r="M906" t="n">
        <v>0</v>
      </c>
      <c r="N906" t="n">
        <v>0</v>
      </c>
      <c r="O906" t="n">
        <v>0</v>
      </c>
      <c r="P906" t="n">
        <v>0</v>
      </c>
      <c r="Q906" t="n">
        <v>0</v>
      </c>
      <c r="R906" s="2" t="inlineStr"/>
    </row>
    <row r="907" ht="15" customHeight="1">
      <c r="A907" t="inlineStr">
        <is>
          <t>A 23032-2019</t>
        </is>
      </c>
      <c r="B907" s="1" t="n">
        <v>43591</v>
      </c>
      <c r="C907" s="1" t="n">
        <v>45736</v>
      </c>
      <c r="D907" t="inlineStr">
        <is>
          <t>VÄRMLANDS LÄN</t>
        </is>
      </c>
      <c r="E907" t="inlineStr">
        <is>
          <t>FORSHAGA</t>
        </is>
      </c>
      <c r="G907" t="n">
        <v>4.7</v>
      </c>
      <c r="H907" t="n">
        <v>0</v>
      </c>
      <c r="I907" t="n">
        <v>0</v>
      </c>
      <c r="J907" t="n">
        <v>0</v>
      </c>
      <c r="K907" t="n">
        <v>0</v>
      </c>
      <c r="L907" t="n">
        <v>0</v>
      </c>
      <c r="M907" t="n">
        <v>0</v>
      </c>
      <c r="N907" t="n">
        <v>0</v>
      </c>
      <c r="O907" t="n">
        <v>0</v>
      </c>
      <c r="P907" t="n">
        <v>0</v>
      </c>
      <c r="Q907" t="n">
        <v>0</v>
      </c>
      <c r="R907" s="2" t="inlineStr"/>
    </row>
    <row r="908" ht="15" customHeight="1">
      <c r="A908" t="inlineStr">
        <is>
          <t>A 22841-2019</t>
        </is>
      </c>
      <c r="B908" s="1" t="n">
        <v>43591</v>
      </c>
      <c r="C908" s="1" t="n">
        <v>45736</v>
      </c>
      <c r="D908" t="inlineStr">
        <is>
          <t>VÄRMLANDS LÄN</t>
        </is>
      </c>
      <c r="E908" t="inlineStr">
        <is>
          <t>KARLSTAD</t>
        </is>
      </c>
      <c r="F908" t="inlineStr">
        <is>
          <t>Bergvik skog väst AB</t>
        </is>
      </c>
      <c r="G908" t="n">
        <v>6.6</v>
      </c>
      <c r="H908" t="n">
        <v>0</v>
      </c>
      <c r="I908" t="n">
        <v>0</v>
      </c>
      <c r="J908" t="n">
        <v>0</v>
      </c>
      <c r="K908" t="n">
        <v>0</v>
      </c>
      <c r="L908" t="n">
        <v>0</v>
      </c>
      <c r="M908" t="n">
        <v>0</v>
      </c>
      <c r="N908" t="n">
        <v>0</v>
      </c>
      <c r="O908" t="n">
        <v>0</v>
      </c>
      <c r="P908" t="n">
        <v>0</v>
      </c>
      <c r="Q908" t="n">
        <v>0</v>
      </c>
      <c r="R908" s="2" t="inlineStr"/>
    </row>
    <row r="909" ht="15" customHeight="1">
      <c r="A909" t="inlineStr">
        <is>
          <t>A 23266-2019</t>
        </is>
      </c>
      <c r="B909" s="1" t="n">
        <v>43592</v>
      </c>
      <c r="C909" s="1" t="n">
        <v>45736</v>
      </c>
      <c r="D909" t="inlineStr">
        <is>
          <t>VÄRMLANDS LÄN</t>
        </is>
      </c>
      <c r="E909" t="inlineStr">
        <is>
          <t>FORSHAGA</t>
        </is>
      </c>
      <c r="F909" t="inlineStr">
        <is>
          <t>Bergvik skog väst AB</t>
        </is>
      </c>
      <c r="G909" t="n">
        <v>4</v>
      </c>
      <c r="H909" t="n">
        <v>0</v>
      </c>
      <c r="I909" t="n">
        <v>0</v>
      </c>
      <c r="J909" t="n">
        <v>0</v>
      </c>
      <c r="K909" t="n">
        <v>0</v>
      </c>
      <c r="L909" t="n">
        <v>0</v>
      </c>
      <c r="M909" t="n">
        <v>0</v>
      </c>
      <c r="N909" t="n">
        <v>0</v>
      </c>
      <c r="O909" t="n">
        <v>0</v>
      </c>
      <c r="P909" t="n">
        <v>0</v>
      </c>
      <c r="Q909" t="n">
        <v>0</v>
      </c>
      <c r="R909" s="2" t="inlineStr"/>
    </row>
    <row r="910" ht="15" customHeight="1">
      <c r="A910" t="inlineStr">
        <is>
          <t>A 23122-2019</t>
        </is>
      </c>
      <c r="B910" s="1" t="n">
        <v>43592</v>
      </c>
      <c r="C910" s="1" t="n">
        <v>45736</v>
      </c>
      <c r="D910" t="inlineStr">
        <is>
          <t>VÄRMLANDS LÄN</t>
        </is>
      </c>
      <c r="E910" t="inlineStr">
        <is>
          <t>ARVIKA</t>
        </is>
      </c>
      <c r="G910" t="n">
        <v>0.7</v>
      </c>
      <c r="H910" t="n">
        <v>0</v>
      </c>
      <c r="I910" t="n">
        <v>0</v>
      </c>
      <c r="J910" t="n">
        <v>0</v>
      </c>
      <c r="K910" t="n">
        <v>0</v>
      </c>
      <c r="L910" t="n">
        <v>0</v>
      </c>
      <c r="M910" t="n">
        <v>0</v>
      </c>
      <c r="N910" t="n">
        <v>0</v>
      </c>
      <c r="O910" t="n">
        <v>0</v>
      </c>
      <c r="P910" t="n">
        <v>0</v>
      </c>
      <c r="Q910" t="n">
        <v>0</v>
      </c>
      <c r="R910" s="2" t="inlineStr"/>
    </row>
    <row r="911" ht="15" customHeight="1">
      <c r="A911" t="inlineStr">
        <is>
          <t>A 23274-2019</t>
        </is>
      </c>
      <c r="B911" s="1" t="n">
        <v>43592</v>
      </c>
      <c r="C911" s="1" t="n">
        <v>45736</v>
      </c>
      <c r="D911" t="inlineStr">
        <is>
          <t>VÄRMLANDS LÄN</t>
        </is>
      </c>
      <c r="E911" t="inlineStr">
        <is>
          <t>SUNNE</t>
        </is>
      </c>
      <c r="G911" t="n">
        <v>5.3</v>
      </c>
      <c r="H911" t="n">
        <v>0</v>
      </c>
      <c r="I911" t="n">
        <v>0</v>
      </c>
      <c r="J911" t="n">
        <v>0</v>
      </c>
      <c r="K911" t="n">
        <v>0</v>
      </c>
      <c r="L911" t="n">
        <v>0</v>
      </c>
      <c r="M911" t="n">
        <v>0</v>
      </c>
      <c r="N911" t="n">
        <v>0</v>
      </c>
      <c r="O911" t="n">
        <v>0</v>
      </c>
      <c r="P911" t="n">
        <v>0</v>
      </c>
      <c r="Q911" t="n">
        <v>0</v>
      </c>
      <c r="R911" s="2" t="inlineStr"/>
    </row>
    <row r="912" ht="15" customHeight="1">
      <c r="A912" t="inlineStr">
        <is>
          <t>A 24285-2019</t>
        </is>
      </c>
      <c r="B912" s="1" t="n">
        <v>43593</v>
      </c>
      <c r="C912" s="1" t="n">
        <v>45736</v>
      </c>
      <c r="D912" t="inlineStr">
        <is>
          <t>VÄRMLANDS LÄN</t>
        </is>
      </c>
      <c r="E912" t="inlineStr">
        <is>
          <t>SUNNE</t>
        </is>
      </c>
      <c r="G912" t="n">
        <v>0.8</v>
      </c>
      <c r="H912" t="n">
        <v>0</v>
      </c>
      <c r="I912" t="n">
        <v>0</v>
      </c>
      <c r="J912" t="n">
        <v>0</v>
      </c>
      <c r="K912" t="n">
        <v>0</v>
      </c>
      <c r="L912" t="n">
        <v>0</v>
      </c>
      <c r="M912" t="n">
        <v>0</v>
      </c>
      <c r="N912" t="n">
        <v>0</v>
      </c>
      <c r="O912" t="n">
        <v>0</v>
      </c>
      <c r="P912" t="n">
        <v>0</v>
      </c>
      <c r="Q912" t="n">
        <v>0</v>
      </c>
      <c r="R912" s="2" t="inlineStr"/>
    </row>
    <row r="913" ht="15" customHeight="1">
      <c r="A913" t="inlineStr">
        <is>
          <t>A 23412-2019</t>
        </is>
      </c>
      <c r="B913" s="1" t="n">
        <v>43593</v>
      </c>
      <c r="C913" s="1" t="n">
        <v>45736</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23555-2019</t>
        </is>
      </c>
      <c r="B914" s="1" t="n">
        <v>43594</v>
      </c>
      <c r="C914" s="1" t="n">
        <v>45736</v>
      </c>
      <c r="D914" t="inlineStr">
        <is>
          <t>VÄRMLANDS LÄN</t>
        </is>
      </c>
      <c r="E914" t="inlineStr">
        <is>
          <t>ÅRJÄNG</t>
        </is>
      </c>
      <c r="G914" t="n">
        <v>2.3</v>
      </c>
      <c r="H914" t="n">
        <v>0</v>
      </c>
      <c r="I914" t="n">
        <v>0</v>
      </c>
      <c r="J914" t="n">
        <v>0</v>
      </c>
      <c r="K914" t="n">
        <v>0</v>
      </c>
      <c r="L914" t="n">
        <v>0</v>
      </c>
      <c r="M914" t="n">
        <v>0</v>
      </c>
      <c r="N914" t="n">
        <v>0</v>
      </c>
      <c r="O914" t="n">
        <v>0</v>
      </c>
      <c r="P914" t="n">
        <v>0</v>
      </c>
      <c r="Q914" t="n">
        <v>0</v>
      </c>
      <c r="R914" s="2" t="inlineStr"/>
    </row>
    <row r="915" ht="15" customHeight="1">
      <c r="A915" t="inlineStr">
        <is>
          <t>A 23573-2019</t>
        </is>
      </c>
      <c r="B915" s="1" t="n">
        <v>43594</v>
      </c>
      <c r="C915" s="1" t="n">
        <v>45736</v>
      </c>
      <c r="D915" t="inlineStr">
        <is>
          <t>VÄRMLANDS LÄN</t>
        </is>
      </c>
      <c r="E915" t="inlineStr">
        <is>
          <t>ÅRJÄNG</t>
        </is>
      </c>
      <c r="G915" t="n">
        <v>4.9</v>
      </c>
      <c r="H915" t="n">
        <v>0</v>
      </c>
      <c r="I915" t="n">
        <v>0</v>
      </c>
      <c r="J915" t="n">
        <v>0</v>
      </c>
      <c r="K915" t="n">
        <v>0</v>
      </c>
      <c r="L915" t="n">
        <v>0</v>
      </c>
      <c r="M915" t="n">
        <v>0</v>
      </c>
      <c r="N915" t="n">
        <v>0</v>
      </c>
      <c r="O915" t="n">
        <v>0</v>
      </c>
      <c r="P915" t="n">
        <v>0</v>
      </c>
      <c r="Q915" t="n">
        <v>0</v>
      </c>
      <c r="R915" s="2" t="inlineStr"/>
    </row>
    <row r="916" ht="15" customHeight="1">
      <c r="A916" t="inlineStr">
        <is>
          <t>A 23600-2019</t>
        </is>
      </c>
      <c r="B916" s="1" t="n">
        <v>43594</v>
      </c>
      <c r="C916" s="1" t="n">
        <v>45736</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23641-2019</t>
        </is>
      </c>
      <c r="B917" s="1" t="n">
        <v>43594</v>
      </c>
      <c r="C917" s="1" t="n">
        <v>45736</v>
      </c>
      <c r="D917" t="inlineStr">
        <is>
          <t>VÄRMLANDS LÄN</t>
        </is>
      </c>
      <c r="E917" t="inlineStr">
        <is>
          <t>SÄFFLE</t>
        </is>
      </c>
      <c r="G917" t="n">
        <v>1.3</v>
      </c>
      <c r="H917" t="n">
        <v>0</v>
      </c>
      <c r="I917" t="n">
        <v>0</v>
      </c>
      <c r="J917" t="n">
        <v>0</v>
      </c>
      <c r="K917" t="n">
        <v>0</v>
      </c>
      <c r="L917" t="n">
        <v>0</v>
      </c>
      <c r="M917" t="n">
        <v>0</v>
      </c>
      <c r="N917" t="n">
        <v>0</v>
      </c>
      <c r="O917" t="n">
        <v>0</v>
      </c>
      <c r="P917" t="n">
        <v>0</v>
      </c>
      <c r="Q917" t="n">
        <v>0</v>
      </c>
      <c r="R917" s="2" t="inlineStr"/>
    </row>
    <row r="918" ht="15" customHeight="1">
      <c r="A918" t="inlineStr">
        <is>
          <t>A 23685-2019</t>
        </is>
      </c>
      <c r="B918" s="1" t="n">
        <v>43594</v>
      </c>
      <c r="C918" s="1" t="n">
        <v>45736</v>
      </c>
      <c r="D918" t="inlineStr">
        <is>
          <t>VÄRMLANDS LÄN</t>
        </is>
      </c>
      <c r="E918" t="inlineStr">
        <is>
          <t>KRISTINEHAMN</t>
        </is>
      </c>
      <c r="G918" t="n">
        <v>0.6</v>
      </c>
      <c r="H918" t="n">
        <v>0</v>
      </c>
      <c r="I918" t="n">
        <v>0</v>
      </c>
      <c r="J918" t="n">
        <v>0</v>
      </c>
      <c r="K918" t="n">
        <v>0</v>
      </c>
      <c r="L918" t="n">
        <v>0</v>
      </c>
      <c r="M918" t="n">
        <v>0</v>
      </c>
      <c r="N918" t="n">
        <v>0</v>
      </c>
      <c r="O918" t="n">
        <v>0</v>
      </c>
      <c r="P918" t="n">
        <v>0</v>
      </c>
      <c r="Q918" t="n">
        <v>0</v>
      </c>
      <c r="R918" s="2" t="inlineStr"/>
    </row>
    <row r="919" ht="15" customHeight="1">
      <c r="A919" t="inlineStr">
        <is>
          <t>A 23715-2019</t>
        </is>
      </c>
      <c r="B919" s="1" t="n">
        <v>43594</v>
      </c>
      <c r="C919" s="1" t="n">
        <v>45736</v>
      </c>
      <c r="D919" t="inlineStr">
        <is>
          <t>VÄRMLANDS LÄN</t>
        </is>
      </c>
      <c r="E919" t="inlineStr">
        <is>
          <t>ÅRJÄNG</t>
        </is>
      </c>
      <c r="G919" t="n">
        <v>6.8</v>
      </c>
      <c r="H919" t="n">
        <v>0</v>
      </c>
      <c r="I919" t="n">
        <v>0</v>
      </c>
      <c r="J919" t="n">
        <v>0</v>
      </c>
      <c r="K919" t="n">
        <v>0</v>
      </c>
      <c r="L919" t="n">
        <v>0</v>
      </c>
      <c r="M919" t="n">
        <v>0</v>
      </c>
      <c r="N919" t="n">
        <v>0</v>
      </c>
      <c r="O919" t="n">
        <v>0</v>
      </c>
      <c r="P919" t="n">
        <v>0</v>
      </c>
      <c r="Q919" t="n">
        <v>0</v>
      </c>
      <c r="R919" s="2" t="inlineStr"/>
    </row>
    <row r="920" ht="15" customHeight="1">
      <c r="A920" t="inlineStr">
        <is>
          <t>A 24798-2019</t>
        </is>
      </c>
      <c r="B920" s="1" t="n">
        <v>43594</v>
      </c>
      <c r="C920" s="1" t="n">
        <v>45736</v>
      </c>
      <c r="D920" t="inlineStr">
        <is>
          <t>VÄRMLANDS LÄN</t>
        </is>
      </c>
      <c r="E920" t="inlineStr">
        <is>
          <t>SÄFFLE</t>
        </is>
      </c>
      <c r="G920" t="n">
        <v>17.6</v>
      </c>
      <c r="H920" t="n">
        <v>0</v>
      </c>
      <c r="I920" t="n">
        <v>0</v>
      </c>
      <c r="J920" t="n">
        <v>0</v>
      </c>
      <c r="K920" t="n">
        <v>0</v>
      </c>
      <c r="L920" t="n">
        <v>0</v>
      </c>
      <c r="M920" t="n">
        <v>0</v>
      </c>
      <c r="N920" t="n">
        <v>0</v>
      </c>
      <c r="O920" t="n">
        <v>0</v>
      </c>
      <c r="P920" t="n">
        <v>0</v>
      </c>
      <c r="Q920" t="n">
        <v>0</v>
      </c>
      <c r="R920" s="2" t="inlineStr"/>
    </row>
    <row r="921" ht="15" customHeight="1">
      <c r="A921" t="inlineStr">
        <is>
          <t>A 24816-2019</t>
        </is>
      </c>
      <c r="B921" s="1" t="n">
        <v>43594</v>
      </c>
      <c r="C921" s="1" t="n">
        <v>45736</v>
      </c>
      <c r="D921" t="inlineStr">
        <is>
          <t>VÄRMLANDS LÄN</t>
        </is>
      </c>
      <c r="E921" t="inlineStr">
        <is>
          <t>SÄFFLE</t>
        </is>
      </c>
      <c r="G921" t="n">
        <v>3.1</v>
      </c>
      <c r="H921" t="n">
        <v>0</v>
      </c>
      <c r="I921" t="n">
        <v>0</v>
      </c>
      <c r="J921" t="n">
        <v>0</v>
      </c>
      <c r="K921" t="n">
        <v>0</v>
      </c>
      <c r="L921" t="n">
        <v>0</v>
      </c>
      <c r="M921" t="n">
        <v>0</v>
      </c>
      <c r="N921" t="n">
        <v>0</v>
      </c>
      <c r="O921" t="n">
        <v>0</v>
      </c>
      <c r="P921" t="n">
        <v>0</v>
      </c>
      <c r="Q921" t="n">
        <v>0</v>
      </c>
      <c r="R921" s="2" t="inlineStr"/>
    </row>
    <row r="922" ht="15" customHeight="1">
      <c r="A922" t="inlineStr">
        <is>
          <t>A 24799-2019</t>
        </is>
      </c>
      <c r="B922" s="1" t="n">
        <v>43594</v>
      </c>
      <c r="C922" s="1" t="n">
        <v>45736</v>
      </c>
      <c r="D922" t="inlineStr">
        <is>
          <t>VÄRMLANDS LÄN</t>
        </is>
      </c>
      <c r="E922" t="inlineStr">
        <is>
          <t>SÄFFLE</t>
        </is>
      </c>
      <c r="G922" t="n">
        <v>3.8</v>
      </c>
      <c r="H922" t="n">
        <v>0</v>
      </c>
      <c r="I922" t="n">
        <v>0</v>
      </c>
      <c r="J922" t="n">
        <v>0</v>
      </c>
      <c r="K922" t="n">
        <v>0</v>
      </c>
      <c r="L922" t="n">
        <v>0</v>
      </c>
      <c r="M922" t="n">
        <v>0</v>
      </c>
      <c r="N922" t="n">
        <v>0</v>
      </c>
      <c r="O922" t="n">
        <v>0</v>
      </c>
      <c r="P922" t="n">
        <v>0</v>
      </c>
      <c r="Q922" t="n">
        <v>0</v>
      </c>
      <c r="R922" s="2" t="inlineStr"/>
    </row>
    <row r="923" ht="15" customHeight="1">
      <c r="A923" t="inlineStr">
        <is>
          <t>A 23716-2019</t>
        </is>
      </c>
      <c r="B923" s="1" t="n">
        <v>43594</v>
      </c>
      <c r="C923" s="1" t="n">
        <v>45736</v>
      </c>
      <c r="D923" t="inlineStr">
        <is>
          <t>VÄRMLANDS LÄN</t>
        </is>
      </c>
      <c r="E923" t="inlineStr">
        <is>
          <t>ÅRJÄNG</t>
        </is>
      </c>
      <c r="G923" t="n">
        <v>4.3</v>
      </c>
      <c r="H923" t="n">
        <v>0</v>
      </c>
      <c r="I923" t="n">
        <v>0</v>
      </c>
      <c r="J923" t="n">
        <v>0</v>
      </c>
      <c r="K923" t="n">
        <v>0</v>
      </c>
      <c r="L923" t="n">
        <v>0</v>
      </c>
      <c r="M923" t="n">
        <v>0</v>
      </c>
      <c r="N923" t="n">
        <v>0</v>
      </c>
      <c r="O923" t="n">
        <v>0</v>
      </c>
      <c r="P923" t="n">
        <v>0</v>
      </c>
      <c r="Q923" t="n">
        <v>0</v>
      </c>
      <c r="R923" s="2" t="inlineStr"/>
    </row>
    <row r="924" ht="15" customHeight="1">
      <c r="A924" t="inlineStr">
        <is>
          <t>A 24812-2019</t>
        </is>
      </c>
      <c r="B924" s="1" t="n">
        <v>43594</v>
      </c>
      <c r="C924" s="1" t="n">
        <v>45736</v>
      </c>
      <c r="D924" t="inlineStr">
        <is>
          <t>VÄRMLANDS LÄN</t>
        </is>
      </c>
      <c r="E924" t="inlineStr">
        <is>
          <t>SÄFFLE</t>
        </is>
      </c>
      <c r="G924" t="n">
        <v>5.6</v>
      </c>
      <c r="H924" t="n">
        <v>0</v>
      </c>
      <c r="I924" t="n">
        <v>0</v>
      </c>
      <c r="J924" t="n">
        <v>0</v>
      </c>
      <c r="K924" t="n">
        <v>0</v>
      </c>
      <c r="L924" t="n">
        <v>0</v>
      </c>
      <c r="M924" t="n">
        <v>0</v>
      </c>
      <c r="N924" t="n">
        <v>0</v>
      </c>
      <c r="O924" t="n">
        <v>0</v>
      </c>
      <c r="P924" t="n">
        <v>0</v>
      </c>
      <c r="Q924" t="n">
        <v>0</v>
      </c>
      <c r="R924" s="2" t="inlineStr"/>
    </row>
    <row r="925" ht="15" customHeight="1">
      <c r="A925" t="inlineStr">
        <is>
          <t>A 23646-2019</t>
        </is>
      </c>
      <c r="B925" s="1" t="n">
        <v>43594</v>
      </c>
      <c r="C925" s="1" t="n">
        <v>45736</v>
      </c>
      <c r="D925" t="inlineStr">
        <is>
          <t>VÄRMLANDS LÄN</t>
        </is>
      </c>
      <c r="E925" t="inlineStr">
        <is>
          <t>ARVIKA</t>
        </is>
      </c>
      <c r="G925" t="n">
        <v>3.8</v>
      </c>
      <c r="H925" t="n">
        <v>0</v>
      </c>
      <c r="I925" t="n">
        <v>0</v>
      </c>
      <c r="J925" t="n">
        <v>0</v>
      </c>
      <c r="K925" t="n">
        <v>0</v>
      </c>
      <c r="L925" t="n">
        <v>0</v>
      </c>
      <c r="M925" t="n">
        <v>0</v>
      </c>
      <c r="N925" t="n">
        <v>0</v>
      </c>
      <c r="O925" t="n">
        <v>0</v>
      </c>
      <c r="P925" t="n">
        <v>0</v>
      </c>
      <c r="Q925" t="n">
        <v>0</v>
      </c>
      <c r="R925" s="2" t="inlineStr"/>
    </row>
    <row r="926" ht="15" customHeight="1">
      <c r="A926" t="inlineStr">
        <is>
          <t>A 23570-2019</t>
        </is>
      </c>
      <c r="B926" s="1" t="n">
        <v>43594</v>
      </c>
      <c r="C926" s="1" t="n">
        <v>45736</v>
      </c>
      <c r="D926" t="inlineStr">
        <is>
          <t>VÄRMLANDS LÄN</t>
        </is>
      </c>
      <c r="E926" t="inlineStr">
        <is>
          <t>ÅRJÄNG</t>
        </is>
      </c>
      <c r="G926" t="n">
        <v>2.9</v>
      </c>
      <c r="H926" t="n">
        <v>0</v>
      </c>
      <c r="I926" t="n">
        <v>0</v>
      </c>
      <c r="J926" t="n">
        <v>0</v>
      </c>
      <c r="K926" t="n">
        <v>0</v>
      </c>
      <c r="L926" t="n">
        <v>0</v>
      </c>
      <c r="M926" t="n">
        <v>0</v>
      </c>
      <c r="N926" t="n">
        <v>0</v>
      </c>
      <c r="O926" t="n">
        <v>0</v>
      </c>
      <c r="P926" t="n">
        <v>0</v>
      </c>
      <c r="Q926" t="n">
        <v>0</v>
      </c>
      <c r="R926" s="2" t="inlineStr"/>
    </row>
    <row r="927" ht="15" customHeight="1">
      <c r="A927" t="inlineStr">
        <is>
          <t>A 23658-2019</t>
        </is>
      </c>
      <c r="B927" s="1" t="n">
        <v>43594</v>
      </c>
      <c r="C927" s="1" t="n">
        <v>45736</v>
      </c>
      <c r="D927" t="inlineStr">
        <is>
          <t>VÄRMLANDS LÄN</t>
        </is>
      </c>
      <c r="E927" t="inlineStr">
        <is>
          <t>SÄFFLE</t>
        </is>
      </c>
      <c r="G927" t="n">
        <v>2.1</v>
      </c>
      <c r="H927" t="n">
        <v>0</v>
      </c>
      <c r="I927" t="n">
        <v>0</v>
      </c>
      <c r="J927" t="n">
        <v>0</v>
      </c>
      <c r="K927" t="n">
        <v>0</v>
      </c>
      <c r="L927" t="n">
        <v>0</v>
      </c>
      <c r="M927" t="n">
        <v>0</v>
      </c>
      <c r="N927" t="n">
        <v>0</v>
      </c>
      <c r="O927" t="n">
        <v>0</v>
      </c>
      <c r="P927" t="n">
        <v>0</v>
      </c>
      <c r="Q927" t="n">
        <v>0</v>
      </c>
      <c r="R927" s="2" t="inlineStr"/>
    </row>
    <row r="928" ht="15" customHeight="1">
      <c r="A928" t="inlineStr">
        <is>
          <t>A 24804-2019</t>
        </is>
      </c>
      <c r="B928" s="1" t="n">
        <v>43594</v>
      </c>
      <c r="C928" s="1" t="n">
        <v>45736</v>
      </c>
      <c r="D928" t="inlineStr">
        <is>
          <t>VÄRMLANDS LÄN</t>
        </is>
      </c>
      <c r="E928" t="inlineStr">
        <is>
          <t>SÄFFLE</t>
        </is>
      </c>
      <c r="G928" t="n">
        <v>1.5</v>
      </c>
      <c r="H928" t="n">
        <v>0</v>
      </c>
      <c r="I928" t="n">
        <v>0</v>
      </c>
      <c r="J928" t="n">
        <v>0</v>
      </c>
      <c r="K928" t="n">
        <v>0</v>
      </c>
      <c r="L928" t="n">
        <v>0</v>
      </c>
      <c r="M928" t="n">
        <v>0</v>
      </c>
      <c r="N928" t="n">
        <v>0</v>
      </c>
      <c r="O928" t="n">
        <v>0</v>
      </c>
      <c r="P928" t="n">
        <v>0</v>
      </c>
      <c r="Q928" t="n">
        <v>0</v>
      </c>
      <c r="R928" s="2" t="inlineStr"/>
    </row>
    <row r="929" ht="15" customHeight="1">
      <c r="A929" t="inlineStr">
        <is>
          <t>A 24684-2019</t>
        </is>
      </c>
      <c r="B929" s="1" t="n">
        <v>43594</v>
      </c>
      <c r="C929" s="1" t="n">
        <v>45736</v>
      </c>
      <c r="D929" t="inlineStr">
        <is>
          <t>VÄRMLANDS LÄN</t>
        </is>
      </c>
      <c r="E929" t="inlineStr">
        <is>
          <t>SÄFFLE</t>
        </is>
      </c>
      <c r="G929" t="n">
        <v>1.5</v>
      </c>
      <c r="H929" t="n">
        <v>0</v>
      </c>
      <c r="I929" t="n">
        <v>0</v>
      </c>
      <c r="J929" t="n">
        <v>0</v>
      </c>
      <c r="K929" t="n">
        <v>0</v>
      </c>
      <c r="L929" t="n">
        <v>0</v>
      </c>
      <c r="M929" t="n">
        <v>0</v>
      </c>
      <c r="N929" t="n">
        <v>0</v>
      </c>
      <c r="O929" t="n">
        <v>0</v>
      </c>
      <c r="P929" t="n">
        <v>0</v>
      </c>
      <c r="Q929" t="n">
        <v>0</v>
      </c>
      <c r="R929" s="2" t="inlineStr"/>
    </row>
    <row r="930" ht="15" customHeight="1">
      <c r="A930" t="inlineStr">
        <is>
          <t>A 24808-2019</t>
        </is>
      </c>
      <c r="B930" s="1" t="n">
        <v>43594</v>
      </c>
      <c r="C930" s="1" t="n">
        <v>45736</v>
      </c>
      <c r="D930" t="inlineStr">
        <is>
          <t>VÄRMLANDS LÄN</t>
        </is>
      </c>
      <c r="E930" t="inlineStr">
        <is>
          <t>SÄFFLE</t>
        </is>
      </c>
      <c r="G930" t="n">
        <v>0.9</v>
      </c>
      <c r="H930" t="n">
        <v>0</v>
      </c>
      <c r="I930" t="n">
        <v>0</v>
      </c>
      <c r="J930" t="n">
        <v>0</v>
      </c>
      <c r="K930" t="n">
        <v>0</v>
      </c>
      <c r="L930" t="n">
        <v>0</v>
      </c>
      <c r="M930" t="n">
        <v>0</v>
      </c>
      <c r="N930" t="n">
        <v>0</v>
      </c>
      <c r="O930" t="n">
        <v>0</v>
      </c>
      <c r="P930" t="n">
        <v>0</v>
      </c>
      <c r="Q930" t="n">
        <v>0</v>
      </c>
      <c r="R930" s="2" t="inlineStr"/>
    </row>
    <row r="931" ht="15" customHeight="1">
      <c r="A931" t="inlineStr">
        <is>
          <t>A 24795-2019</t>
        </is>
      </c>
      <c r="B931" s="1" t="n">
        <v>43594</v>
      </c>
      <c r="C931" s="1" t="n">
        <v>45736</v>
      </c>
      <c r="D931" t="inlineStr">
        <is>
          <t>VÄRMLANDS LÄN</t>
        </is>
      </c>
      <c r="E931" t="inlineStr">
        <is>
          <t>SÄFFLE</t>
        </is>
      </c>
      <c r="G931" t="n">
        <v>1.1</v>
      </c>
      <c r="H931" t="n">
        <v>0</v>
      </c>
      <c r="I931" t="n">
        <v>0</v>
      </c>
      <c r="J931" t="n">
        <v>0</v>
      </c>
      <c r="K931" t="n">
        <v>0</v>
      </c>
      <c r="L931" t="n">
        <v>0</v>
      </c>
      <c r="M931" t="n">
        <v>0</v>
      </c>
      <c r="N931" t="n">
        <v>0</v>
      </c>
      <c r="O931" t="n">
        <v>0</v>
      </c>
      <c r="P931" t="n">
        <v>0</v>
      </c>
      <c r="Q931" t="n">
        <v>0</v>
      </c>
      <c r="R931" s="2" t="inlineStr"/>
    </row>
    <row r="932" ht="15" customHeight="1">
      <c r="A932" t="inlineStr">
        <is>
          <t>A 23900-2019</t>
        </is>
      </c>
      <c r="B932" s="1" t="n">
        <v>43595</v>
      </c>
      <c r="C932" s="1" t="n">
        <v>45736</v>
      </c>
      <c r="D932" t="inlineStr">
        <is>
          <t>VÄRMLANDS LÄN</t>
        </is>
      </c>
      <c r="E932" t="inlineStr">
        <is>
          <t>KARLSTAD</t>
        </is>
      </c>
      <c r="G932" t="n">
        <v>0.6</v>
      </c>
      <c r="H932" t="n">
        <v>0</v>
      </c>
      <c r="I932" t="n">
        <v>0</v>
      </c>
      <c r="J932" t="n">
        <v>0</v>
      </c>
      <c r="K932" t="n">
        <v>0</v>
      </c>
      <c r="L932" t="n">
        <v>0</v>
      </c>
      <c r="M932" t="n">
        <v>0</v>
      </c>
      <c r="N932" t="n">
        <v>0</v>
      </c>
      <c r="O932" t="n">
        <v>0</v>
      </c>
      <c r="P932" t="n">
        <v>0</v>
      </c>
      <c r="Q932" t="n">
        <v>0</v>
      </c>
      <c r="R932" s="2" t="inlineStr"/>
    </row>
    <row r="933" ht="15" customHeight="1">
      <c r="A933" t="inlineStr">
        <is>
          <t>A 23892-2019</t>
        </is>
      </c>
      <c r="B933" s="1" t="n">
        <v>43595</v>
      </c>
      <c r="C933" s="1" t="n">
        <v>45736</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23893-2019</t>
        </is>
      </c>
      <c r="B934" s="1" t="n">
        <v>43595</v>
      </c>
      <c r="C934" s="1" t="n">
        <v>45736</v>
      </c>
      <c r="D934" t="inlineStr">
        <is>
          <t>VÄRMLANDS LÄN</t>
        </is>
      </c>
      <c r="E934" t="inlineStr">
        <is>
          <t>SUNNE</t>
        </is>
      </c>
      <c r="G934" t="n">
        <v>1</v>
      </c>
      <c r="H934" t="n">
        <v>0</v>
      </c>
      <c r="I934" t="n">
        <v>0</v>
      </c>
      <c r="J934" t="n">
        <v>0</v>
      </c>
      <c r="K934" t="n">
        <v>0</v>
      </c>
      <c r="L934" t="n">
        <v>0</v>
      </c>
      <c r="M934" t="n">
        <v>0</v>
      </c>
      <c r="N934" t="n">
        <v>0</v>
      </c>
      <c r="O934" t="n">
        <v>0</v>
      </c>
      <c r="P934" t="n">
        <v>0</v>
      </c>
      <c r="Q934" t="n">
        <v>0</v>
      </c>
      <c r="R934" s="2" t="inlineStr"/>
    </row>
    <row r="935" ht="15" customHeight="1">
      <c r="A935" t="inlineStr">
        <is>
          <t>A 23771-2019</t>
        </is>
      </c>
      <c r="B935" s="1" t="n">
        <v>43595</v>
      </c>
      <c r="C935" s="1" t="n">
        <v>45736</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24236-2019</t>
        </is>
      </c>
      <c r="B936" s="1" t="n">
        <v>43596</v>
      </c>
      <c r="C936" s="1" t="n">
        <v>45736</v>
      </c>
      <c r="D936" t="inlineStr">
        <is>
          <t>VÄRMLANDS LÄN</t>
        </is>
      </c>
      <c r="E936" t="inlineStr">
        <is>
          <t>ARVIKA</t>
        </is>
      </c>
      <c r="G936" t="n">
        <v>2</v>
      </c>
      <c r="H936" t="n">
        <v>0</v>
      </c>
      <c r="I936" t="n">
        <v>0</v>
      </c>
      <c r="J936" t="n">
        <v>0</v>
      </c>
      <c r="K936" t="n">
        <v>0</v>
      </c>
      <c r="L936" t="n">
        <v>0</v>
      </c>
      <c r="M936" t="n">
        <v>0</v>
      </c>
      <c r="N936" t="n">
        <v>0</v>
      </c>
      <c r="O936" t="n">
        <v>0</v>
      </c>
      <c r="P936" t="n">
        <v>0</v>
      </c>
      <c r="Q936" t="n">
        <v>0</v>
      </c>
      <c r="R936" s="2" t="inlineStr"/>
    </row>
    <row r="937" ht="15" customHeight="1">
      <c r="A937" t="inlineStr">
        <is>
          <t>A 24238-2019</t>
        </is>
      </c>
      <c r="B937" s="1" t="n">
        <v>43596</v>
      </c>
      <c r="C937" s="1" t="n">
        <v>45736</v>
      </c>
      <c r="D937" t="inlineStr">
        <is>
          <t>VÄRMLANDS LÄN</t>
        </is>
      </c>
      <c r="E937" t="inlineStr">
        <is>
          <t>KIL</t>
        </is>
      </c>
      <c r="G937" t="n">
        <v>2.1</v>
      </c>
      <c r="H937" t="n">
        <v>0</v>
      </c>
      <c r="I937" t="n">
        <v>0</v>
      </c>
      <c r="J937" t="n">
        <v>0</v>
      </c>
      <c r="K937" t="n">
        <v>0</v>
      </c>
      <c r="L937" t="n">
        <v>0</v>
      </c>
      <c r="M937" t="n">
        <v>0</v>
      </c>
      <c r="N937" t="n">
        <v>0</v>
      </c>
      <c r="O937" t="n">
        <v>0</v>
      </c>
      <c r="P937" t="n">
        <v>0</v>
      </c>
      <c r="Q937" t="n">
        <v>0</v>
      </c>
      <c r="R937" s="2" t="inlineStr"/>
    </row>
    <row r="938" ht="15" customHeight="1">
      <c r="A938" t="inlineStr">
        <is>
          <t>A 24240-2019</t>
        </is>
      </c>
      <c r="B938" s="1" t="n">
        <v>43596</v>
      </c>
      <c r="C938" s="1" t="n">
        <v>45736</v>
      </c>
      <c r="D938" t="inlineStr">
        <is>
          <t>VÄRMLANDS LÄN</t>
        </is>
      </c>
      <c r="E938" t="inlineStr">
        <is>
          <t>ARVIKA</t>
        </is>
      </c>
      <c r="G938" t="n">
        <v>4.4</v>
      </c>
      <c r="H938" t="n">
        <v>0</v>
      </c>
      <c r="I938" t="n">
        <v>0</v>
      </c>
      <c r="J938" t="n">
        <v>0</v>
      </c>
      <c r="K938" t="n">
        <v>0</v>
      </c>
      <c r="L938" t="n">
        <v>0</v>
      </c>
      <c r="M938" t="n">
        <v>0</v>
      </c>
      <c r="N938" t="n">
        <v>0</v>
      </c>
      <c r="O938" t="n">
        <v>0</v>
      </c>
      <c r="P938" t="n">
        <v>0</v>
      </c>
      <c r="Q938" t="n">
        <v>0</v>
      </c>
      <c r="R938" s="2" t="inlineStr"/>
    </row>
    <row r="939" ht="15" customHeight="1">
      <c r="A939" t="inlineStr">
        <is>
          <t>A 24235-2019</t>
        </is>
      </c>
      <c r="B939" s="1" t="n">
        <v>43596</v>
      </c>
      <c r="C939" s="1" t="n">
        <v>45736</v>
      </c>
      <c r="D939" t="inlineStr">
        <is>
          <t>VÄRMLANDS LÄN</t>
        </is>
      </c>
      <c r="E939" t="inlineStr">
        <is>
          <t>ARVIKA</t>
        </is>
      </c>
      <c r="G939" t="n">
        <v>0.9</v>
      </c>
      <c r="H939" t="n">
        <v>0</v>
      </c>
      <c r="I939" t="n">
        <v>0</v>
      </c>
      <c r="J939" t="n">
        <v>0</v>
      </c>
      <c r="K939" t="n">
        <v>0</v>
      </c>
      <c r="L939" t="n">
        <v>0</v>
      </c>
      <c r="M939" t="n">
        <v>0</v>
      </c>
      <c r="N939" t="n">
        <v>0</v>
      </c>
      <c r="O939" t="n">
        <v>0</v>
      </c>
      <c r="P939" t="n">
        <v>0</v>
      </c>
      <c r="Q939" t="n">
        <v>0</v>
      </c>
      <c r="R939" s="2" t="inlineStr"/>
    </row>
    <row r="940" ht="15" customHeight="1">
      <c r="A940" t="inlineStr">
        <is>
          <t>A 24249-2019</t>
        </is>
      </c>
      <c r="B940" s="1" t="n">
        <v>43596</v>
      </c>
      <c r="C940" s="1" t="n">
        <v>45736</v>
      </c>
      <c r="D940" t="inlineStr">
        <is>
          <t>VÄRMLANDS LÄN</t>
        </is>
      </c>
      <c r="E940" t="inlineStr">
        <is>
          <t>ARVIKA</t>
        </is>
      </c>
      <c r="G940" t="n">
        <v>2.5</v>
      </c>
      <c r="H940" t="n">
        <v>0</v>
      </c>
      <c r="I940" t="n">
        <v>0</v>
      </c>
      <c r="J940" t="n">
        <v>0</v>
      </c>
      <c r="K940" t="n">
        <v>0</v>
      </c>
      <c r="L940" t="n">
        <v>0</v>
      </c>
      <c r="M940" t="n">
        <v>0</v>
      </c>
      <c r="N940" t="n">
        <v>0</v>
      </c>
      <c r="O940" t="n">
        <v>0</v>
      </c>
      <c r="P940" t="n">
        <v>0</v>
      </c>
      <c r="Q940" t="n">
        <v>0</v>
      </c>
      <c r="R940" s="2" t="inlineStr"/>
    </row>
    <row r="941" ht="15" customHeight="1">
      <c r="A941" t="inlineStr">
        <is>
          <t>A 24110-2019</t>
        </is>
      </c>
      <c r="B941" s="1" t="n">
        <v>43598</v>
      </c>
      <c r="C941" s="1" t="n">
        <v>45736</v>
      </c>
      <c r="D941" t="inlineStr">
        <is>
          <t>VÄRMLANDS LÄN</t>
        </is>
      </c>
      <c r="E941" t="inlineStr">
        <is>
          <t>SÄFFLE</t>
        </is>
      </c>
      <c r="G941" t="n">
        <v>5.2</v>
      </c>
      <c r="H941" t="n">
        <v>0</v>
      </c>
      <c r="I941" t="n">
        <v>0</v>
      </c>
      <c r="J941" t="n">
        <v>0</v>
      </c>
      <c r="K941" t="n">
        <v>0</v>
      </c>
      <c r="L941" t="n">
        <v>0</v>
      </c>
      <c r="M941" t="n">
        <v>0</v>
      </c>
      <c r="N941" t="n">
        <v>0</v>
      </c>
      <c r="O941" t="n">
        <v>0</v>
      </c>
      <c r="P941" t="n">
        <v>0</v>
      </c>
      <c r="Q941" t="n">
        <v>0</v>
      </c>
      <c r="R941" s="2" t="inlineStr"/>
    </row>
    <row r="942" ht="15" customHeight="1">
      <c r="A942" t="inlineStr">
        <is>
          <t>A 24136-2019</t>
        </is>
      </c>
      <c r="B942" s="1" t="n">
        <v>43598</v>
      </c>
      <c r="C942" s="1" t="n">
        <v>45736</v>
      </c>
      <c r="D942" t="inlineStr">
        <is>
          <t>VÄRMLANDS LÄN</t>
        </is>
      </c>
      <c r="E942" t="inlineStr">
        <is>
          <t>HAGFORS</t>
        </is>
      </c>
      <c r="G942" t="n">
        <v>0.4</v>
      </c>
      <c r="H942" t="n">
        <v>0</v>
      </c>
      <c r="I942" t="n">
        <v>0</v>
      </c>
      <c r="J942" t="n">
        <v>0</v>
      </c>
      <c r="K942" t="n">
        <v>0</v>
      </c>
      <c r="L942" t="n">
        <v>0</v>
      </c>
      <c r="M942" t="n">
        <v>0</v>
      </c>
      <c r="N942" t="n">
        <v>0</v>
      </c>
      <c r="O942" t="n">
        <v>0</v>
      </c>
      <c r="P942" t="n">
        <v>0</v>
      </c>
      <c r="Q942" t="n">
        <v>0</v>
      </c>
      <c r="R942" s="2" t="inlineStr"/>
    </row>
    <row r="943" ht="15" customHeight="1">
      <c r="A943" t="inlineStr">
        <is>
          <t>A 24130-2019</t>
        </is>
      </c>
      <c r="B943" s="1" t="n">
        <v>43598</v>
      </c>
      <c r="C943" s="1" t="n">
        <v>45736</v>
      </c>
      <c r="D943" t="inlineStr">
        <is>
          <t>VÄRMLANDS LÄN</t>
        </is>
      </c>
      <c r="E943" t="inlineStr">
        <is>
          <t>HAGFORS</t>
        </is>
      </c>
      <c r="G943" t="n">
        <v>0.6</v>
      </c>
      <c r="H943" t="n">
        <v>0</v>
      </c>
      <c r="I943" t="n">
        <v>0</v>
      </c>
      <c r="J943" t="n">
        <v>0</v>
      </c>
      <c r="K943" t="n">
        <v>0</v>
      </c>
      <c r="L943" t="n">
        <v>0</v>
      </c>
      <c r="M943" t="n">
        <v>0</v>
      </c>
      <c r="N943" t="n">
        <v>0</v>
      </c>
      <c r="O943" t="n">
        <v>0</v>
      </c>
      <c r="P943" t="n">
        <v>0</v>
      </c>
      <c r="Q943" t="n">
        <v>0</v>
      </c>
      <c r="R943" s="2" t="inlineStr"/>
    </row>
    <row r="944" ht="15" customHeight="1">
      <c r="A944" t="inlineStr">
        <is>
          <t>A 24288-2019</t>
        </is>
      </c>
      <c r="B944" s="1" t="n">
        <v>43598</v>
      </c>
      <c r="C944" s="1" t="n">
        <v>45736</v>
      </c>
      <c r="D944" t="inlineStr">
        <is>
          <t>VÄRMLANDS LÄN</t>
        </is>
      </c>
      <c r="E944" t="inlineStr">
        <is>
          <t>KIL</t>
        </is>
      </c>
      <c r="G944" t="n">
        <v>1.2</v>
      </c>
      <c r="H944" t="n">
        <v>0</v>
      </c>
      <c r="I944" t="n">
        <v>0</v>
      </c>
      <c r="J944" t="n">
        <v>0</v>
      </c>
      <c r="K944" t="n">
        <v>0</v>
      </c>
      <c r="L944" t="n">
        <v>0</v>
      </c>
      <c r="M944" t="n">
        <v>0</v>
      </c>
      <c r="N944" t="n">
        <v>0</v>
      </c>
      <c r="O944" t="n">
        <v>0</v>
      </c>
      <c r="P944" t="n">
        <v>0</v>
      </c>
      <c r="Q944" t="n">
        <v>0</v>
      </c>
      <c r="R944" s="2" t="inlineStr"/>
    </row>
    <row r="945" ht="15" customHeight="1">
      <c r="A945" t="inlineStr">
        <is>
          <t>A 24002-2019</t>
        </is>
      </c>
      <c r="B945" s="1" t="n">
        <v>43598</v>
      </c>
      <c r="C945" s="1" t="n">
        <v>45736</v>
      </c>
      <c r="D945" t="inlineStr">
        <is>
          <t>VÄRMLANDS LÄN</t>
        </is>
      </c>
      <c r="E945" t="inlineStr">
        <is>
          <t>KARLSTAD</t>
        </is>
      </c>
      <c r="G945" t="n">
        <v>0.4</v>
      </c>
      <c r="H945" t="n">
        <v>0</v>
      </c>
      <c r="I945" t="n">
        <v>0</v>
      </c>
      <c r="J945" t="n">
        <v>0</v>
      </c>
      <c r="K945" t="n">
        <v>0</v>
      </c>
      <c r="L945" t="n">
        <v>0</v>
      </c>
      <c r="M945" t="n">
        <v>0</v>
      </c>
      <c r="N945" t="n">
        <v>0</v>
      </c>
      <c r="O945" t="n">
        <v>0</v>
      </c>
      <c r="P945" t="n">
        <v>0</v>
      </c>
      <c r="Q945" t="n">
        <v>0</v>
      </c>
      <c r="R945" s="2" t="inlineStr"/>
    </row>
    <row r="946" ht="15" customHeight="1">
      <c r="A946" t="inlineStr">
        <is>
          <t>A 24178-2019</t>
        </is>
      </c>
      <c r="B946" s="1" t="n">
        <v>43598</v>
      </c>
      <c r="C946" s="1" t="n">
        <v>45736</v>
      </c>
      <c r="D946" t="inlineStr">
        <is>
          <t>VÄRMLANDS LÄN</t>
        </is>
      </c>
      <c r="E946" t="inlineStr">
        <is>
          <t>SÄFFLE</t>
        </is>
      </c>
      <c r="G946" t="n">
        <v>0.7</v>
      </c>
      <c r="H946" t="n">
        <v>0</v>
      </c>
      <c r="I946" t="n">
        <v>0</v>
      </c>
      <c r="J946" t="n">
        <v>0</v>
      </c>
      <c r="K946" t="n">
        <v>0</v>
      </c>
      <c r="L946" t="n">
        <v>0</v>
      </c>
      <c r="M946" t="n">
        <v>0</v>
      </c>
      <c r="N946" t="n">
        <v>0</v>
      </c>
      <c r="O946" t="n">
        <v>0</v>
      </c>
      <c r="P946" t="n">
        <v>0</v>
      </c>
      <c r="Q946" t="n">
        <v>0</v>
      </c>
      <c r="R946" s="2" t="inlineStr"/>
    </row>
    <row r="947" ht="15" customHeight="1">
      <c r="A947" t="inlineStr">
        <is>
          <t>A 24282-2019</t>
        </is>
      </c>
      <c r="B947" s="1" t="n">
        <v>43598</v>
      </c>
      <c r="C947" s="1" t="n">
        <v>45736</v>
      </c>
      <c r="D947" t="inlineStr">
        <is>
          <t>VÄRMLANDS LÄN</t>
        </is>
      </c>
      <c r="E947" t="inlineStr">
        <is>
          <t>SÄFFLE</t>
        </is>
      </c>
      <c r="G947" t="n">
        <v>1.4</v>
      </c>
      <c r="H947" t="n">
        <v>0</v>
      </c>
      <c r="I947" t="n">
        <v>0</v>
      </c>
      <c r="J947" t="n">
        <v>0</v>
      </c>
      <c r="K947" t="n">
        <v>0</v>
      </c>
      <c r="L947" t="n">
        <v>0</v>
      </c>
      <c r="M947" t="n">
        <v>0</v>
      </c>
      <c r="N947" t="n">
        <v>0</v>
      </c>
      <c r="O947" t="n">
        <v>0</v>
      </c>
      <c r="P947" t="n">
        <v>0</v>
      </c>
      <c r="Q947" t="n">
        <v>0</v>
      </c>
      <c r="R947" s="2" t="inlineStr"/>
    </row>
    <row r="948" ht="15" customHeight="1">
      <c r="A948" t="inlineStr">
        <is>
          <t>A 24280-2019</t>
        </is>
      </c>
      <c r="B948" s="1" t="n">
        <v>43598</v>
      </c>
      <c r="C948" s="1" t="n">
        <v>45736</v>
      </c>
      <c r="D948" t="inlineStr">
        <is>
          <t>VÄRMLANDS LÄN</t>
        </is>
      </c>
      <c r="E948" t="inlineStr">
        <is>
          <t>SÄFFLE</t>
        </is>
      </c>
      <c r="G948" t="n">
        <v>1.6</v>
      </c>
      <c r="H948" t="n">
        <v>0</v>
      </c>
      <c r="I948" t="n">
        <v>0</v>
      </c>
      <c r="J948" t="n">
        <v>0</v>
      </c>
      <c r="K948" t="n">
        <v>0</v>
      </c>
      <c r="L948" t="n">
        <v>0</v>
      </c>
      <c r="M948" t="n">
        <v>0</v>
      </c>
      <c r="N948" t="n">
        <v>0</v>
      </c>
      <c r="O948" t="n">
        <v>0</v>
      </c>
      <c r="P948" t="n">
        <v>0</v>
      </c>
      <c r="Q948" t="n">
        <v>0</v>
      </c>
      <c r="R948" s="2" t="inlineStr"/>
    </row>
    <row r="949" ht="15" customHeight="1">
      <c r="A949" t="inlineStr">
        <is>
          <t>A 24337-2019</t>
        </is>
      </c>
      <c r="B949" s="1" t="n">
        <v>43598</v>
      </c>
      <c r="C949" s="1" t="n">
        <v>45736</v>
      </c>
      <c r="D949" t="inlineStr">
        <is>
          <t>VÄRMLANDS LÄN</t>
        </is>
      </c>
      <c r="E949" t="inlineStr">
        <is>
          <t>ÅRJÄNG</t>
        </is>
      </c>
      <c r="G949" t="n">
        <v>8.1</v>
      </c>
      <c r="H949" t="n">
        <v>0</v>
      </c>
      <c r="I949" t="n">
        <v>0</v>
      </c>
      <c r="J949" t="n">
        <v>0</v>
      </c>
      <c r="K949" t="n">
        <v>0</v>
      </c>
      <c r="L949" t="n">
        <v>0</v>
      </c>
      <c r="M949" t="n">
        <v>0</v>
      </c>
      <c r="N949" t="n">
        <v>0</v>
      </c>
      <c r="O949" t="n">
        <v>0</v>
      </c>
      <c r="P949" t="n">
        <v>0</v>
      </c>
      <c r="Q949" t="n">
        <v>0</v>
      </c>
      <c r="R949" s="2" t="inlineStr"/>
    </row>
    <row r="950" ht="15" customHeight="1">
      <c r="A950" t="inlineStr">
        <is>
          <t>A 24000-2019</t>
        </is>
      </c>
      <c r="B950" s="1" t="n">
        <v>43598</v>
      </c>
      <c r="C950" s="1" t="n">
        <v>45736</v>
      </c>
      <c r="D950" t="inlineStr">
        <is>
          <t>VÄRMLANDS LÄN</t>
        </is>
      </c>
      <c r="E950" t="inlineStr">
        <is>
          <t>EDA</t>
        </is>
      </c>
      <c r="G950" t="n">
        <v>0.8</v>
      </c>
      <c r="H950" t="n">
        <v>0</v>
      </c>
      <c r="I950" t="n">
        <v>0</v>
      </c>
      <c r="J950" t="n">
        <v>0</v>
      </c>
      <c r="K950" t="n">
        <v>0</v>
      </c>
      <c r="L950" t="n">
        <v>0</v>
      </c>
      <c r="M950" t="n">
        <v>0</v>
      </c>
      <c r="N950" t="n">
        <v>0</v>
      </c>
      <c r="O950" t="n">
        <v>0</v>
      </c>
      <c r="P950" t="n">
        <v>0</v>
      </c>
      <c r="Q950" t="n">
        <v>0</v>
      </c>
      <c r="R950" s="2" t="inlineStr"/>
    </row>
    <row r="951" ht="15" customHeight="1">
      <c r="A951" t="inlineStr">
        <is>
          <t>A 24028-2019</t>
        </is>
      </c>
      <c r="B951" s="1" t="n">
        <v>43598</v>
      </c>
      <c r="C951" s="1" t="n">
        <v>45736</v>
      </c>
      <c r="D951" t="inlineStr">
        <is>
          <t>VÄRMLANDS LÄN</t>
        </is>
      </c>
      <c r="E951" t="inlineStr">
        <is>
          <t>KARLSTAD</t>
        </is>
      </c>
      <c r="G951" t="n">
        <v>0.6</v>
      </c>
      <c r="H951" t="n">
        <v>0</v>
      </c>
      <c r="I951" t="n">
        <v>0</v>
      </c>
      <c r="J951" t="n">
        <v>0</v>
      </c>
      <c r="K951" t="n">
        <v>0</v>
      </c>
      <c r="L951" t="n">
        <v>0</v>
      </c>
      <c r="M951" t="n">
        <v>0</v>
      </c>
      <c r="N951" t="n">
        <v>0</v>
      </c>
      <c r="O951" t="n">
        <v>0</v>
      </c>
      <c r="P951" t="n">
        <v>0</v>
      </c>
      <c r="Q951" t="n">
        <v>0</v>
      </c>
      <c r="R951" s="2" t="inlineStr"/>
    </row>
    <row r="952" ht="15" customHeight="1">
      <c r="A952" t="inlineStr">
        <is>
          <t>A 24059-2019</t>
        </is>
      </c>
      <c r="B952" s="1" t="n">
        <v>43598</v>
      </c>
      <c r="C952" s="1" t="n">
        <v>45736</v>
      </c>
      <c r="D952" t="inlineStr">
        <is>
          <t>VÄRMLANDS LÄN</t>
        </is>
      </c>
      <c r="E952" t="inlineStr">
        <is>
          <t>SÄFFLE</t>
        </is>
      </c>
      <c r="G952" t="n">
        <v>1.2</v>
      </c>
      <c r="H952" t="n">
        <v>0</v>
      </c>
      <c r="I952" t="n">
        <v>0</v>
      </c>
      <c r="J952" t="n">
        <v>0</v>
      </c>
      <c r="K952" t="n">
        <v>0</v>
      </c>
      <c r="L952" t="n">
        <v>0</v>
      </c>
      <c r="M952" t="n">
        <v>0</v>
      </c>
      <c r="N952" t="n">
        <v>0</v>
      </c>
      <c r="O952" t="n">
        <v>0</v>
      </c>
      <c r="P952" t="n">
        <v>0</v>
      </c>
      <c r="Q952" t="n">
        <v>0</v>
      </c>
      <c r="R952" s="2" t="inlineStr"/>
    </row>
    <row r="953" ht="15" customHeight="1">
      <c r="A953" t="inlineStr">
        <is>
          <t>A 24215-2019</t>
        </is>
      </c>
      <c r="B953" s="1" t="n">
        <v>43599</v>
      </c>
      <c r="C953" s="1" t="n">
        <v>45736</v>
      </c>
      <c r="D953" t="inlineStr">
        <is>
          <t>VÄRMLANDS LÄN</t>
        </is>
      </c>
      <c r="E953" t="inlineStr">
        <is>
          <t>FORSHAGA</t>
        </is>
      </c>
      <c r="G953" t="n">
        <v>4.1</v>
      </c>
      <c r="H953" t="n">
        <v>0</v>
      </c>
      <c r="I953" t="n">
        <v>0</v>
      </c>
      <c r="J953" t="n">
        <v>0</v>
      </c>
      <c r="K953" t="n">
        <v>0</v>
      </c>
      <c r="L953" t="n">
        <v>0</v>
      </c>
      <c r="M953" t="n">
        <v>0</v>
      </c>
      <c r="N953" t="n">
        <v>0</v>
      </c>
      <c r="O953" t="n">
        <v>0</v>
      </c>
      <c r="P953" t="n">
        <v>0</v>
      </c>
      <c r="Q953" t="n">
        <v>0</v>
      </c>
      <c r="R953" s="2" t="inlineStr"/>
    </row>
    <row r="954" ht="15" customHeight="1">
      <c r="A954" t="inlineStr">
        <is>
          <t>A 24289-2019</t>
        </is>
      </c>
      <c r="B954" s="1" t="n">
        <v>43599</v>
      </c>
      <c r="C954" s="1" t="n">
        <v>45736</v>
      </c>
      <c r="D954" t="inlineStr">
        <is>
          <t>VÄRMLANDS LÄN</t>
        </is>
      </c>
      <c r="E954" t="inlineStr">
        <is>
          <t>KIL</t>
        </is>
      </c>
      <c r="G954" t="n">
        <v>0.6</v>
      </c>
      <c r="H954" t="n">
        <v>0</v>
      </c>
      <c r="I954" t="n">
        <v>0</v>
      </c>
      <c r="J954" t="n">
        <v>0</v>
      </c>
      <c r="K954" t="n">
        <v>0</v>
      </c>
      <c r="L954" t="n">
        <v>0</v>
      </c>
      <c r="M954" t="n">
        <v>0</v>
      </c>
      <c r="N954" t="n">
        <v>0</v>
      </c>
      <c r="O954" t="n">
        <v>0</v>
      </c>
      <c r="P954" t="n">
        <v>0</v>
      </c>
      <c r="Q954" t="n">
        <v>0</v>
      </c>
      <c r="R954" s="2" t="inlineStr"/>
    </row>
    <row r="955" ht="15" customHeight="1">
      <c r="A955" t="inlineStr">
        <is>
          <t>A 24667-2019</t>
        </is>
      </c>
      <c r="B955" s="1" t="n">
        <v>43599</v>
      </c>
      <c r="C955" s="1" t="n">
        <v>45736</v>
      </c>
      <c r="D955" t="inlineStr">
        <is>
          <t>VÄRMLANDS LÄN</t>
        </is>
      </c>
      <c r="E955" t="inlineStr">
        <is>
          <t>TORSBY</t>
        </is>
      </c>
      <c r="G955" t="n">
        <v>6.7</v>
      </c>
      <c r="H955" t="n">
        <v>0</v>
      </c>
      <c r="I955" t="n">
        <v>0</v>
      </c>
      <c r="J955" t="n">
        <v>0</v>
      </c>
      <c r="K955" t="n">
        <v>0</v>
      </c>
      <c r="L955" t="n">
        <v>0</v>
      </c>
      <c r="M955" t="n">
        <v>0</v>
      </c>
      <c r="N955" t="n">
        <v>0</v>
      </c>
      <c r="O955" t="n">
        <v>0</v>
      </c>
      <c r="P955" t="n">
        <v>0</v>
      </c>
      <c r="Q955" t="n">
        <v>0</v>
      </c>
      <c r="R955" s="2" t="inlineStr"/>
    </row>
    <row r="956" ht="15" customHeight="1">
      <c r="A956" t="inlineStr">
        <is>
          <t>A 24348-2019</t>
        </is>
      </c>
      <c r="B956" s="1" t="n">
        <v>43599</v>
      </c>
      <c r="C956" s="1" t="n">
        <v>45736</v>
      </c>
      <c r="D956" t="inlineStr">
        <is>
          <t>VÄRMLANDS LÄN</t>
        </is>
      </c>
      <c r="E956" t="inlineStr">
        <is>
          <t>KARLSTAD</t>
        </is>
      </c>
      <c r="G956" t="n">
        <v>0.8</v>
      </c>
      <c r="H956" t="n">
        <v>0</v>
      </c>
      <c r="I956" t="n">
        <v>0</v>
      </c>
      <c r="J956" t="n">
        <v>0</v>
      </c>
      <c r="K956" t="n">
        <v>0</v>
      </c>
      <c r="L956" t="n">
        <v>0</v>
      </c>
      <c r="M956" t="n">
        <v>0</v>
      </c>
      <c r="N956" t="n">
        <v>0</v>
      </c>
      <c r="O956" t="n">
        <v>0</v>
      </c>
      <c r="P956" t="n">
        <v>0</v>
      </c>
      <c r="Q956" t="n">
        <v>0</v>
      </c>
      <c r="R956" s="2" t="inlineStr"/>
    </row>
    <row r="957" ht="15" customHeight="1">
      <c r="A957" t="inlineStr">
        <is>
          <t>A 24290-2019</t>
        </is>
      </c>
      <c r="B957" s="1" t="n">
        <v>43599</v>
      </c>
      <c r="C957" s="1" t="n">
        <v>45736</v>
      </c>
      <c r="D957" t="inlineStr">
        <is>
          <t>VÄRMLANDS LÄN</t>
        </is>
      </c>
      <c r="E957" t="inlineStr">
        <is>
          <t>GRUMS</t>
        </is>
      </c>
      <c r="G957" t="n">
        <v>4.5</v>
      </c>
      <c r="H957" t="n">
        <v>0</v>
      </c>
      <c r="I957" t="n">
        <v>0</v>
      </c>
      <c r="J957" t="n">
        <v>0</v>
      </c>
      <c r="K957" t="n">
        <v>0</v>
      </c>
      <c r="L957" t="n">
        <v>0</v>
      </c>
      <c r="M957" t="n">
        <v>0</v>
      </c>
      <c r="N957" t="n">
        <v>0</v>
      </c>
      <c r="O957" t="n">
        <v>0</v>
      </c>
      <c r="P957" t="n">
        <v>0</v>
      </c>
      <c r="Q957" t="n">
        <v>0</v>
      </c>
      <c r="R957" s="2" t="inlineStr"/>
    </row>
    <row r="958" ht="15" customHeight="1">
      <c r="A958" t="inlineStr">
        <is>
          <t>A 24423-2019</t>
        </is>
      </c>
      <c r="B958" s="1" t="n">
        <v>43599</v>
      </c>
      <c r="C958" s="1" t="n">
        <v>45736</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24412-2019</t>
        </is>
      </c>
      <c r="B959" s="1" t="n">
        <v>43600</v>
      </c>
      <c r="C959" s="1" t="n">
        <v>45736</v>
      </c>
      <c r="D959" t="inlineStr">
        <is>
          <t>VÄRMLANDS LÄN</t>
        </is>
      </c>
      <c r="E959" t="inlineStr">
        <is>
          <t>EDA</t>
        </is>
      </c>
      <c r="G959" t="n">
        <v>2</v>
      </c>
      <c r="H959" t="n">
        <v>0</v>
      </c>
      <c r="I959" t="n">
        <v>0</v>
      </c>
      <c r="J959" t="n">
        <v>0</v>
      </c>
      <c r="K959" t="n">
        <v>0</v>
      </c>
      <c r="L959" t="n">
        <v>0</v>
      </c>
      <c r="M959" t="n">
        <v>0</v>
      </c>
      <c r="N959" t="n">
        <v>0</v>
      </c>
      <c r="O959" t="n">
        <v>0</v>
      </c>
      <c r="P959" t="n">
        <v>0</v>
      </c>
      <c r="Q959" t="n">
        <v>0</v>
      </c>
      <c r="R959" s="2" t="inlineStr"/>
    </row>
    <row r="960" ht="15" customHeight="1">
      <c r="A960" t="inlineStr">
        <is>
          <t>A 24400-2019</t>
        </is>
      </c>
      <c r="B960" s="1" t="n">
        <v>43600</v>
      </c>
      <c r="C960" s="1" t="n">
        <v>45736</v>
      </c>
      <c r="D960" t="inlineStr">
        <is>
          <t>VÄRMLANDS LÄN</t>
        </is>
      </c>
      <c r="E960" t="inlineStr">
        <is>
          <t>KARLSTAD</t>
        </is>
      </c>
      <c r="G960" t="n">
        <v>17</v>
      </c>
      <c r="H960" t="n">
        <v>0</v>
      </c>
      <c r="I960" t="n">
        <v>0</v>
      </c>
      <c r="J960" t="n">
        <v>0</v>
      </c>
      <c r="K960" t="n">
        <v>0</v>
      </c>
      <c r="L960" t="n">
        <v>0</v>
      </c>
      <c r="M960" t="n">
        <v>0</v>
      </c>
      <c r="N960" t="n">
        <v>0</v>
      </c>
      <c r="O960" t="n">
        <v>0</v>
      </c>
      <c r="P960" t="n">
        <v>0</v>
      </c>
      <c r="Q960" t="n">
        <v>0</v>
      </c>
      <c r="R960" s="2" t="inlineStr"/>
    </row>
    <row r="961" ht="15" customHeight="1">
      <c r="A961" t="inlineStr">
        <is>
          <t>A 24414-2019</t>
        </is>
      </c>
      <c r="B961" s="1" t="n">
        <v>43600</v>
      </c>
      <c r="C961" s="1" t="n">
        <v>45736</v>
      </c>
      <c r="D961" t="inlineStr">
        <is>
          <t>VÄRMLANDS LÄN</t>
        </is>
      </c>
      <c r="E961" t="inlineStr">
        <is>
          <t>ARVIKA</t>
        </is>
      </c>
      <c r="G961" t="n">
        <v>1.2</v>
      </c>
      <c r="H961" t="n">
        <v>0</v>
      </c>
      <c r="I961" t="n">
        <v>0</v>
      </c>
      <c r="J961" t="n">
        <v>0</v>
      </c>
      <c r="K961" t="n">
        <v>0</v>
      </c>
      <c r="L961" t="n">
        <v>0</v>
      </c>
      <c r="M961" t="n">
        <v>0</v>
      </c>
      <c r="N961" t="n">
        <v>0</v>
      </c>
      <c r="O961" t="n">
        <v>0</v>
      </c>
      <c r="P961" t="n">
        <v>0</v>
      </c>
      <c r="Q961" t="n">
        <v>0</v>
      </c>
      <c r="R961" s="2" t="inlineStr"/>
    </row>
    <row r="962" ht="15" customHeight="1">
      <c r="A962" t="inlineStr">
        <is>
          <t>A 24521-2019</t>
        </is>
      </c>
      <c r="B962" s="1" t="n">
        <v>43600</v>
      </c>
      <c r="C962" s="1" t="n">
        <v>45736</v>
      </c>
      <c r="D962" t="inlineStr">
        <is>
          <t>VÄRMLANDS LÄN</t>
        </is>
      </c>
      <c r="E962" t="inlineStr">
        <is>
          <t>KIL</t>
        </is>
      </c>
      <c r="G962" t="n">
        <v>0.6</v>
      </c>
      <c r="H962" t="n">
        <v>0</v>
      </c>
      <c r="I962" t="n">
        <v>0</v>
      </c>
      <c r="J962" t="n">
        <v>0</v>
      </c>
      <c r="K962" t="n">
        <v>0</v>
      </c>
      <c r="L962" t="n">
        <v>0</v>
      </c>
      <c r="M962" t="n">
        <v>0</v>
      </c>
      <c r="N962" t="n">
        <v>0</v>
      </c>
      <c r="O962" t="n">
        <v>0</v>
      </c>
      <c r="P962" t="n">
        <v>0</v>
      </c>
      <c r="Q962" t="n">
        <v>0</v>
      </c>
      <c r="R962" s="2" t="inlineStr"/>
    </row>
    <row r="963" ht="15" customHeight="1">
      <c r="A963" t="inlineStr">
        <is>
          <t>A 24468-2019</t>
        </is>
      </c>
      <c r="B963" s="1" t="n">
        <v>43600</v>
      </c>
      <c r="C963" s="1" t="n">
        <v>45736</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24401-2019</t>
        </is>
      </c>
      <c r="B964" s="1" t="n">
        <v>43600</v>
      </c>
      <c r="C964" s="1" t="n">
        <v>45736</v>
      </c>
      <c r="D964" t="inlineStr">
        <is>
          <t>VÄRMLANDS LÄN</t>
        </is>
      </c>
      <c r="E964" t="inlineStr">
        <is>
          <t>KARLSTAD</t>
        </is>
      </c>
      <c r="G964" t="n">
        <v>3.9</v>
      </c>
      <c r="H964" t="n">
        <v>0</v>
      </c>
      <c r="I964" t="n">
        <v>0</v>
      </c>
      <c r="J964" t="n">
        <v>0</v>
      </c>
      <c r="K964" t="n">
        <v>0</v>
      </c>
      <c r="L964" t="n">
        <v>0</v>
      </c>
      <c r="M964" t="n">
        <v>0</v>
      </c>
      <c r="N964" t="n">
        <v>0</v>
      </c>
      <c r="O964" t="n">
        <v>0</v>
      </c>
      <c r="P964" t="n">
        <v>0</v>
      </c>
      <c r="Q964" t="n">
        <v>0</v>
      </c>
      <c r="R964" s="2" t="inlineStr"/>
    </row>
    <row r="965" ht="15" customHeight="1">
      <c r="A965" t="inlineStr">
        <is>
          <t>A 25207-2019</t>
        </is>
      </c>
      <c r="B965" s="1" t="n">
        <v>43600</v>
      </c>
      <c r="C965" s="1" t="n">
        <v>45736</v>
      </c>
      <c r="D965" t="inlineStr">
        <is>
          <t>VÄRMLANDS LÄN</t>
        </is>
      </c>
      <c r="E965" t="inlineStr">
        <is>
          <t>KIL</t>
        </is>
      </c>
      <c r="G965" t="n">
        <v>1.1</v>
      </c>
      <c r="H965" t="n">
        <v>0</v>
      </c>
      <c r="I965" t="n">
        <v>0</v>
      </c>
      <c r="J965" t="n">
        <v>0</v>
      </c>
      <c r="K965" t="n">
        <v>0</v>
      </c>
      <c r="L965" t="n">
        <v>0</v>
      </c>
      <c r="M965" t="n">
        <v>0</v>
      </c>
      <c r="N965" t="n">
        <v>0</v>
      </c>
      <c r="O965" t="n">
        <v>0</v>
      </c>
      <c r="P965" t="n">
        <v>0</v>
      </c>
      <c r="Q965" t="n">
        <v>0</v>
      </c>
      <c r="R965" s="2" t="inlineStr"/>
    </row>
    <row r="966" ht="15" customHeight="1">
      <c r="A966" t="inlineStr">
        <is>
          <t>A 24733-2019</t>
        </is>
      </c>
      <c r="B966" s="1" t="n">
        <v>43601</v>
      </c>
      <c r="C966" s="1" t="n">
        <v>45736</v>
      </c>
      <c r="D966" t="inlineStr">
        <is>
          <t>VÄRMLANDS LÄN</t>
        </is>
      </c>
      <c r="E966" t="inlineStr">
        <is>
          <t>GRUMS</t>
        </is>
      </c>
      <c r="G966" t="n">
        <v>1.1</v>
      </c>
      <c r="H966" t="n">
        <v>0</v>
      </c>
      <c r="I966" t="n">
        <v>0</v>
      </c>
      <c r="J966" t="n">
        <v>0</v>
      </c>
      <c r="K966" t="n">
        <v>0</v>
      </c>
      <c r="L966" t="n">
        <v>0</v>
      </c>
      <c r="M966" t="n">
        <v>0</v>
      </c>
      <c r="N966" t="n">
        <v>0</v>
      </c>
      <c r="O966" t="n">
        <v>0</v>
      </c>
      <c r="P966" t="n">
        <v>0</v>
      </c>
      <c r="Q966" t="n">
        <v>0</v>
      </c>
      <c r="R966" s="2" t="inlineStr"/>
    </row>
    <row r="967" ht="15" customHeight="1">
      <c r="A967" t="inlineStr">
        <is>
          <t>A 24703-2019</t>
        </is>
      </c>
      <c r="B967" s="1" t="n">
        <v>43601</v>
      </c>
      <c r="C967" s="1" t="n">
        <v>45736</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24687-2019</t>
        </is>
      </c>
      <c r="B968" s="1" t="n">
        <v>43601</v>
      </c>
      <c r="C968" s="1" t="n">
        <v>45736</v>
      </c>
      <c r="D968" t="inlineStr">
        <is>
          <t>VÄRMLANDS LÄN</t>
        </is>
      </c>
      <c r="E968" t="inlineStr">
        <is>
          <t>ARVIKA</t>
        </is>
      </c>
      <c r="G968" t="n">
        <v>2</v>
      </c>
      <c r="H968" t="n">
        <v>0</v>
      </c>
      <c r="I968" t="n">
        <v>0</v>
      </c>
      <c r="J968" t="n">
        <v>0</v>
      </c>
      <c r="K968" t="n">
        <v>0</v>
      </c>
      <c r="L968" t="n">
        <v>0</v>
      </c>
      <c r="M968" t="n">
        <v>0</v>
      </c>
      <c r="N968" t="n">
        <v>0</v>
      </c>
      <c r="O968" t="n">
        <v>0</v>
      </c>
      <c r="P968" t="n">
        <v>0</v>
      </c>
      <c r="Q968" t="n">
        <v>0</v>
      </c>
      <c r="R968" s="2" t="inlineStr"/>
    </row>
    <row r="969" ht="15" customHeight="1">
      <c r="A969" t="inlineStr">
        <is>
          <t>A 24624-2019</t>
        </is>
      </c>
      <c r="B969" s="1" t="n">
        <v>43601</v>
      </c>
      <c r="C969" s="1" t="n">
        <v>45736</v>
      </c>
      <c r="D969" t="inlineStr">
        <is>
          <t>VÄRMLANDS LÄN</t>
        </is>
      </c>
      <c r="E969" t="inlineStr">
        <is>
          <t>KARLSTAD</t>
        </is>
      </c>
      <c r="G969" t="n">
        <v>0.8</v>
      </c>
      <c r="H969" t="n">
        <v>0</v>
      </c>
      <c r="I969" t="n">
        <v>0</v>
      </c>
      <c r="J969" t="n">
        <v>0</v>
      </c>
      <c r="K969" t="n">
        <v>0</v>
      </c>
      <c r="L969" t="n">
        <v>0</v>
      </c>
      <c r="M969" t="n">
        <v>0</v>
      </c>
      <c r="N969" t="n">
        <v>0</v>
      </c>
      <c r="O969" t="n">
        <v>0</v>
      </c>
      <c r="P969" t="n">
        <v>0</v>
      </c>
      <c r="Q969" t="n">
        <v>0</v>
      </c>
      <c r="R969" s="2" t="inlineStr"/>
    </row>
    <row r="970" ht="15" customHeight="1">
      <c r="A970" t="inlineStr">
        <is>
          <t>A 25233-2019</t>
        </is>
      </c>
      <c r="B970" s="1" t="n">
        <v>43601</v>
      </c>
      <c r="C970" s="1" t="n">
        <v>45736</v>
      </c>
      <c r="D970" t="inlineStr">
        <is>
          <t>VÄRMLANDS LÄN</t>
        </is>
      </c>
      <c r="E970" t="inlineStr">
        <is>
          <t>GRUMS</t>
        </is>
      </c>
      <c r="G970" t="n">
        <v>1</v>
      </c>
      <c r="H970" t="n">
        <v>0</v>
      </c>
      <c r="I970" t="n">
        <v>0</v>
      </c>
      <c r="J970" t="n">
        <v>0</v>
      </c>
      <c r="K970" t="n">
        <v>0</v>
      </c>
      <c r="L970" t="n">
        <v>0</v>
      </c>
      <c r="M970" t="n">
        <v>0</v>
      </c>
      <c r="N970" t="n">
        <v>0</v>
      </c>
      <c r="O970" t="n">
        <v>0</v>
      </c>
      <c r="P970" t="n">
        <v>0</v>
      </c>
      <c r="Q970" t="n">
        <v>0</v>
      </c>
      <c r="R970" s="2" t="inlineStr"/>
    </row>
    <row r="971" ht="15" customHeight="1">
      <c r="A971" t="inlineStr">
        <is>
          <t>A 24763-2019</t>
        </is>
      </c>
      <c r="B971" s="1" t="n">
        <v>43601</v>
      </c>
      <c r="C971" s="1" t="n">
        <v>45736</v>
      </c>
      <c r="D971" t="inlineStr">
        <is>
          <t>VÄRMLANDS LÄN</t>
        </is>
      </c>
      <c r="E971" t="inlineStr">
        <is>
          <t>ARVIKA</t>
        </is>
      </c>
      <c r="G971" t="n">
        <v>0.9</v>
      </c>
      <c r="H971" t="n">
        <v>0</v>
      </c>
      <c r="I971" t="n">
        <v>0</v>
      </c>
      <c r="J971" t="n">
        <v>0</v>
      </c>
      <c r="K971" t="n">
        <v>0</v>
      </c>
      <c r="L971" t="n">
        <v>0</v>
      </c>
      <c r="M971" t="n">
        <v>0</v>
      </c>
      <c r="N971" t="n">
        <v>0</v>
      </c>
      <c r="O971" t="n">
        <v>0</v>
      </c>
      <c r="P971" t="n">
        <v>0</v>
      </c>
      <c r="Q971" t="n">
        <v>0</v>
      </c>
      <c r="R971" s="2" t="inlineStr"/>
    </row>
    <row r="972" ht="15" customHeight="1">
      <c r="A972" t="inlineStr">
        <is>
          <t>A 25228-2019</t>
        </is>
      </c>
      <c r="B972" s="1" t="n">
        <v>43601</v>
      </c>
      <c r="C972" s="1" t="n">
        <v>45736</v>
      </c>
      <c r="D972" t="inlineStr">
        <is>
          <t>VÄRMLANDS LÄN</t>
        </is>
      </c>
      <c r="E972" t="inlineStr">
        <is>
          <t>GRUMS</t>
        </is>
      </c>
      <c r="G972" t="n">
        <v>2.8</v>
      </c>
      <c r="H972" t="n">
        <v>0</v>
      </c>
      <c r="I972" t="n">
        <v>0</v>
      </c>
      <c r="J972" t="n">
        <v>0</v>
      </c>
      <c r="K972" t="n">
        <v>0</v>
      </c>
      <c r="L972" t="n">
        <v>0</v>
      </c>
      <c r="M972" t="n">
        <v>0</v>
      </c>
      <c r="N972" t="n">
        <v>0</v>
      </c>
      <c r="O972" t="n">
        <v>0</v>
      </c>
      <c r="P972" t="n">
        <v>0</v>
      </c>
      <c r="Q972" t="n">
        <v>0</v>
      </c>
      <c r="R972" s="2" t="inlineStr"/>
    </row>
    <row r="973" ht="15" customHeight="1">
      <c r="A973" t="inlineStr">
        <is>
          <t>A 24902-2019</t>
        </is>
      </c>
      <c r="B973" s="1" t="n">
        <v>43602</v>
      </c>
      <c r="C973" s="1" t="n">
        <v>45736</v>
      </c>
      <c r="D973" t="inlineStr">
        <is>
          <t>VÄRMLANDS LÄN</t>
        </is>
      </c>
      <c r="E973" t="inlineStr">
        <is>
          <t>FILIPSTAD</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25041-2019</t>
        </is>
      </c>
      <c r="B974" s="1" t="n">
        <v>43603</v>
      </c>
      <c r="C974" s="1" t="n">
        <v>45736</v>
      </c>
      <c r="D974" t="inlineStr">
        <is>
          <t>VÄRMLANDS LÄN</t>
        </is>
      </c>
      <c r="E974" t="inlineStr">
        <is>
          <t>FILIPSTAD</t>
        </is>
      </c>
      <c r="F974" t="inlineStr">
        <is>
          <t>Bergvik skog väst AB</t>
        </is>
      </c>
      <c r="G974" t="n">
        <v>4.3</v>
      </c>
      <c r="H974" t="n">
        <v>0</v>
      </c>
      <c r="I974" t="n">
        <v>0</v>
      </c>
      <c r="J974" t="n">
        <v>0</v>
      </c>
      <c r="K974" t="n">
        <v>0</v>
      </c>
      <c r="L974" t="n">
        <v>0</v>
      </c>
      <c r="M974" t="n">
        <v>0</v>
      </c>
      <c r="N974" t="n">
        <v>0</v>
      </c>
      <c r="O974" t="n">
        <v>0</v>
      </c>
      <c r="P974" t="n">
        <v>0</v>
      </c>
      <c r="Q974" t="n">
        <v>0</v>
      </c>
      <c r="R974" s="2" t="inlineStr"/>
    </row>
    <row r="975" ht="15" customHeight="1">
      <c r="A975" t="inlineStr">
        <is>
          <t>A 25045-2019</t>
        </is>
      </c>
      <c r="B975" s="1" t="n">
        <v>43604</v>
      </c>
      <c r="C975" s="1" t="n">
        <v>45736</v>
      </c>
      <c r="D975" t="inlineStr">
        <is>
          <t>VÄRMLANDS LÄN</t>
        </is>
      </c>
      <c r="E975" t="inlineStr">
        <is>
          <t>KARLSTAD</t>
        </is>
      </c>
      <c r="F975" t="inlineStr">
        <is>
          <t>Bergvik skog väst AB</t>
        </is>
      </c>
      <c r="G975" t="n">
        <v>2.3</v>
      </c>
      <c r="H975" t="n">
        <v>0</v>
      </c>
      <c r="I975" t="n">
        <v>0</v>
      </c>
      <c r="J975" t="n">
        <v>0</v>
      </c>
      <c r="K975" t="n">
        <v>0</v>
      </c>
      <c r="L975" t="n">
        <v>0</v>
      </c>
      <c r="M975" t="n">
        <v>0</v>
      </c>
      <c r="N975" t="n">
        <v>0</v>
      </c>
      <c r="O975" t="n">
        <v>0</v>
      </c>
      <c r="P975" t="n">
        <v>0</v>
      </c>
      <c r="Q975" t="n">
        <v>0</v>
      </c>
      <c r="R975" s="2" t="inlineStr"/>
    </row>
    <row r="976" ht="15" customHeight="1">
      <c r="A976" t="inlineStr">
        <is>
          <t>A 25059-2019</t>
        </is>
      </c>
      <c r="B976" s="1" t="n">
        <v>43604</v>
      </c>
      <c r="C976" s="1" t="n">
        <v>45736</v>
      </c>
      <c r="D976" t="inlineStr">
        <is>
          <t>VÄRMLANDS LÄN</t>
        </is>
      </c>
      <c r="E976" t="inlineStr">
        <is>
          <t>KRISTINEHAMN</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25050-2019</t>
        </is>
      </c>
      <c r="B977" s="1" t="n">
        <v>43604</v>
      </c>
      <c r="C977" s="1" t="n">
        <v>45736</v>
      </c>
      <c r="D977" t="inlineStr">
        <is>
          <t>VÄRMLANDS LÄN</t>
        </is>
      </c>
      <c r="E977" t="inlineStr">
        <is>
          <t>KRISTINEHAMN</t>
        </is>
      </c>
      <c r="F977" t="inlineStr">
        <is>
          <t>Bergvik skog väst AB</t>
        </is>
      </c>
      <c r="G977" t="n">
        <v>3.3</v>
      </c>
      <c r="H977" t="n">
        <v>0</v>
      </c>
      <c r="I977" t="n">
        <v>0</v>
      </c>
      <c r="J977" t="n">
        <v>0</v>
      </c>
      <c r="K977" t="n">
        <v>0</v>
      </c>
      <c r="L977" t="n">
        <v>0</v>
      </c>
      <c r="M977" t="n">
        <v>0</v>
      </c>
      <c r="N977" t="n">
        <v>0</v>
      </c>
      <c r="O977" t="n">
        <v>0</v>
      </c>
      <c r="P977" t="n">
        <v>0</v>
      </c>
      <c r="Q977" t="n">
        <v>0</v>
      </c>
      <c r="R977" s="2" t="inlineStr"/>
    </row>
    <row r="978" ht="15" customHeight="1">
      <c r="A978" t="inlineStr">
        <is>
          <t>A 25049-2019</t>
        </is>
      </c>
      <c r="B978" s="1" t="n">
        <v>43604</v>
      </c>
      <c r="C978" s="1" t="n">
        <v>45736</v>
      </c>
      <c r="D978" t="inlineStr">
        <is>
          <t>VÄRMLANDS LÄN</t>
        </is>
      </c>
      <c r="E978" t="inlineStr">
        <is>
          <t>KRISTINEHAMN</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25174-2019</t>
        </is>
      </c>
      <c r="B979" s="1" t="n">
        <v>43605</v>
      </c>
      <c r="C979" s="1" t="n">
        <v>45736</v>
      </c>
      <c r="D979" t="inlineStr">
        <is>
          <t>VÄRMLANDS LÄN</t>
        </is>
      </c>
      <c r="E979" t="inlineStr">
        <is>
          <t>SÄFFLE</t>
        </is>
      </c>
      <c r="G979" t="n">
        <v>0.7</v>
      </c>
      <c r="H979" t="n">
        <v>0</v>
      </c>
      <c r="I979" t="n">
        <v>0</v>
      </c>
      <c r="J979" t="n">
        <v>0</v>
      </c>
      <c r="K979" t="n">
        <v>0</v>
      </c>
      <c r="L979" t="n">
        <v>0</v>
      </c>
      <c r="M979" t="n">
        <v>0</v>
      </c>
      <c r="N979" t="n">
        <v>0</v>
      </c>
      <c r="O979" t="n">
        <v>0</v>
      </c>
      <c r="P979" t="n">
        <v>0</v>
      </c>
      <c r="Q979" t="n">
        <v>0</v>
      </c>
      <c r="R979" s="2" t="inlineStr"/>
    </row>
    <row r="980" ht="15" customHeight="1">
      <c r="A980" t="inlineStr">
        <is>
          <t>A 25271-2019</t>
        </is>
      </c>
      <c r="B980" s="1" t="n">
        <v>43605</v>
      </c>
      <c r="C980" s="1" t="n">
        <v>45736</v>
      </c>
      <c r="D980" t="inlineStr">
        <is>
          <t>VÄRMLANDS LÄN</t>
        </is>
      </c>
      <c r="E980" t="inlineStr">
        <is>
          <t>SUNNE</t>
        </is>
      </c>
      <c r="G980" t="n">
        <v>1.2</v>
      </c>
      <c r="H980" t="n">
        <v>0</v>
      </c>
      <c r="I980" t="n">
        <v>0</v>
      </c>
      <c r="J980" t="n">
        <v>0</v>
      </c>
      <c r="K980" t="n">
        <v>0</v>
      </c>
      <c r="L980" t="n">
        <v>0</v>
      </c>
      <c r="M980" t="n">
        <v>0</v>
      </c>
      <c r="N980" t="n">
        <v>0</v>
      </c>
      <c r="O980" t="n">
        <v>0</v>
      </c>
      <c r="P980" t="n">
        <v>0</v>
      </c>
      <c r="Q980" t="n">
        <v>0</v>
      </c>
      <c r="R980" s="2" t="inlineStr"/>
    </row>
    <row r="981" ht="15" customHeight="1">
      <c r="A981" t="inlineStr">
        <is>
          <t>A 25226-2019</t>
        </is>
      </c>
      <c r="B981" s="1" t="n">
        <v>43605</v>
      </c>
      <c r="C981" s="1" t="n">
        <v>45736</v>
      </c>
      <c r="D981" t="inlineStr">
        <is>
          <t>VÄRMLANDS LÄN</t>
        </is>
      </c>
      <c r="E981" t="inlineStr">
        <is>
          <t>GRUMS</t>
        </is>
      </c>
      <c r="F981" t="inlineStr">
        <is>
          <t>Bergvik skog väst AB</t>
        </is>
      </c>
      <c r="G981" t="n">
        <v>31.3</v>
      </c>
      <c r="H981" t="n">
        <v>0</v>
      </c>
      <c r="I981" t="n">
        <v>0</v>
      </c>
      <c r="J981" t="n">
        <v>0</v>
      </c>
      <c r="K981" t="n">
        <v>0</v>
      </c>
      <c r="L981" t="n">
        <v>0</v>
      </c>
      <c r="M981" t="n">
        <v>0</v>
      </c>
      <c r="N981" t="n">
        <v>0</v>
      </c>
      <c r="O981" t="n">
        <v>0</v>
      </c>
      <c r="P981" t="n">
        <v>0</v>
      </c>
      <c r="Q981" t="n">
        <v>0</v>
      </c>
      <c r="R981" s="2" t="inlineStr"/>
    </row>
    <row r="982" ht="15" customHeight="1">
      <c r="A982" t="inlineStr">
        <is>
          <t>A 25469-2019</t>
        </is>
      </c>
      <c r="B982" s="1" t="n">
        <v>43606</v>
      </c>
      <c r="C982" s="1" t="n">
        <v>45736</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25332-2019</t>
        </is>
      </c>
      <c r="B983" s="1" t="n">
        <v>43606</v>
      </c>
      <c r="C983" s="1" t="n">
        <v>45736</v>
      </c>
      <c r="D983" t="inlineStr">
        <is>
          <t>VÄRMLANDS LÄN</t>
        </is>
      </c>
      <c r="E983" t="inlineStr">
        <is>
          <t>SÄFFLE</t>
        </is>
      </c>
      <c r="G983" t="n">
        <v>1.9</v>
      </c>
      <c r="H983" t="n">
        <v>0</v>
      </c>
      <c r="I983" t="n">
        <v>0</v>
      </c>
      <c r="J983" t="n">
        <v>0</v>
      </c>
      <c r="K983" t="n">
        <v>0</v>
      </c>
      <c r="L983" t="n">
        <v>0</v>
      </c>
      <c r="M983" t="n">
        <v>0</v>
      </c>
      <c r="N983" t="n">
        <v>0</v>
      </c>
      <c r="O983" t="n">
        <v>0</v>
      </c>
      <c r="P983" t="n">
        <v>0</v>
      </c>
      <c r="Q983" t="n">
        <v>0</v>
      </c>
      <c r="R983" s="2" t="inlineStr"/>
    </row>
    <row r="984" ht="15" customHeight="1">
      <c r="A984" t="inlineStr">
        <is>
          <t>A 25406-2019</t>
        </is>
      </c>
      <c r="B984" s="1" t="n">
        <v>43606</v>
      </c>
      <c r="C984" s="1" t="n">
        <v>45736</v>
      </c>
      <c r="D984" t="inlineStr">
        <is>
          <t>VÄRMLANDS LÄN</t>
        </is>
      </c>
      <c r="E984" t="inlineStr">
        <is>
          <t>EDA</t>
        </is>
      </c>
      <c r="G984" t="n">
        <v>2.4</v>
      </c>
      <c r="H984" t="n">
        <v>0</v>
      </c>
      <c r="I984" t="n">
        <v>0</v>
      </c>
      <c r="J984" t="n">
        <v>0</v>
      </c>
      <c r="K984" t="n">
        <v>0</v>
      </c>
      <c r="L984" t="n">
        <v>0</v>
      </c>
      <c r="M984" t="n">
        <v>0</v>
      </c>
      <c r="N984" t="n">
        <v>0</v>
      </c>
      <c r="O984" t="n">
        <v>0</v>
      </c>
      <c r="P984" t="n">
        <v>0</v>
      </c>
      <c r="Q984" t="n">
        <v>0</v>
      </c>
      <c r="R984" s="2" t="inlineStr"/>
    </row>
    <row r="985" ht="15" customHeight="1">
      <c r="A985" t="inlineStr">
        <is>
          <t>A 25476-2019</t>
        </is>
      </c>
      <c r="B985" s="1" t="n">
        <v>43606</v>
      </c>
      <c r="C985" s="1" t="n">
        <v>45736</v>
      </c>
      <c r="D985" t="inlineStr">
        <is>
          <t>VÄRMLANDS LÄN</t>
        </is>
      </c>
      <c r="E985" t="inlineStr">
        <is>
          <t>ÅRJÄNG</t>
        </is>
      </c>
      <c r="G985" t="n">
        <v>5.3</v>
      </c>
      <c r="H985" t="n">
        <v>0</v>
      </c>
      <c r="I985" t="n">
        <v>0</v>
      </c>
      <c r="J985" t="n">
        <v>0</v>
      </c>
      <c r="K985" t="n">
        <v>0</v>
      </c>
      <c r="L985" t="n">
        <v>0</v>
      </c>
      <c r="M985" t="n">
        <v>0</v>
      </c>
      <c r="N985" t="n">
        <v>0</v>
      </c>
      <c r="O985" t="n">
        <v>0</v>
      </c>
      <c r="P985" t="n">
        <v>0</v>
      </c>
      <c r="Q985" t="n">
        <v>0</v>
      </c>
      <c r="R985" s="2" t="inlineStr"/>
    </row>
    <row r="986" ht="15" customHeight="1">
      <c r="A986" t="inlineStr">
        <is>
          <t>A 26484-2019</t>
        </is>
      </c>
      <c r="B986" s="1" t="n">
        <v>43606</v>
      </c>
      <c r="C986" s="1" t="n">
        <v>45736</v>
      </c>
      <c r="D986" t="inlineStr">
        <is>
          <t>VÄRMLANDS LÄN</t>
        </is>
      </c>
      <c r="E986" t="inlineStr">
        <is>
          <t>SÄFFLE</t>
        </is>
      </c>
      <c r="G986" t="n">
        <v>2.3</v>
      </c>
      <c r="H986" t="n">
        <v>0</v>
      </c>
      <c r="I986" t="n">
        <v>0</v>
      </c>
      <c r="J986" t="n">
        <v>0</v>
      </c>
      <c r="K986" t="n">
        <v>0</v>
      </c>
      <c r="L986" t="n">
        <v>0</v>
      </c>
      <c r="M986" t="n">
        <v>0</v>
      </c>
      <c r="N986" t="n">
        <v>0</v>
      </c>
      <c r="O986" t="n">
        <v>0</v>
      </c>
      <c r="P986" t="n">
        <v>0</v>
      </c>
      <c r="Q986" t="n">
        <v>0</v>
      </c>
      <c r="R986" s="2" t="inlineStr"/>
    </row>
    <row r="987" ht="15" customHeight="1">
      <c r="A987" t="inlineStr">
        <is>
          <t>A 26488-2019</t>
        </is>
      </c>
      <c r="B987" s="1" t="n">
        <v>43606</v>
      </c>
      <c r="C987" s="1" t="n">
        <v>45736</v>
      </c>
      <c r="D987" t="inlineStr">
        <is>
          <t>VÄRMLANDS LÄN</t>
        </is>
      </c>
      <c r="E987" t="inlineStr">
        <is>
          <t>ÅRJÄNG</t>
        </is>
      </c>
      <c r="G987" t="n">
        <v>6.7</v>
      </c>
      <c r="H987" t="n">
        <v>0</v>
      </c>
      <c r="I987" t="n">
        <v>0</v>
      </c>
      <c r="J987" t="n">
        <v>0</v>
      </c>
      <c r="K987" t="n">
        <v>0</v>
      </c>
      <c r="L987" t="n">
        <v>0</v>
      </c>
      <c r="M987" t="n">
        <v>0</v>
      </c>
      <c r="N987" t="n">
        <v>0</v>
      </c>
      <c r="O987" t="n">
        <v>0</v>
      </c>
      <c r="P987" t="n">
        <v>0</v>
      </c>
      <c r="Q987" t="n">
        <v>0</v>
      </c>
      <c r="R987" s="2" t="inlineStr"/>
    </row>
    <row r="988" ht="15" customHeight="1">
      <c r="A988" t="inlineStr">
        <is>
          <t>A 25310-2019</t>
        </is>
      </c>
      <c r="B988" s="1" t="n">
        <v>43606</v>
      </c>
      <c r="C988" s="1" t="n">
        <v>45736</v>
      </c>
      <c r="D988" t="inlineStr">
        <is>
          <t>VÄRMLANDS LÄN</t>
        </is>
      </c>
      <c r="E988" t="inlineStr">
        <is>
          <t>KARLSTAD</t>
        </is>
      </c>
      <c r="G988" t="n">
        <v>15.8</v>
      </c>
      <c r="H988" t="n">
        <v>0</v>
      </c>
      <c r="I988" t="n">
        <v>0</v>
      </c>
      <c r="J988" t="n">
        <v>0</v>
      </c>
      <c r="K988" t="n">
        <v>0</v>
      </c>
      <c r="L988" t="n">
        <v>0</v>
      </c>
      <c r="M988" t="n">
        <v>0</v>
      </c>
      <c r="N988" t="n">
        <v>0</v>
      </c>
      <c r="O988" t="n">
        <v>0</v>
      </c>
      <c r="P988" t="n">
        <v>0</v>
      </c>
      <c r="Q988" t="n">
        <v>0</v>
      </c>
      <c r="R988" s="2" t="inlineStr"/>
    </row>
    <row r="989" ht="15" customHeight="1">
      <c r="A989" t="inlineStr">
        <is>
          <t>A 26501-2019</t>
        </is>
      </c>
      <c r="B989" s="1" t="n">
        <v>43606</v>
      </c>
      <c r="C989" s="1" t="n">
        <v>45736</v>
      </c>
      <c r="D989" t="inlineStr">
        <is>
          <t>VÄRMLANDS LÄN</t>
        </is>
      </c>
      <c r="E989" t="inlineStr">
        <is>
          <t>SÄFFLE</t>
        </is>
      </c>
      <c r="G989" t="n">
        <v>1.2</v>
      </c>
      <c r="H989" t="n">
        <v>0</v>
      </c>
      <c r="I989" t="n">
        <v>0</v>
      </c>
      <c r="J989" t="n">
        <v>0</v>
      </c>
      <c r="K989" t="n">
        <v>0</v>
      </c>
      <c r="L989" t="n">
        <v>0</v>
      </c>
      <c r="M989" t="n">
        <v>0</v>
      </c>
      <c r="N989" t="n">
        <v>0</v>
      </c>
      <c r="O989" t="n">
        <v>0</v>
      </c>
      <c r="P989" t="n">
        <v>0</v>
      </c>
      <c r="Q989" t="n">
        <v>0</v>
      </c>
      <c r="R989" s="2" t="inlineStr"/>
    </row>
    <row r="990" ht="15" customHeight="1">
      <c r="A990" t="inlineStr">
        <is>
          <t>A 26480-2019</t>
        </is>
      </c>
      <c r="B990" s="1" t="n">
        <v>43606</v>
      </c>
      <c r="C990" s="1" t="n">
        <v>45736</v>
      </c>
      <c r="D990" t="inlineStr">
        <is>
          <t>VÄRMLANDS LÄN</t>
        </is>
      </c>
      <c r="E990" t="inlineStr">
        <is>
          <t>SÄFFLE</t>
        </is>
      </c>
      <c r="G990" t="n">
        <v>4.1</v>
      </c>
      <c r="H990" t="n">
        <v>0</v>
      </c>
      <c r="I990" t="n">
        <v>0</v>
      </c>
      <c r="J990" t="n">
        <v>0</v>
      </c>
      <c r="K990" t="n">
        <v>0</v>
      </c>
      <c r="L990" t="n">
        <v>0</v>
      </c>
      <c r="M990" t="n">
        <v>0</v>
      </c>
      <c r="N990" t="n">
        <v>0</v>
      </c>
      <c r="O990" t="n">
        <v>0</v>
      </c>
      <c r="P990" t="n">
        <v>0</v>
      </c>
      <c r="Q990" t="n">
        <v>0</v>
      </c>
      <c r="R990" s="2" t="inlineStr"/>
    </row>
    <row r="991" ht="15" customHeight="1">
      <c r="A991" t="inlineStr">
        <is>
          <t>A 25439-2019</t>
        </is>
      </c>
      <c r="B991" s="1" t="n">
        <v>43606</v>
      </c>
      <c r="C991" s="1" t="n">
        <v>45736</v>
      </c>
      <c r="D991" t="inlineStr">
        <is>
          <t>VÄRMLANDS LÄN</t>
        </is>
      </c>
      <c r="E991" t="inlineStr">
        <is>
          <t>EDA</t>
        </is>
      </c>
      <c r="G991" t="n">
        <v>1.6</v>
      </c>
      <c r="H991" t="n">
        <v>0</v>
      </c>
      <c r="I991" t="n">
        <v>0</v>
      </c>
      <c r="J991" t="n">
        <v>0</v>
      </c>
      <c r="K991" t="n">
        <v>0</v>
      </c>
      <c r="L991" t="n">
        <v>0</v>
      </c>
      <c r="M991" t="n">
        <v>0</v>
      </c>
      <c r="N991" t="n">
        <v>0</v>
      </c>
      <c r="O991" t="n">
        <v>0</v>
      </c>
      <c r="P991" t="n">
        <v>0</v>
      </c>
      <c r="Q991" t="n">
        <v>0</v>
      </c>
      <c r="R991" s="2" t="inlineStr"/>
    </row>
    <row r="992" ht="15" customHeight="1">
      <c r="A992" t="inlineStr">
        <is>
          <t>A 25311-2019</t>
        </is>
      </c>
      <c r="B992" s="1" t="n">
        <v>43606</v>
      </c>
      <c r="C992" s="1" t="n">
        <v>45736</v>
      </c>
      <c r="D992" t="inlineStr">
        <is>
          <t>VÄRMLANDS LÄN</t>
        </is>
      </c>
      <c r="E992" t="inlineStr">
        <is>
          <t>KARLSTAD</t>
        </is>
      </c>
      <c r="G992" t="n">
        <v>0.7</v>
      </c>
      <c r="H992" t="n">
        <v>0</v>
      </c>
      <c r="I992" t="n">
        <v>0</v>
      </c>
      <c r="J992" t="n">
        <v>0</v>
      </c>
      <c r="K992" t="n">
        <v>0</v>
      </c>
      <c r="L992" t="n">
        <v>0</v>
      </c>
      <c r="M992" t="n">
        <v>0</v>
      </c>
      <c r="N992" t="n">
        <v>0</v>
      </c>
      <c r="O992" t="n">
        <v>0</v>
      </c>
      <c r="P992" t="n">
        <v>0</v>
      </c>
      <c r="Q992" t="n">
        <v>0</v>
      </c>
      <c r="R992" s="2" t="inlineStr"/>
    </row>
    <row r="993" ht="15" customHeight="1">
      <c r="A993" t="inlineStr">
        <is>
          <t>A 25648-2019</t>
        </is>
      </c>
      <c r="B993" s="1" t="n">
        <v>43607</v>
      </c>
      <c r="C993" s="1" t="n">
        <v>45736</v>
      </c>
      <c r="D993" t="inlineStr">
        <is>
          <t>VÄRMLANDS LÄN</t>
        </is>
      </c>
      <c r="E993" t="inlineStr">
        <is>
          <t>KARLSTAD</t>
        </is>
      </c>
      <c r="G993" t="n">
        <v>0.4</v>
      </c>
      <c r="H993" t="n">
        <v>0</v>
      </c>
      <c r="I993" t="n">
        <v>0</v>
      </c>
      <c r="J993" t="n">
        <v>0</v>
      </c>
      <c r="K993" t="n">
        <v>0</v>
      </c>
      <c r="L993" t="n">
        <v>0</v>
      </c>
      <c r="M993" t="n">
        <v>0</v>
      </c>
      <c r="N993" t="n">
        <v>0</v>
      </c>
      <c r="O993" t="n">
        <v>0</v>
      </c>
      <c r="P993" t="n">
        <v>0</v>
      </c>
      <c r="Q993" t="n">
        <v>0</v>
      </c>
      <c r="R993" s="2" t="inlineStr"/>
    </row>
    <row r="994" ht="15" customHeight="1">
      <c r="A994" t="inlineStr">
        <is>
          <t>A 25561-2019</t>
        </is>
      </c>
      <c r="B994" s="1" t="n">
        <v>43607</v>
      </c>
      <c r="C994" s="1" t="n">
        <v>45736</v>
      </c>
      <c r="D994" t="inlineStr">
        <is>
          <t>VÄRMLANDS LÄN</t>
        </is>
      </c>
      <c r="E994" t="inlineStr">
        <is>
          <t>ÅRJÄNG</t>
        </is>
      </c>
      <c r="G994" t="n">
        <v>6.3</v>
      </c>
      <c r="H994" t="n">
        <v>0</v>
      </c>
      <c r="I994" t="n">
        <v>0</v>
      </c>
      <c r="J994" t="n">
        <v>0</v>
      </c>
      <c r="K994" t="n">
        <v>0</v>
      </c>
      <c r="L994" t="n">
        <v>0</v>
      </c>
      <c r="M994" t="n">
        <v>0</v>
      </c>
      <c r="N994" t="n">
        <v>0</v>
      </c>
      <c r="O994" t="n">
        <v>0</v>
      </c>
      <c r="P994" t="n">
        <v>0</v>
      </c>
      <c r="Q994" t="n">
        <v>0</v>
      </c>
      <c r="R994" s="2" t="inlineStr"/>
    </row>
    <row r="995" ht="15" customHeight="1">
      <c r="A995" t="inlineStr">
        <is>
          <t>A 25638-2019</t>
        </is>
      </c>
      <c r="B995" s="1" t="n">
        <v>43607</v>
      </c>
      <c r="C995" s="1" t="n">
        <v>45736</v>
      </c>
      <c r="D995" t="inlineStr">
        <is>
          <t>VÄRMLANDS LÄN</t>
        </is>
      </c>
      <c r="E995" t="inlineStr">
        <is>
          <t>KARLSTAD</t>
        </is>
      </c>
      <c r="G995" t="n">
        <v>2.6</v>
      </c>
      <c r="H995" t="n">
        <v>0</v>
      </c>
      <c r="I995" t="n">
        <v>0</v>
      </c>
      <c r="J995" t="n">
        <v>0</v>
      </c>
      <c r="K995" t="n">
        <v>0</v>
      </c>
      <c r="L995" t="n">
        <v>0</v>
      </c>
      <c r="M995" t="n">
        <v>0</v>
      </c>
      <c r="N995" t="n">
        <v>0</v>
      </c>
      <c r="O995" t="n">
        <v>0</v>
      </c>
      <c r="P995" t="n">
        <v>0</v>
      </c>
      <c r="Q995" t="n">
        <v>0</v>
      </c>
      <c r="R995" s="2" t="inlineStr"/>
    </row>
    <row r="996" ht="15" customHeight="1">
      <c r="A996" t="inlineStr">
        <is>
          <t>A 25692-2019</t>
        </is>
      </c>
      <c r="B996" s="1" t="n">
        <v>43607</v>
      </c>
      <c r="C996" s="1" t="n">
        <v>45736</v>
      </c>
      <c r="D996" t="inlineStr">
        <is>
          <t>VÄRMLANDS LÄN</t>
        </is>
      </c>
      <c r="E996" t="inlineStr">
        <is>
          <t>SÄFFLE</t>
        </is>
      </c>
      <c r="G996" t="n">
        <v>3.6</v>
      </c>
      <c r="H996" t="n">
        <v>0</v>
      </c>
      <c r="I996" t="n">
        <v>0</v>
      </c>
      <c r="J996" t="n">
        <v>0</v>
      </c>
      <c r="K996" t="n">
        <v>0</v>
      </c>
      <c r="L996" t="n">
        <v>0</v>
      </c>
      <c r="M996" t="n">
        <v>0</v>
      </c>
      <c r="N996" t="n">
        <v>0</v>
      </c>
      <c r="O996" t="n">
        <v>0</v>
      </c>
      <c r="P996" t="n">
        <v>0</v>
      </c>
      <c r="Q996" t="n">
        <v>0</v>
      </c>
      <c r="R996" s="2" t="inlineStr"/>
    </row>
    <row r="997" ht="15" customHeight="1">
      <c r="A997" t="inlineStr">
        <is>
          <t>A 25564-2019</t>
        </is>
      </c>
      <c r="B997" s="1" t="n">
        <v>43607</v>
      </c>
      <c r="C997" s="1" t="n">
        <v>45736</v>
      </c>
      <c r="D997" t="inlineStr">
        <is>
          <t>VÄRMLANDS LÄN</t>
        </is>
      </c>
      <c r="E997" t="inlineStr">
        <is>
          <t>SUNNE</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25750-2019</t>
        </is>
      </c>
      <c r="B998" s="1" t="n">
        <v>43608</v>
      </c>
      <c r="C998" s="1" t="n">
        <v>45736</v>
      </c>
      <c r="D998" t="inlineStr">
        <is>
          <t>VÄRMLANDS LÄN</t>
        </is>
      </c>
      <c r="E998" t="inlineStr">
        <is>
          <t>ÅRJÄNG</t>
        </is>
      </c>
      <c r="G998" t="n">
        <v>3.5</v>
      </c>
      <c r="H998" t="n">
        <v>0</v>
      </c>
      <c r="I998" t="n">
        <v>0</v>
      </c>
      <c r="J998" t="n">
        <v>0</v>
      </c>
      <c r="K998" t="n">
        <v>0</v>
      </c>
      <c r="L998" t="n">
        <v>0</v>
      </c>
      <c r="M998" t="n">
        <v>0</v>
      </c>
      <c r="N998" t="n">
        <v>0</v>
      </c>
      <c r="O998" t="n">
        <v>0</v>
      </c>
      <c r="P998" t="n">
        <v>0</v>
      </c>
      <c r="Q998" t="n">
        <v>0</v>
      </c>
      <c r="R998" s="2" t="inlineStr"/>
    </row>
    <row r="999" ht="15" customHeight="1">
      <c r="A999" t="inlineStr">
        <is>
          <t>A 25769-2019</t>
        </is>
      </c>
      <c r="B999" s="1" t="n">
        <v>43608</v>
      </c>
      <c r="C999" s="1" t="n">
        <v>45736</v>
      </c>
      <c r="D999" t="inlineStr">
        <is>
          <t>VÄRMLANDS LÄN</t>
        </is>
      </c>
      <c r="E999" t="inlineStr">
        <is>
          <t>HAGFORS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25764-2019</t>
        </is>
      </c>
      <c r="B1000" s="1" t="n">
        <v>43608</v>
      </c>
      <c r="C1000" s="1" t="n">
        <v>45736</v>
      </c>
      <c r="D1000" t="inlineStr">
        <is>
          <t>VÄRMLANDS LÄN</t>
        </is>
      </c>
      <c r="E1000" t="inlineStr">
        <is>
          <t>SUNNE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25782-2019</t>
        </is>
      </c>
      <c r="B1001" s="1" t="n">
        <v>43608</v>
      </c>
      <c r="C1001" s="1" t="n">
        <v>45736</v>
      </c>
      <c r="D1001" t="inlineStr">
        <is>
          <t>VÄRMLANDS LÄN</t>
        </is>
      </c>
      <c r="E1001" t="inlineStr">
        <is>
          <t>HAGFORS</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25765-2019</t>
        </is>
      </c>
      <c r="B1002" s="1" t="n">
        <v>43608</v>
      </c>
      <c r="C1002" s="1" t="n">
        <v>45736</v>
      </c>
      <c r="D1002" t="inlineStr">
        <is>
          <t>VÄRMLANDS LÄN</t>
        </is>
      </c>
      <c r="E1002" t="inlineStr">
        <is>
          <t>HAGFORS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25784-2019</t>
        </is>
      </c>
      <c r="B1003" s="1" t="n">
        <v>43608</v>
      </c>
      <c r="C1003" s="1" t="n">
        <v>45736</v>
      </c>
      <c r="D1003" t="inlineStr">
        <is>
          <t>VÄRMLANDS LÄN</t>
        </is>
      </c>
      <c r="E1003" t="inlineStr">
        <is>
          <t>HAGFORS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25884-2019</t>
        </is>
      </c>
      <c r="B1004" s="1" t="n">
        <v>43608</v>
      </c>
      <c r="C1004" s="1" t="n">
        <v>45736</v>
      </c>
      <c r="D1004" t="inlineStr">
        <is>
          <t>VÄRMLANDS LÄN</t>
        </is>
      </c>
      <c r="E1004" t="inlineStr">
        <is>
          <t>EDA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26844-2019</t>
        </is>
      </c>
      <c r="B1005" s="1" t="n">
        <v>43608</v>
      </c>
      <c r="C1005" s="1" t="n">
        <v>45736</v>
      </c>
      <c r="D1005" t="inlineStr">
        <is>
          <t>VÄRMLANDS LÄN</t>
        </is>
      </c>
      <c r="E1005" t="inlineStr">
        <is>
          <t>KARLSTAD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25759-2019</t>
        </is>
      </c>
      <c r="B1006" s="1" t="n">
        <v>43608</v>
      </c>
      <c r="C1006" s="1" t="n">
        <v>45736</v>
      </c>
      <c r="D1006" t="inlineStr">
        <is>
          <t>VÄRMLANDS LÄN</t>
        </is>
      </c>
      <c r="E1006" t="inlineStr">
        <is>
          <t>SUNNE</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26087-2019</t>
        </is>
      </c>
      <c r="B1007" s="1" t="n">
        <v>43609</v>
      </c>
      <c r="C1007" s="1" t="n">
        <v>45736</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26274-2019</t>
        </is>
      </c>
      <c r="B1008" s="1" t="n">
        <v>43611</v>
      </c>
      <c r="C1008" s="1" t="n">
        <v>45736</v>
      </c>
      <c r="D1008" t="inlineStr">
        <is>
          <t>VÄRMLANDS LÄN</t>
        </is>
      </c>
      <c r="E1008" t="inlineStr">
        <is>
          <t>FILIPSTAD</t>
        </is>
      </c>
      <c r="F1008" t="inlineStr">
        <is>
          <t>Bergvik skog väst AB</t>
        </is>
      </c>
      <c r="G1008" t="n">
        <v>22.6</v>
      </c>
      <c r="H1008" t="n">
        <v>0</v>
      </c>
      <c r="I1008" t="n">
        <v>0</v>
      </c>
      <c r="J1008" t="n">
        <v>0</v>
      </c>
      <c r="K1008" t="n">
        <v>0</v>
      </c>
      <c r="L1008" t="n">
        <v>0</v>
      </c>
      <c r="M1008" t="n">
        <v>0</v>
      </c>
      <c r="N1008" t="n">
        <v>0</v>
      </c>
      <c r="O1008" t="n">
        <v>0</v>
      </c>
      <c r="P1008" t="n">
        <v>0</v>
      </c>
      <c r="Q1008" t="n">
        <v>0</v>
      </c>
      <c r="R1008" s="2" t="inlineStr"/>
    </row>
    <row r="1009" ht="15" customHeight="1">
      <c r="A1009" t="inlineStr">
        <is>
          <t>A 26289-2019</t>
        </is>
      </c>
      <c r="B1009" s="1" t="n">
        <v>43611</v>
      </c>
      <c r="C1009" s="1" t="n">
        <v>45736</v>
      </c>
      <c r="D1009" t="inlineStr">
        <is>
          <t>VÄRMLANDS LÄN</t>
        </is>
      </c>
      <c r="E1009" t="inlineStr">
        <is>
          <t>FILIPSTAD</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26280-2019</t>
        </is>
      </c>
      <c r="B1010" s="1" t="n">
        <v>43611</v>
      </c>
      <c r="C1010" s="1" t="n">
        <v>45736</v>
      </c>
      <c r="D1010" t="inlineStr">
        <is>
          <t>VÄRMLANDS LÄN</t>
        </is>
      </c>
      <c r="E1010" t="inlineStr">
        <is>
          <t>FILIPSTAD</t>
        </is>
      </c>
      <c r="F1010" t="inlineStr">
        <is>
          <t>Bergvik skog väst AB</t>
        </is>
      </c>
      <c r="G1010" t="n">
        <v>22.8</v>
      </c>
      <c r="H1010" t="n">
        <v>0</v>
      </c>
      <c r="I1010" t="n">
        <v>0</v>
      </c>
      <c r="J1010" t="n">
        <v>0</v>
      </c>
      <c r="K1010" t="n">
        <v>0</v>
      </c>
      <c r="L1010" t="n">
        <v>0</v>
      </c>
      <c r="M1010" t="n">
        <v>0</v>
      </c>
      <c r="N1010" t="n">
        <v>0</v>
      </c>
      <c r="O1010" t="n">
        <v>0</v>
      </c>
      <c r="P1010" t="n">
        <v>0</v>
      </c>
      <c r="Q1010" t="n">
        <v>0</v>
      </c>
      <c r="R1010" s="2" t="inlineStr"/>
    </row>
    <row r="1011" ht="15" customHeight="1">
      <c r="A1011" t="inlineStr">
        <is>
          <t>A 26287-2019</t>
        </is>
      </c>
      <c r="B1011" s="1" t="n">
        <v>43611</v>
      </c>
      <c r="C1011" s="1" t="n">
        <v>45736</v>
      </c>
      <c r="D1011" t="inlineStr">
        <is>
          <t>VÄRMLANDS LÄN</t>
        </is>
      </c>
      <c r="E1011" t="inlineStr">
        <is>
          <t>FILIPSTAD</t>
        </is>
      </c>
      <c r="F1011" t="inlineStr">
        <is>
          <t>Bergvik skog väst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26412-2019</t>
        </is>
      </c>
      <c r="B1012" s="1" t="n">
        <v>43612</v>
      </c>
      <c r="C1012" s="1" t="n">
        <v>45736</v>
      </c>
      <c r="D1012" t="inlineStr">
        <is>
          <t>VÄRMLANDS LÄN</t>
        </is>
      </c>
      <c r="E1012" t="inlineStr">
        <is>
          <t>FORSHAGA</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26415-2019</t>
        </is>
      </c>
      <c r="B1013" s="1" t="n">
        <v>43612</v>
      </c>
      <c r="C1013" s="1" t="n">
        <v>45736</v>
      </c>
      <c r="D1013" t="inlineStr">
        <is>
          <t>VÄRMLANDS LÄN</t>
        </is>
      </c>
      <c r="E1013" t="inlineStr">
        <is>
          <t>HAGFORS</t>
        </is>
      </c>
      <c r="F1013" t="inlineStr">
        <is>
          <t>Bergvik skog väst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26330-2019</t>
        </is>
      </c>
      <c r="B1014" s="1" t="n">
        <v>43612</v>
      </c>
      <c r="C1014" s="1" t="n">
        <v>45736</v>
      </c>
      <c r="D1014" t="inlineStr">
        <is>
          <t>VÄRMLANDS LÄN</t>
        </is>
      </c>
      <c r="E1014" t="inlineStr">
        <is>
          <t>SUNNE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26509-2019</t>
        </is>
      </c>
      <c r="B1015" s="1" t="n">
        <v>43612</v>
      </c>
      <c r="C1015" s="1" t="n">
        <v>45736</v>
      </c>
      <c r="D1015" t="inlineStr">
        <is>
          <t>VÄRMLANDS LÄN</t>
        </is>
      </c>
      <c r="E1015" t="inlineStr">
        <is>
          <t>FORSHAGA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26527-2019</t>
        </is>
      </c>
      <c r="B1016" s="1" t="n">
        <v>43612</v>
      </c>
      <c r="C1016" s="1" t="n">
        <v>45736</v>
      </c>
      <c r="D1016" t="inlineStr">
        <is>
          <t>VÄRMLANDS LÄN</t>
        </is>
      </c>
      <c r="E1016" t="inlineStr">
        <is>
          <t>ARVIKA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26493-2019</t>
        </is>
      </c>
      <c r="B1017" s="1" t="n">
        <v>43612</v>
      </c>
      <c r="C1017" s="1" t="n">
        <v>45736</v>
      </c>
      <c r="D1017" t="inlineStr">
        <is>
          <t>VÄRMLANDS LÄN</t>
        </is>
      </c>
      <c r="E1017" t="inlineStr">
        <is>
          <t>TORSBY</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26372-2019</t>
        </is>
      </c>
      <c r="B1018" s="1" t="n">
        <v>43612</v>
      </c>
      <c r="C1018" s="1" t="n">
        <v>45736</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26552-2019</t>
        </is>
      </c>
      <c r="B1019" s="1" t="n">
        <v>43612</v>
      </c>
      <c r="C1019" s="1" t="n">
        <v>45736</v>
      </c>
      <c r="D1019" t="inlineStr">
        <is>
          <t>VÄRMLANDS LÄN</t>
        </is>
      </c>
      <c r="E1019" t="inlineStr">
        <is>
          <t>HAGFORS</t>
        </is>
      </c>
      <c r="F1019" t="inlineStr">
        <is>
          <t>Bergvik skog väst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27805-2019</t>
        </is>
      </c>
      <c r="B1020" s="1" t="n">
        <v>43612</v>
      </c>
      <c r="C1020" s="1" t="n">
        <v>45736</v>
      </c>
      <c r="D1020" t="inlineStr">
        <is>
          <t>VÄRMLANDS LÄN</t>
        </is>
      </c>
      <c r="E1020" t="inlineStr">
        <is>
          <t>GRUMS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26622-2019</t>
        </is>
      </c>
      <c r="B1021" s="1" t="n">
        <v>43612</v>
      </c>
      <c r="C1021" s="1" t="n">
        <v>45736</v>
      </c>
      <c r="D1021" t="inlineStr">
        <is>
          <t>VÄRMLANDS LÄN</t>
        </is>
      </c>
      <c r="E1021" t="inlineStr">
        <is>
          <t>SÄFFLE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27907-2019</t>
        </is>
      </c>
      <c r="B1022" s="1" t="n">
        <v>43612</v>
      </c>
      <c r="C1022" s="1" t="n">
        <v>45736</v>
      </c>
      <c r="D1022" t="inlineStr">
        <is>
          <t>VÄRMLANDS LÄN</t>
        </is>
      </c>
      <c r="E1022" t="inlineStr">
        <is>
          <t>TORSBY</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26658-2019</t>
        </is>
      </c>
      <c r="B1023" s="1" t="n">
        <v>43613</v>
      </c>
      <c r="C1023" s="1" t="n">
        <v>45736</v>
      </c>
      <c r="D1023" t="inlineStr">
        <is>
          <t>VÄRMLANDS LÄN</t>
        </is>
      </c>
      <c r="E1023" t="inlineStr">
        <is>
          <t>GRUMS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28062-2019</t>
        </is>
      </c>
      <c r="B1024" s="1" t="n">
        <v>43613</v>
      </c>
      <c r="C1024" s="1" t="n">
        <v>45736</v>
      </c>
      <c r="D1024" t="inlineStr">
        <is>
          <t>VÄRMLANDS LÄN</t>
        </is>
      </c>
      <c r="E1024" t="inlineStr">
        <is>
          <t>GRUMS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26653-2019</t>
        </is>
      </c>
      <c r="B1025" s="1" t="n">
        <v>43613</v>
      </c>
      <c r="C1025" s="1" t="n">
        <v>45736</v>
      </c>
      <c r="D1025" t="inlineStr">
        <is>
          <t>VÄRMLANDS LÄN</t>
        </is>
      </c>
      <c r="E1025" t="inlineStr">
        <is>
          <t>ARVIKA</t>
        </is>
      </c>
      <c r="F1025" t="inlineStr">
        <is>
          <t>Bergvik skog väst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26719-2019</t>
        </is>
      </c>
      <c r="B1026" s="1" t="n">
        <v>43613</v>
      </c>
      <c r="C1026" s="1" t="n">
        <v>45736</v>
      </c>
      <c r="D1026" t="inlineStr">
        <is>
          <t>VÄRMLANDS LÄN</t>
        </is>
      </c>
      <c r="E1026" t="inlineStr">
        <is>
          <t>ARVIKA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26783-2019</t>
        </is>
      </c>
      <c r="B1027" s="1" t="n">
        <v>43613</v>
      </c>
      <c r="C1027" s="1" t="n">
        <v>45736</v>
      </c>
      <c r="D1027" t="inlineStr">
        <is>
          <t>VÄRMLANDS LÄN</t>
        </is>
      </c>
      <c r="E1027" t="inlineStr">
        <is>
          <t>TORSBY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27014-2019</t>
        </is>
      </c>
      <c r="B1028" s="1" t="n">
        <v>43614</v>
      </c>
      <c r="C1028" s="1" t="n">
        <v>45736</v>
      </c>
      <c r="D1028" t="inlineStr">
        <is>
          <t>VÄRMLANDS LÄN</t>
        </is>
      </c>
      <c r="E1028" t="inlineStr">
        <is>
          <t>ÅRJÄNG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27199-2019</t>
        </is>
      </c>
      <c r="B1029" s="1" t="n">
        <v>43614</v>
      </c>
      <c r="C1029" s="1" t="n">
        <v>45736</v>
      </c>
      <c r="D1029" t="inlineStr">
        <is>
          <t>VÄRMLANDS LÄN</t>
        </is>
      </c>
      <c r="E1029" t="inlineStr">
        <is>
          <t>FILIPSTAD</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27110-2019</t>
        </is>
      </c>
      <c r="B1030" s="1" t="n">
        <v>43614</v>
      </c>
      <c r="C1030" s="1" t="n">
        <v>45736</v>
      </c>
      <c r="D1030" t="inlineStr">
        <is>
          <t>VÄRMLANDS LÄN</t>
        </is>
      </c>
      <c r="E1030" t="inlineStr">
        <is>
          <t>MUNKFORS</t>
        </is>
      </c>
      <c r="F1030" t="inlineStr">
        <is>
          <t>Bergvik skog väst AB</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28727-2019</t>
        </is>
      </c>
      <c r="B1031" s="1" t="n">
        <v>43614</v>
      </c>
      <c r="C1031" s="1" t="n">
        <v>45736</v>
      </c>
      <c r="D1031" t="inlineStr">
        <is>
          <t>VÄRMLANDS LÄN</t>
        </is>
      </c>
      <c r="E1031" t="inlineStr">
        <is>
          <t>ÅRJÄNG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27172-2019</t>
        </is>
      </c>
      <c r="B1032" s="1" t="n">
        <v>43614</v>
      </c>
      <c r="C1032" s="1" t="n">
        <v>45736</v>
      </c>
      <c r="D1032" t="inlineStr">
        <is>
          <t>VÄRMLANDS LÄN</t>
        </is>
      </c>
      <c r="E1032" t="inlineStr">
        <is>
          <t>GRUMS</t>
        </is>
      </c>
      <c r="G1032" t="n">
        <v>15.2</v>
      </c>
      <c r="H1032" t="n">
        <v>0</v>
      </c>
      <c r="I1032" t="n">
        <v>0</v>
      </c>
      <c r="J1032" t="n">
        <v>0</v>
      </c>
      <c r="K1032" t="n">
        <v>0</v>
      </c>
      <c r="L1032" t="n">
        <v>0</v>
      </c>
      <c r="M1032" t="n">
        <v>0</v>
      </c>
      <c r="N1032" t="n">
        <v>0</v>
      </c>
      <c r="O1032" t="n">
        <v>0</v>
      </c>
      <c r="P1032" t="n">
        <v>0</v>
      </c>
      <c r="Q1032" t="n">
        <v>0</v>
      </c>
      <c r="R1032" s="2" t="inlineStr"/>
    </row>
    <row r="1033" ht="15" customHeight="1">
      <c r="A1033" t="inlineStr">
        <is>
          <t>A 27076-2019</t>
        </is>
      </c>
      <c r="B1033" s="1" t="n">
        <v>43614</v>
      </c>
      <c r="C1033" s="1" t="n">
        <v>45736</v>
      </c>
      <c r="D1033" t="inlineStr">
        <is>
          <t>VÄRMLANDS LÄN</t>
        </is>
      </c>
      <c r="E1033" t="inlineStr">
        <is>
          <t>ARVIKA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27266-2019</t>
        </is>
      </c>
      <c r="B1034" s="1" t="n">
        <v>43615</v>
      </c>
      <c r="C1034" s="1" t="n">
        <v>45736</v>
      </c>
      <c r="D1034" t="inlineStr">
        <is>
          <t>VÄRMLANDS LÄN</t>
        </is>
      </c>
      <c r="E1034" t="inlineStr">
        <is>
          <t>SÄFFLE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27375-2019</t>
        </is>
      </c>
      <c r="B1035" s="1" t="n">
        <v>43616</v>
      </c>
      <c r="C1035" s="1" t="n">
        <v>45736</v>
      </c>
      <c r="D1035" t="inlineStr">
        <is>
          <t>VÄRMLANDS LÄN</t>
        </is>
      </c>
      <c r="E1035" t="inlineStr">
        <is>
          <t>KARLSTAD</t>
        </is>
      </c>
      <c r="F1035" t="inlineStr">
        <is>
          <t>Bergvik skog väst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27388-2019</t>
        </is>
      </c>
      <c r="B1036" s="1" t="n">
        <v>43616</v>
      </c>
      <c r="C1036" s="1" t="n">
        <v>45736</v>
      </c>
      <c r="D1036" t="inlineStr">
        <is>
          <t>VÄRMLANDS LÄN</t>
        </is>
      </c>
      <c r="E1036" t="inlineStr">
        <is>
          <t>FILIPSTAD</t>
        </is>
      </c>
      <c r="F1036" t="inlineStr">
        <is>
          <t>Bergvik skog väst AB</t>
        </is>
      </c>
      <c r="G1036" t="n">
        <v>34.4</v>
      </c>
      <c r="H1036" t="n">
        <v>0</v>
      </c>
      <c r="I1036" t="n">
        <v>0</v>
      </c>
      <c r="J1036" t="n">
        <v>0</v>
      </c>
      <c r="K1036" t="n">
        <v>0</v>
      </c>
      <c r="L1036" t="n">
        <v>0</v>
      </c>
      <c r="M1036" t="n">
        <v>0</v>
      </c>
      <c r="N1036" t="n">
        <v>0</v>
      </c>
      <c r="O1036" t="n">
        <v>0</v>
      </c>
      <c r="P1036" t="n">
        <v>0</v>
      </c>
      <c r="Q1036" t="n">
        <v>0</v>
      </c>
      <c r="R1036" s="2" t="inlineStr"/>
    </row>
    <row r="1037" ht="15" customHeight="1">
      <c r="A1037" t="inlineStr">
        <is>
          <t>A 28786-2019</t>
        </is>
      </c>
      <c r="B1037" s="1" t="n">
        <v>43616</v>
      </c>
      <c r="C1037" s="1" t="n">
        <v>45736</v>
      </c>
      <c r="D1037" t="inlineStr">
        <is>
          <t>VÄRMLANDS LÄN</t>
        </is>
      </c>
      <c r="E1037" t="inlineStr">
        <is>
          <t>SUNNE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28784-2019</t>
        </is>
      </c>
      <c r="B1038" s="1" t="n">
        <v>43616</v>
      </c>
      <c r="C1038" s="1" t="n">
        <v>45736</v>
      </c>
      <c r="D1038" t="inlineStr">
        <is>
          <t>VÄRMLANDS LÄN</t>
        </is>
      </c>
      <c r="E1038" t="inlineStr">
        <is>
          <t>SUNNE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27430-2019</t>
        </is>
      </c>
      <c r="B1039" s="1" t="n">
        <v>43617</v>
      </c>
      <c r="C1039" s="1" t="n">
        <v>45736</v>
      </c>
      <c r="D1039" t="inlineStr">
        <is>
          <t>VÄRMLANDS LÄN</t>
        </is>
      </c>
      <c r="E1039" t="inlineStr">
        <is>
          <t>FILIPSTAD</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27711-2019</t>
        </is>
      </c>
      <c r="B1040" s="1" t="n">
        <v>43619</v>
      </c>
      <c r="C1040" s="1" t="n">
        <v>45736</v>
      </c>
      <c r="D1040" t="inlineStr">
        <is>
          <t>VÄRMLANDS LÄN</t>
        </is>
      </c>
      <c r="E1040" t="inlineStr">
        <is>
          <t>TORSBY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27470-2019</t>
        </is>
      </c>
      <c r="B1041" s="1" t="n">
        <v>43619</v>
      </c>
      <c r="C1041" s="1" t="n">
        <v>45736</v>
      </c>
      <c r="D1041" t="inlineStr">
        <is>
          <t>VÄRMLANDS LÄN</t>
        </is>
      </c>
      <c r="E1041" t="inlineStr">
        <is>
          <t>ÅRJÄNG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27495-2019</t>
        </is>
      </c>
      <c r="B1042" s="1" t="n">
        <v>43619</v>
      </c>
      <c r="C1042" s="1" t="n">
        <v>45736</v>
      </c>
      <c r="D1042" t="inlineStr">
        <is>
          <t>VÄRMLANDS LÄN</t>
        </is>
      </c>
      <c r="E1042" t="inlineStr">
        <is>
          <t>HAGFORS</t>
        </is>
      </c>
      <c r="F1042" t="inlineStr">
        <is>
          <t>Bergvik skog väst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27682-2019</t>
        </is>
      </c>
      <c r="B1043" s="1" t="n">
        <v>43619</v>
      </c>
      <c r="C1043" s="1" t="n">
        <v>45736</v>
      </c>
      <c r="D1043" t="inlineStr">
        <is>
          <t>VÄRMLANDS LÄN</t>
        </is>
      </c>
      <c r="E1043" t="inlineStr">
        <is>
          <t>TORSBY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28975-2019</t>
        </is>
      </c>
      <c r="B1044" s="1" t="n">
        <v>43619</v>
      </c>
      <c r="C1044" s="1" t="n">
        <v>45736</v>
      </c>
      <c r="D1044" t="inlineStr">
        <is>
          <t>VÄRMLANDS LÄN</t>
        </is>
      </c>
      <c r="E1044" t="inlineStr">
        <is>
          <t>TORSBY</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27714-2019</t>
        </is>
      </c>
      <c r="B1045" s="1" t="n">
        <v>43619</v>
      </c>
      <c r="C1045" s="1" t="n">
        <v>45736</v>
      </c>
      <c r="D1045" t="inlineStr">
        <is>
          <t>VÄRMLANDS LÄN</t>
        </is>
      </c>
      <c r="E1045" t="inlineStr">
        <is>
          <t>STORFORS</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28106-2019</t>
        </is>
      </c>
      <c r="B1046" s="1" t="n">
        <v>43621</v>
      </c>
      <c r="C1046" s="1" t="n">
        <v>45736</v>
      </c>
      <c r="D1046" t="inlineStr">
        <is>
          <t>VÄRMLANDS LÄN</t>
        </is>
      </c>
      <c r="E1046" t="inlineStr">
        <is>
          <t>EDA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28047-2019</t>
        </is>
      </c>
      <c r="B1047" s="1" t="n">
        <v>43621</v>
      </c>
      <c r="C1047" s="1" t="n">
        <v>45736</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28487-2019</t>
        </is>
      </c>
      <c r="B1048" s="1" t="n">
        <v>43621</v>
      </c>
      <c r="C1048" s="1" t="n">
        <v>45736</v>
      </c>
      <c r="D1048" t="inlineStr">
        <is>
          <t>VÄRMLANDS LÄN</t>
        </is>
      </c>
      <c r="E1048" t="inlineStr">
        <is>
          <t>TORSBY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29043-2019</t>
        </is>
      </c>
      <c r="B1049" s="1" t="n">
        <v>43621</v>
      </c>
      <c r="C1049" s="1" t="n">
        <v>45736</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28267-2019</t>
        </is>
      </c>
      <c r="B1050" s="1" t="n">
        <v>43623</v>
      </c>
      <c r="C1050" s="1" t="n">
        <v>45736</v>
      </c>
      <c r="D1050" t="inlineStr">
        <is>
          <t>VÄRMLANDS LÄN</t>
        </is>
      </c>
      <c r="E1050" t="inlineStr">
        <is>
          <t>KRISTINEHAMN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28512-2019</t>
        </is>
      </c>
      <c r="B1051" s="1" t="n">
        <v>43626</v>
      </c>
      <c r="C1051" s="1" t="n">
        <v>45736</v>
      </c>
      <c r="D1051" t="inlineStr">
        <is>
          <t>VÄRMLANDS LÄN</t>
        </is>
      </c>
      <c r="E1051" t="inlineStr">
        <is>
          <t>KRISTINEHAMN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28381-2019</t>
        </is>
      </c>
      <c r="B1052" s="1" t="n">
        <v>43626</v>
      </c>
      <c r="C1052" s="1" t="n">
        <v>45736</v>
      </c>
      <c r="D1052" t="inlineStr">
        <is>
          <t>VÄRMLANDS LÄN</t>
        </is>
      </c>
      <c r="E1052" t="inlineStr">
        <is>
          <t>HAGFORS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28387-2019</t>
        </is>
      </c>
      <c r="B1053" s="1" t="n">
        <v>43626</v>
      </c>
      <c r="C1053" s="1" t="n">
        <v>45736</v>
      </c>
      <c r="D1053" t="inlineStr">
        <is>
          <t>VÄRMLANDS LÄN</t>
        </is>
      </c>
      <c r="E1053" t="inlineStr">
        <is>
          <t>SUNNE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28409-2019</t>
        </is>
      </c>
      <c r="B1054" s="1" t="n">
        <v>43626</v>
      </c>
      <c r="C1054" s="1" t="n">
        <v>45736</v>
      </c>
      <c r="D1054" t="inlineStr">
        <is>
          <t>VÄRMLANDS LÄN</t>
        </is>
      </c>
      <c r="E1054" t="inlineStr">
        <is>
          <t>STORFORS</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28386-2019</t>
        </is>
      </c>
      <c r="B1055" s="1" t="n">
        <v>43626</v>
      </c>
      <c r="C1055" s="1" t="n">
        <v>45736</v>
      </c>
      <c r="D1055" t="inlineStr">
        <is>
          <t>VÄRMLANDS LÄN</t>
        </is>
      </c>
      <c r="E1055" t="inlineStr">
        <is>
          <t>SUNNE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28389-2019</t>
        </is>
      </c>
      <c r="B1056" s="1" t="n">
        <v>43626</v>
      </c>
      <c r="C1056" s="1" t="n">
        <v>45736</v>
      </c>
      <c r="D1056" t="inlineStr">
        <is>
          <t>VÄRMLANDS LÄN</t>
        </is>
      </c>
      <c r="E1056" t="inlineStr">
        <is>
          <t>SUNNE</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28653-2019</t>
        </is>
      </c>
      <c r="B1057" s="1" t="n">
        <v>43627</v>
      </c>
      <c r="C1057" s="1" t="n">
        <v>45736</v>
      </c>
      <c r="D1057" t="inlineStr">
        <is>
          <t>VÄRMLANDS LÄN</t>
        </is>
      </c>
      <c r="E1057" t="inlineStr">
        <is>
          <t>TORSBY</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29365-2019</t>
        </is>
      </c>
      <c r="B1058" s="1" t="n">
        <v>43627</v>
      </c>
      <c r="C1058" s="1" t="n">
        <v>45736</v>
      </c>
      <c r="D1058" t="inlineStr">
        <is>
          <t>VÄRMLANDS LÄN</t>
        </is>
      </c>
      <c r="E1058" t="inlineStr">
        <is>
          <t>SUNNE</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28823-2019</t>
        </is>
      </c>
      <c r="B1059" s="1" t="n">
        <v>43627</v>
      </c>
      <c r="C1059" s="1" t="n">
        <v>45736</v>
      </c>
      <c r="D1059" t="inlineStr">
        <is>
          <t>VÄRMLANDS LÄN</t>
        </is>
      </c>
      <c r="E1059" t="inlineStr">
        <is>
          <t>STORFORS</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28832-2019</t>
        </is>
      </c>
      <c r="B1060" s="1" t="n">
        <v>43627</v>
      </c>
      <c r="C1060" s="1" t="n">
        <v>45736</v>
      </c>
      <c r="D1060" t="inlineStr">
        <is>
          <t>VÄRMLANDS LÄN</t>
        </is>
      </c>
      <c r="E1060" t="inlineStr">
        <is>
          <t>STORFORS</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29363-2019</t>
        </is>
      </c>
      <c r="B1061" s="1" t="n">
        <v>43627</v>
      </c>
      <c r="C1061" s="1" t="n">
        <v>45736</v>
      </c>
      <c r="D1061" t="inlineStr">
        <is>
          <t>VÄRMLANDS LÄN</t>
        </is>
      </c>
      <c r="E1061" t="inlineStr">
        <is>
          <t>SUNNE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28818-2019</t>
        </is>
      </c>
      <c r="B1062" s="1" t="n">
        <v>43627</v>
      </c>
      <c r="C1062" s="1" t="n">
        <v>45736</v>
      </c>
      <c r="D1062" t="inlineStr">
        <is>
          <t>VÄRMLANDS LÄN</t>
        </is>
      </c>
      <c r="E1062" t="inlineStr">
        <is>
          <t>TORSBY</t>
        </is>
      </c>
      <c r="F1062" t="inlineStr">
        <is>
          <t>Bergvik skog väst AB</t>
        </is>
      </c>
      <c r="G1062" t="n">
        <v>58.6</v>
      </c>
      <c r="H1062" t="n">
        <v>0</v>
      </c>
      <c r="I1062" t="n">
        <v>0</v>
      </c>
      <c r="J1062" t="n">
        <v>0</v>
      </c>
      <c r="K1062" t="n">
        <v>0</v>
      </c>
      <c r="L1062" t="n">
        <v>0</v>
      </c>
      <c r="M1062" t="n">
        <v>0</v>
      </c>
      <c r="N1062" t="n">
        <v>0</v>
      </c>
      <c r="O1062" t="n">
        <v>0</v>
      </c>
      <c r="P1062" t="n">
        <v>0</v>
      </c>
      <c r="Q1062" t="n">
        <v>0</v>
      </c>
      <c r="R1062" s="2" t="inlineStr"/>
    </row>
    <row r="1063" ht="15" customHeight="1">
      <c r="A1063" t="inlineStr">
        <is>
          <t>A 28904-2019</t>
        </is>
      </c>
      <c r="B1063" s="1" t="n">
        <v>43628</v>
      </c>
      <c r="C1063" s="1" t="n">
        <v>45736</v>
      </c>
      <c r="D1063" t="inlineStr">
        <is>
          <t>VÄRMLANDS LÄN</t>
        </is>
      </c>
      <c r="E1063" t="inlineStr">
        <is>
          <t>FORSHAGA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28865-2019</t>
        </is>
      </c>
      <c r="B1064" s="1" t="n">
        <v>43628</v>
      </c>
      <c r="C1064" s="1" t="n">
        <v>45736</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28889-2019</t>
        </is>
      </c>
      <c r="B1065" s="1" t="n">
        <v>43628</v>
      </c>
      <c r="C1065" s="1" t="n">
        <v>45736</v>
      </c>
      <c r="D1065" t="inlineStr">
        <is>
          <t>VÄRMLANDS LÄN</t>
        </is>
      </c>
      <c r="E1065" t="inlineStr">
        <is>
          <t>TORSBY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29593-2019</t>
        </is>
      </c>
      <c r="B1066" s="1" t="n">
        <v>43628</v>
      </c>
      <c r="C1066" s="1" t="n">
        <v>45736</v>
      </c>
      <c r="D1066" t="inlineStr">
        <is>
          <t>VÄRMLANDS LÄN</t>
        </is>
      </c>
      <c r="E1066" t="inlineStr">
        <is>
          <t>ARVIKA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29682-2019</t>
        </is>
      </c>
      <c r="B1067" s="1" t="n">
        <v>43628</v>
      </c>
      <c r="C1067" s="1" t="n">
        <v>45736</v>
      </c>
      <c r="D1067" t="inlineStr">
        <is>
          <t>VÄRMLANDS LÄN</t>
        </is>
      </c>
      <c r="E1067" t="inlineStr">
        <is>
          <t>KRISTINEHAMN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29677-2019</t>
        </is>
      </c>
      <c r="B1068" s="1" t="n">
        <v>43628</v>
      </c>
      <c r="C1068" s="1" t="n">
        <v>45736</v>
      </c>
      <c r="D1068" t="inlineStr">
        <is>
          <t>VÄRMLANDS LÄN</t>
        </is>
      </c>
      <c r="E1068" t="inlineStr">
        <is>
          <t>KRISTINEHAMN</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29588-2019</t>
        </is>
      </c>
      <c r="B1069" s="1" t="n">
        <v>43628</v>
      </c>
      <c r="C1069" s="1" t="n">
        <v>45736</v>
      </c>
      <c r="D1069" t="inlineStr">
        <is>
          <t>VÄRMLANDS LÄN</t>
        </is>
      </c>
      <c r="E1069" t="inlineStr">
        <is>
          <t>ARVIKA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29097-2019</t>
        </is>
      </c>
      <c r="B1070" s="1" t="n">
        <v>43628</v>
      </c>
      <c r="C1070" s="1" t="n">
        <v>45736</v>
      </c>
      <c r="D1070" t="inlineStr">
        <is>
          <t>VÄRMLANDS LÄN</t>
        </is>
      </c>
      <c r="E1070" t="inlineStr">
        <is>
          <t>KARLSTAD</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29093-2019</t>
        </is>
      </c>
      <c r="B1071" s="1" t="n">
        <v>43629</v>
      </c>
      <c r="C1071" s="1" t="n">
        <v>45736</v>
      </c>
      <c r="D1071" t="inlineStr">
        <is>
          <t>VÄRMLANDS LÄN</t>
        </is>
      </c>
      <c r="E1071" t="inlineStr">
        <is>
          <t>KRISTINEHAMN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29351-2019</t>
        </is>
      </c>
      <c r="B1072" s="1" t="n">
        <v>43629</v>
      </c>
      <c r="C1072" s="1" t="n">
        <v>45736</v>
      </c>
      <c r="D1072" t="inlineStr">
        <is>
          <t>VÄRMLANDS LÄN</t>
        </is>
      </c>
      <c r="E1072" t="inlineStr">
        <is>
          <t>SUNNE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29366-2019</t>
        </is>
      </c>
      <c r="B1073" s="1" t="n">
        <v>43629</v>
      </c>
      <c r="C1073" s="1" t="n">
        <v>45736</v>
      </c>
      <c r="D1073" t="inlineStr">
        <is>
          <t>VÄRMLANDS LÄN</t>
        </is>
      </c>
      <c r="E1073" t="inlineStr">
        <is>
          <t>SUNNE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29389-2019</t>
        </is>
      </c>
      <c r="B1074" s="1" t="n">
        <v>43629</v>
      </c>
      <c r="C1074" s="1" t="n">
        <v>45736</v>
      </c>
      <c r="D1074" t="inlineStr">
        <is>
          <t>VÄRMLANDS LÄN</t>
        </is>
      </c>
      <c r="E1074" t="inlineStr">
        <is>
          <t>HAGFORS</t>
        </is>
      </c>
      <c r="F1074" t="inlineStr">
        <is>
          <t>Bergvik skog väst AB</t>
        </is>
      </c>
      <c r="G1074" t="n">
        <v>24.6</v>
      </c>
      <c r="H1074" t="n">
        <v>0</v>
      </c>
      <c r="I1074" t="n">
        <v>0</v>
      </c>
      <c r="J1074" t="n">
        <v>0</v>
      </c>
      <c r="K1074" t="n">
        <v>0</v>
      </c>
      <c r="L1074" t="n">
        <v>0</v>
      </c>
      <c r="M1074" t="n">
        <v>0</v>
      </c>
      <c r="N1074" t="n">
        <v>0</v>
      </c>
      <c r="O1074" t="n">
        <v>0</v>
      </c>
      <c r="P1074" t="n">
        <v>0</v>
      </c>
      <c r="Q1074" t="n">
        <v>0</v>
      </c>
      <c r="R1074" s="2" t="inlineStr"/>
    </row>
    <row r="1075" ht="15" customHeight="1">
      <c r="A1075" t="inlineStr">
        <is>
          <t>A 29800-2019</t>
        </is>
      </c>
      <c r="B1075" s="1" t="n">
        <v>43629</v>
      </c>
      <c r="C1075" s="1" t="n">
        <v>45736</v>
      </c>
      <c r="D1075" t="inlineStr">
        <is>
          <t>VÄRMLANDS LÄN</t>
        </is>
      </c>
      <c r="E1075" t="inlineStr">
        <is>
          <t>SUNNE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29803-2019</t>
        </is>
      </c>
      <c r="B1076" s="1" t="n">
        <v>43629</v>
      </c>
      <c r="C1076" s="1" t="n">
        <v>45736</v>
      </c>
      <c r="D1076" t="inlineStr">
        <is>
          <t>VÄRMLANDS LÄN</t>
        </is>
      </c>
      <c r="E1076" t="inlineStr">
        <is>
          <t>ARVIKA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29436-2019</t>
        </is>
      </c>
      <c r="B1077" s="1" t="n">
        <v>43629</v>
      </c>
      <c r="C1077" s="1" t="n">
        <v>45736</v>
      </c>
      <c r="D1077" t="inlineStr">
        <is>
          <t>VÄRMLANDS LÄN</t>
        </is>
      </c>
      <c r="E1077" t="inlineStr">
        <is>
          <t>TORSBY</t>
        </is>
      </c>
      <c r="F1077" t="inlineStr">
        <is>
          <t>Bergvik skog väst AB</t>
        </is>
      </c>
      <c r="G1077" t="n">
        <v>33.7</v>
      </c>
      <c r="H1077" t="n">
        <v>0</v>
      </c>
      <c r="I1077" t="n">
        <v>0</v>
      </c>
      <c r="J1077" t="n">
        <v>0</v>
      </c>
      <c r="K1077" t="n">
        <v>0</v>
      </c>
      <c r="L1077" t="n">
        <v>0</v>
      </c>
      <c r="M1077" t="n">
        <v>0</v>
      </c>
      <c r="N1077" t="n">
        <v>0</v>
      </c>
      <c r="O1077" t="n">
        <v>0</v>
      </c>
      <c r="P1077" t="n">
        <v>0</v>
      </c>
      <c r="Q1077" t="n">
        <v>0</v>
      </c>
      <c r="R1077" s="2" t="inlineStr"/>
    </row>
    <row r="1078" ht="15" customHeight="1">
      <c r="A1078" t="inlineStr">
        <is>
          <t>A 29251-2019</t>
        </is>
      </c>
      <c r="B1078" s="1" t="n">
        <v>43629</v>
      </c>
      <c r="C1078" s="1" t="n">
        <v>45736</v>
      </c>
      <c r="D1078" t="inlineStr">
        <is>
          <t>VÄRMLANDS LÄN</t>
        </is>
      </c>
      <c r="E1078" t="inlineStr">
        <is>
          <t>SÄFFLE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29582-2019</t>
        </is>
      </c>
      <c r="B1079" s="1" t="n">
        <v>43630</v>
      </c>
      <c r="C1079" s="1" t="n">
        <v>45736</v>
      </c>
      <c r="D1079" t="inlineStr">
        <is>
          <t>VÄRMLANDS LÄN</t>
        </is>
      </c>
      <c r="E1079" t="inlineStr">
        <is>
          <t>HAGFORS</t>
        </is>
      </c>
      <c r="F1079" t="inlineStr">
        <is>
          <t>Bergvik skog väst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29644-2019</t>
        </is>
      </c>
      <c r="B1080" s="1" t="n">
        <v>43630</v>
      </c>
      <c r="C1080" s="1" t="n">
        <v>45736</v>
      </c>
      <c r="D1080" t="inlineStr">
        <is>
          <t>VÄRMLANDS LÄN</t>
        </is>
      </c>
      <c r="E1080" t="inlineStr">
        <is>
          <t>FORSHAGA</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29722-2019</t>
        </is>
      </c>
      <c r="B1081" s="1" t="n">
        <v>43630</v>
      </c>
      <c r="C1081" s="1" t="n">
        <v>45736</v>
      </c>
      <c r="D1081" t="inlineStr">
        <is>
          <t>VÄRMLANDS LÄN</t>
        </is>
      </c>
      <c r="E1081" t="inlineStr">
        <is>
          <t>KRISTINEHAMN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30031-2019</t>
        </is>
      </c>
      <c r="B1082" s="1" t="n">
        <v>43633</v>
      </c>
      <c r="C1082" s="1" t="n">
        <v>45736</v>
      </c>
      <c r="D1082" t="inlineStr">
        <is>
          <t>VÄRMLANDS LÄN</t>
        </is>
      </c>
      <c r="E1082" t="inlineStr">
        <is>
          <t>TORSBY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29825-2019</t>
        </is>
      </c>
      <c r="B1083" s="1" t="n">
        <v>43633</v>
      </c>
      <c r="C1083" s="1" t="n">
        <v>45736</v>
      </c>
      <c r="D1083" t="inlineStr">
        <is>
          <t>VÄRMLANDS LÄN</t>
        </is>
      </c>
      <c r="E1083" t="inlineStr">
        <is>
          <t>SUNNE</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30035-2019</t>
        </is>
      </c>
      <c r="B1084" s="1" t="n">
        <v>43633</v>
      </c>
      <c r="C1084" s="1" t="n">
        <v>45736</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30049-2019</t>
        </is>
      </c>
      <c r="B1085" s="1" t="n">
        <v>43633</v>
      </c>
      <c r="C1085" s="1" t="n">
        <v>45736</v>
      </c>
      <c r="D1085" t="inlineStr">
        <is>
          <t>VÄRMLANDS LÄN</t>
        </is>
      </c>
      <c r="E1085" t="inlineStr">
        <is>
          <t>TORSBY</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29984-2019</t>
        </is>
      </c>
      <c r="B1086" s="1" t="n">
        <v>43633</v>
      </c>
      <c r="C1086" s="1" t="n">
        <v>45736</v>
      </c>
      <c r="D1086" t="inlineStr">
        <is>
          <t>VÄRMLANDS LÄN</t>
        </is>
      </c>
      <c r="E1086" t="inlineStr">
        <is>
          <t>TORSBY</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30328-2019</t>
        </is>
      </c>
      <c r="B1087" s="1" t="n">
        <v>43633</v>
      </c>
      <c r="C1087" s="1" t="n">
        <v>45736</v>
      </c>
      <c r="D1087" t="inlineStr">
        <is>
          <t>VÄRMLANDS LÄN</t>
        </is>
      </c>
      <c r="E1087" t="inlineStr">
        <is>
          <t>ARVIKA</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30221-2019</t>
        </is>
      </c>
      <c r="B1088" s="1" t="n">
        <v>43633</v>
      </c>
      <c r="C1088" s="1" t="n">
        <v>45736</v>
      </c>
      <c r="D1088" t="inlineStr">
        <is>
          <t>VÄRMLANDS LÄN</t>
        </is>
      </c>
      <c r="E1088" t="inlineStr">
        <is>
          <t>HAGFORS</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30391-2019</t>
        </is>
      </c>
      <c r="B1089" s="1" t="n">
        <v>43633</v>
      </c>
      <c r="C1089" s="1" t="n">
        <v>45736</v>
      </c>
      <c r="D1089" t="inlineStr">
        <is>
          <t>VÄRMLANDS LÄN</t>
        </is>
      </c>
      <c r="E1089" t="inlineStr">
        <is>
          <t>SUNNE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30316-2019</t>
        </is>
      </c>
      <c r="B1090" s="1" t="n">
        <v>43633</v>
      </c>
      <c r="C1090" s="1" t="n">
        <v>45736</v>
      </c>
      <c r="D1090" t="inlineStr">
        <is>
          <t>VÄRMLANDS LÄN</t>
        </is>
      </c>
      <c r="E1090" t="inlineStr">
        <is>
          <t>ARVIKA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30398-2019</t>
        </is>
      </c>
      <c r="B1091" s="1" t="n">
        <v>43633</v>
      </c>
      <c r="C1091" s="1" t="n">
        <v>45736</v>
      </c>
      <c r="D1091" t="inlineStr">
        <is>
          <t>VÄRMLANDS LÄN</t>
        </is>
      </c>
      <c r="E1091" t="inlineStr">
        <is>
          <t>HAGFORS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30325-2019</t>
        </is>
      </c>
      <c r="B1092" s="1" t="n">
        <v>43633</v>
      </c>
      <c r="C1092" s="1" t="n">
        <v>45736</v>
      </c>
      <c r="D1092" t="inlineStr">
        <is>
          <t>VÄRMLANDS LÄN</t>
        </is>
      </c>
      <c r="E1092" t="inlineStr">
        <is>
          <t>ARVIKA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30310-2019</t>
        </is>
      </c>
      <c r="B1093" s="1" t="n">
        <v>43634</v>
      </c>
      <c r="C1093" s="1" t="n">
        <v>45736</v>
      </c>
      <c r="D1093" t="inlineStr">
        <is>
          <t>VÄRMLANDS LÄN</t>
        </is>
      </c>
      <c r="E1093" t="inlineStr">
        <is>
          <t>ARVIKA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30462-2019</t>
        </is>
      </c>
      <c r="B1094" s="1" t="n">
        <v>43634</v>
      </c>
      <c r="C1094" s="1" t="n">
        <v>45736</v>
      </c>
      <c r="D1094" t="inlineStr">
        <is>
          <t>VÄRMLANDS LÄN</t>
        </is>
      </c>
      <c r="E1094" t="inlineStr">
        <is>
          <t>SUNNE</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30353-2019</t>
        </is>
      </c>
      <c r="B1095" s="1" t="n">
        <v>43634</v>
      </c>
      <c r="C1095" s="1" t="n">
        <v>45736</v>
      </c>
      <c r="D1095" t="inlineStr">
        <is>
          <t>VÄRMLANDS LÄN</t>
        </is>
      </c>
      <c r="E1095" t="inlineStr">
        <is>
          <t>ARVIKA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30486-2019</t>
        </is>
      </c>
      <c r="B1096" s="1" t="n">
        <v>43634</v>
      </c>
      <c r="C1096" s="1" t="n">
        <v>45736</v>
      </c>
      <c r="D1096" t="inlineStr">
        <is>
          <t>VÄRMLANDS LÄN</t>
        </is>
      </c>
      <c r="E1096" t="inlineStr">
        <is>
          <t>SUNNE</t>
        </is>
      </c>
      <c r="G1096" t="n">
        <v>17.8</v>
      </c>
      <c r="H1096" t="n">
        <v>0</v>
      </c>
      <c r="I1096" t="n">
        <v>0</v>
      </c>
      <c r="J1096" t="n">
        <v>0</v>
      </c>
      <c r="K1096" t="n">
        <v>0</v>
      </c>
      <c r="L1096" t="n">
        <v>0</v>
      </c>
      <c r="M1096" t="n">
        <v>0</v>
      </c>
      <c r="N1096" t="n">
        <v>0</v>
      </c>
      <c r="O1096" t="n">
        <v>0</v>
      </c>
      <c r="P1096" t="n">
        <v>0</v>
      </c>
      <c r="Q1096" t="n">
        <v>0</v>
      </c>
      <c r="R1096" s="2" t="inlineStr"/>
    </row>
    <row r="1097" ht="15" customHeight="1">
      <c r="A1097" t="inlineStr">
        <is>
          <t>A 30158-2019</t>
        </is>
      </c>
      <c r="B1097" s="1" t="n">
        <v>43634</v>
      </c>
      <c r="C1097" s="1" t="n">
        <v>45736</v>
      </c>
      <c r="D1097" t="inlineStr">
        <is>
          <t>VÄRMLANDS LÄN</t>
        </is>
      </c>
      <c r="E1097" t="inlineStr">
        <is>
          <t>TORSBY</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30596-2019</t>
        </is>
      </c>
      <c r="B1098" s="1" t="n">
        <v>43635</v>
      </c>
      <c r="C1098" s="1" t="n">
        <v>45736</v>
      </c>
      <c r="D1098" t="inlineStr">
        <is>
          <t>VÄRMLANDS LÄN</t>
        </is>
      </c>
      <c r="E1098" t="inlineStr">
        <is>
          <t>TORSBY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30643-2019</t>
        </is>
      </c>
      <c r="B1099" s="1" t="n">
        <v>43635</v>
      </c>
      <c r="C1099" s="1" t="n">
        <v>45736</v>
      </c>
      <c r="D1099" t="inlineStr">
        <is>
          <t>VÄRMLANDS LÄN</t>
        </is>
      </c>
      <c r="E1099" t="inlineStr">
        <is>
          <t>ARVIKA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31190-2019</t>
        </is>
      </c>
      <c r="B1100" s="1" t="n">
        <v>43635</v>
      </c>
      <c r="C1100" s="1" t="n">
        <v>45736</v>
      </c>
      <c r="D1100" t="inlineStr">
        <is>
          <t>VÄRMLANDS LÄN</t>
        </is>
      </c>
      <c r="E1100" t="inlineStr">
        <is>
          <t>SÄFFLE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30535-2019</t>
        </is>
      </c>
      <c r="B1101" s="1" t="n">
        <v>43635</v>
      </c>
      <c r="C1101" s="1" t="n">
        <v>45736</v>
      </c>
      <c r="D1101" t="inlineStr">
        <is>
          <t>VÄRMLANDS LÄN</t>
        </is>
      </c>
      <c r="E1101" t="inlineStr">
        <is>
          <t>EDA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30636-2019</t>
        </is>
      </c>
      <c r="B1102" s="1" t="n">
        <v>43635</v>
      </c>
      <c r="C1102" s="1" t="n">
        <v>45736</v>
      </c>
      <c r="D1102" t="inlineStr">
        <is>
          <t>VÄRMLANDS LÄN</t>
        </is>
      </c>
      <c r="E1102" t="inlineStr">
        <is>
          <t>ARVIKA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622-2020</t>
        </is>
      </c>
      <c r="B1103" s="1" t="n">
        <v>43635</v>
      </c>
      <c r="C1103" s="1" t="n">
        <v>45736</v>
      </c>
      <c r="D1103" t="inlineStr">
        <is>
          <t>VÄRMLANDS LÄN</t>
        </is>
      </c>
      <c r="E1103" t="inlineStr">
        <is>
          <t>ARVIKA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30641-2019</t>
        </is>
      </c>
      <c r="B1104" s="1" t="n">
        <v>43636</v>
      </c>
      <c r="C1104" s="1" t="n">
        <v>45736</v>
      </c>
      <c r="D1104" t="inlineStr">
        <is>
          <t>VÄRMLANDS LÄN</t>
        </is>
      </c>
      <c r="E1104" t="inlineStr">
        <is>
          <t>KARLSTAD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30728-2019</t>
        </is>
      </c>
      <c r="B1105" s="1" t="n">
        <v>43636</v>
      </c>
      <c r="C1105" s="1" t="n">
        <v>45736</v>
      </c>
      <c r="D1105" t="inlineStr">
        <is>
          <t>VÄRMLANDS LÄN</t>
        </is>
      </c>
      <c r="E1105" t="inlineStr">
        <is>
          <t>SUNNE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30860-2019</t>
        </is>
      </c>
      <c r="B1106" s="1" t="n">
        <v>43636</v>
      </c>
      <c r="C1106" s="1" t="n">
        <v>45736</v>
      </c>
      <c r="D1106" t="inlineStr">
        <is>
          <t>VÄRMLANDS LÄN</t>
        </is>
      </c>
      <c r="E1106" t="inlineStr">
        <is>
          <t>TORSBY</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31188-2019</t>
        </is>
      </c>
      <c r="B1107" s="1" t="n">
        <v>43636</v>
      </c>
      <c r="C1107" s="1" t="n">
        <v>45736</v>
      </c>
      <c r="D1107" t="inlineStr">
        <is>
          <t>VÄRMLANDS LÄN</t>
        </is>
      </c>
      <c r="E1107" t="inlineStr">
        <is>
          <t>SÄFFLE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30885-2019</t>
        </is>
      </c>
      <c r="B1108" s="1" t="n">
        <v>43636</v>
      </c>
      <c r="C1108" s="1" t="n">
        <v>45736</v>
      </c>
      <c r="D1108" t="inlineStr">
        <is>
          <t>VÄRMLANDS LÄN</t>
        </is>
      </c>
      <c r="E1108" t="inlineStr">
        <is>
          <t>ARVIKA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30777-2019</t>
        </is>
      </c>
      <c r="B1109" s="1" t="n">
        <v>43636</v>
      </c>
      <c r="C1109" s="1" t="n">
        <v>45736</v>
      </c>
      <c r="D1109" t="inlineStr">
        <is>
          <t>VÄRMLANDS LÄN</t>
        </is>
      </c>
      <c r="E1109" t="inlineStr">
        <is>
          <t>FILIPSTAD</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31379-2019</t>
        </is>
      </c>
      <c r="B1110" s="1" t="n">
        <v>43636</v>
      </c>
      <c r="C1110" s="1" t="n">
        <v>45736</v>
      </c>
      <c r="D1110" t="inlineStr">
        <is>
          <t>VÄRMLANDS LÄN</t>
        </is>
      </c>
      <c r="E1110" t="inlineStr">
        <is>
          <t>ÅRJÄNG</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30888-2019</t>
        </is>
      </c>
      <c r="B1111" s="1" t="n">
        <v>43636</v>
      </c>
      <c r="C1111" s="1" t="n">
        <v>45736</v>
      </c>
      <c r="D1111" t="inlineStr">
        <is>
          <t>VÄRMLANDS LÄN</t>
        </is>
      </c>
      <c r="E1111" t="inlineStr">
        <is>
          <t>GRUMS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30975-2019</t>
        </is>
      </c>
      <c r="B1112" s="1" t="n">
        <v>43639</v>
      </c>
      <c r="C1112" s="1" t="n">
        <v>45736</v>
      </c>
      <c r="D1112" t="inlineStr">
        <is>
          <t>VÄRMLANDS LÄN</t>
        </is>
      </c>
      <c r="E1112" t="inlineStr">
        <is>
          <t>KARLSTAD</t>
        </is>
      </c>
      <c r="F1112" t="inlineStr">
        <is>
          <t>Naturvårdsverket</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30977-2019</t>
        </is>
      </c>
      <c r="B1113" s="1" t="n">
        <v>43640</v>
      </c>
      <c r="C1113" s="1" t="n">
        <v>45736</v>
      </c>
      <c r="D1113" t="inlineStr">
        <is>
          <t>VÄRMLANDS LÄN</t>
        </is>
      </c>
      <c r="E1113" t="inlineStr">
        <is>
          <t>MUNKFORS</t>
        </is>
      </c>
      <c r="F1113" t="inlineStr">
        <is>
          <t>Bergvik skog väst AB</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31109-2019</t>
        </is>
      </c>
      <c r="B1114" s="1" t="n">
        <v>43640</v>
      </c>
      <c r="C1114" s="1" t="n">
        <v>45736</v>
      </c>
      <c r="D1114" t="inlineStr">
        <is>
          <t>VÄRMLANDS LÄN</t>
        </is>
      </c>
      <c r="E1114" t="inlineStr">
        <is>
          <t>TORSBY</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31121-2019</t>
        </is>
      </c>
      <c r="B1115" s="1" t="n">
        <v>43640</v>
      </c>
      <c r="C1115" s="1" t="n">
        <v>45736</v>
      </c>
      <c r="D1115" t="inlineStr">
        <is>
          <t>VÄRMLANDS LÄN</t>
        </is>
      </c>
      <c r="E1115" t="inlineStr">
        <is>
          <t>FILIPSTAD</t>
        </is>
      </c>
      <c r="F1115" t="inlineStr">
        <is>
          <t>Bergvik skog väst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31010-2019</t>
        </is>
      </c>
      <c r="B1116" s="1" t="n">
        <v>43640</v>
      </c>
      <c r="C1116" s="1" t="n">
        <v>45736</v>
      </c>
      <c r="D1116" t="inlineStr">
        <is>
          <t>VÄRMLANDS LÄN</t>
        </is>
      </c>
      <c r="E1116" t="inlineStr">
        <is>
          <t>TORSBY</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31122-2019</t>
        </is>
      </c>
      <c r="B1117" s="1" t="n">
        <v>43640</v>
      </c>
      <c r="C1117" s="1" t="n">
        <v>45736</v>
      </c>
      <c r="D1117" t="inlineStr">
        <is>
          <t>VÄRMLANDS LÄN</t>
        </is>
      </c>
      <c r="E1117" t="inlineStr">
        <is>
          <t>FILIPSTAD</t>
        </is>
      </c>
      <c r="F1117" t="inlineStr">
        <is>
          <t>Bergvik skog väst AB</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31142-2019</t>
        </is>
      </c>
      <c r="B1118" s="1" t="n">
        <v>43640</v>
      </c>
      <c r="C1118" s="1" t="n">
        <v>45736</v>
      </c>
      <c r="D1118" t="inlineStr">
        <is>
          <t>VÄRMLANDS LÄN</t>
        </is>
      </c>
      <c r="E1118" t="inlineStr">
        <is>
          <t>KARLSTAD</t>
        </is>
      </c>
      <c r="F1118" t="inlineStr">
        <is>
          <t>Bergvik skog väst AB</t>
        </is>
      </c>
      <c r="G1118" t="n">
        <v>20.2</v>
      </c>
      <c r="H1118" t="n">
        <v>0</v>
      </c>
      <c r="I1118" t="n">
        <v>0</v>
      </c>
      <c r="J1118" t="n">
        <v>0</v>
      </c>
      <c r="K1118" t="n">
        <v>0</v>
      </c>
      <c r="L1118" t="n">
        <v>0</v>
      </c>
      <c r="M1118" t="n">
        <v>0</v>
      </c>
      <c r="N1118" t="n">
        <v>0</v>
      </c>
      <c r="O1118" t="n">
        <v>0</v>
      </c>
      <c r="P1118" t="n">
        <v>0</v>
      </c>
      <c r="Q1118" t="n">
        <v>0</v>
      </c>
      <c r="R1118" s="2" t="inlineStr"/>
    </row>
    <row r="1119" ht="15" customHeight="1">
      <c r="A1119" t="inlineStr">
        <is>
          <t>A 31120-2019</t>
        </is>
      </c>
      <c r="B1119" s="1" t="n">
        <v>43640</v>
      </c>
      <c r="C1119" s="1" t="n">
        <v>45736</v>
      </c>
      <c r="D1119" t="inlineStr">
        <is>
          <t>VÄRMLANDS LÄN</t>
        </is>
      </c>
      <c r="E1119" t="inlineStr">
        <is>
          <t>FILIPSTAD</t>
        </is>
      </c>
      <c r="F1119" t="inlineStr">
        <is>
          <t>Bergvik skog väst AB</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31138-2019</t>
        </is>
      </c>
      <c r="B1120" s="1" t="n">
        <v>43640</v>
      </c>
      <c r="C1120" s="1" t="n">
        <v>45736</v>
      </c>
      <c r="D1120" t="inlineStr">
        <is>
          <t>VÄRMLANDS LÄN</t>
        </is>
      </c>
      <c r="E1120" t="inlineStr">
        <is>
          <t>TORSBY</t>
        </is>
      </c>
      <c r="F1120" t="inlineStr">
        <is>
          <t>Bergvik skog väst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31218-2019</t>
        </is>
      </c>
      <c r="B1121" s="1" t="n">
        <v>43640</v>
      </c>
      <c r="C1121" s="1" t="n">
        <v>45736</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31174-2019</t>
        </is>
      </c>
      <c r="B1122" s="1" t="n">
        <v>43640</v>
      </c>
      <c r="C1122" s="1" t="n">
        <v>45736</v>
      </c>
      <c r="D1122" t="inlineStr">
        <is>
          <t>VÄRMLANDS LÄN</t>
        </is>
      </c>
      <c r="E1122" t="inlineStr">
        <is>
          <t>SÄFFLE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31457-2019</t>
        </is>
      </c>
      <c r="B1123" s="1" t="n">
        <v>43640</v>
      </c>
      <c r="C1123" s="1" t="n">
        <v>45736</v>
      </c>
      <c r="D1123" t="inlineStr">
        <is>
          <t>VÄRMLANDS LÄN</t>
        </is>
      </c>
      <c r="E1123" t="inlineStr">
        <is>
          <t>SUNNE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31664-2019</t>
        </is>
      </c>
      <c r="B1124" s="1" t="n">
        <v>43640</v>
      </c>
      <c r="C1124" s="1" t="n">
        <v>45736</v>
      </c>
      <c r="D1124" t="inlineStr">
        <is>
          <t>VÄRMLANDS LÄN</t>
        </is>
      </c>
      <c r="E1124" t="inlineStr">
        <is>
          <t>FILIPSTAD</t>
        </is>
      </c>
      <c r="F1124" t="inlineStr">
        <is>
          <t>Kyrkan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32393-2019</t>
        </is>
      </c>
      <c r="B1125" s="1" t="n">
        <v>43640</v>
      </c>
      <c r="C1125" s="1" t="n">
        <v>45736</v>
      </c>
      <c r="D1125" t="inlineStr">
        <is>
          <t>VÄRMLANDS LÄN</t>
        </is>
      </c>
      <c r="E1125" t="inlineStr">
        <is>
          <t>MUNKFORS</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31449-2019</t>
        </is>
      </c>
      <c r="B1126" s="1" t="n">
        <v>43640</v>
      </c>
      <c r="C1126" s="1" t="n">
        <v>45736</v>
      </c>
      <c r="D1126" t="inlineStr">
        <is>
          <t>VÄRMLANDS LÄN</t>
        </is>
      </c>
      <c r="E1126" t="inlineStr">
        <is>
          <t>SUNNE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31650-2019</t>
        </is>
      </c>
      <c r="B1127" s="1" t="n">
        <v>43640</v>
      </c>
      <c r="C1127" s="1" t="n">
        <v>45736</v>
      </c>
      <c r="D1127" t="inlineStr">
        <is>
          <t>VÄRMLANDS LÄN</t>
        </is>
      </c>
      <c r="E1127" t="inlineStr">
        <is>
          <t>FILIPSTAD</t>
        </is>
      </c>
      <c r="F1127" t="inlineStr">
        <is>
          <t>Kyrkan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31203-2019</t>
        </is>
      </c>
      <c r="B1128" s="1" t="n">
        <v>43640</v>
      </c>
      <c r="C1128" s="1" t="n">
        <v>45736</v>
      </c>
      <c r="D1128" t="inlineStr">
        <is>
          <t>VÄRMLANDS LÄN</t>
        </is>
      </c>
      <c r="E1128" t="inlineStr">
        <is>
          <t>KRISTINEHAMN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31383-2019</t>
        </is>
      </c>
      <c r="B1129" s="1" t="n">
        <v>43641</v>
      </c>
      <c r="C1129" s="1" t="n">
        <v>45736</v>
      </c>
      <c r="D1129" t="inlineStr">
        <is>
          <t>VÄRMLANDS LÄN</t>
        </is>
      </c>
      <c r="E1129" t="inlineStr">
        <is>
          <t>FORSHAGA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31553-2019</t>
        </is>
      </c>
      <c r="B1130" s="1" t="n">
        <v>43641</v>
      </c>
      <c r="C1130" s="1" t="n">
        <v>45736</v>
      </c>
      <c r="D1130" t="inlineStr">
        <is>
          <t>VÄRMLANDS LÄN</t>
        </is>
      </c>
      <c r="E1130" t="inlineStr">
        <is>
          <t>SUNNE</t>
        </is>
      </c>
      <c r="F1130" t="inlineStr">
        <is>
          <t>Bergvik skog väst AB</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31327-2019</t>
        </is>
      </c>
      <c r="B1131" s="1" t="n">
        <v>43641</v>
      </c>
      <c r="C1131" s="1" t="n">
        <v>45736</v>
      </c>
      <c r="D1131" t="inlineStr">
        <is>
          <t>VÄRMLANDS LÄN</t>
        </is>
      </c>
      <c r="E1131" t="inlineStr">
        <is>
          <t>ARVIKA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31543-2019</t>
        </is>
      </c>
      <c r="B1132" s="1" t="n">
        <v>43641</v>
      </c>
      <c r="C1132" s="1" t="n">
        <v>45736</v>
      </c>
      <c r="D1132" t="inlineStr">
        <is>
          <t>VÄRMLANDS LÄN</t>
        </is>
      </c>
      <c r="E1132" t="inlineStr">
        <is>
          <t>TORSBY</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31349-2019</t>
        </is>
      </c>
      <c r="B1133" s="1" t="n">
        <v>43641</v>
      </c>
      <c r="C1133" s="1" t="n">
        <v>45736</v>
      </c>
      <c r="D1133" t="inlineStr">
        <is>
          <t>VÄRMLANDS LÄN</t>
        </is>
      </c>
      <c r="E1133" t="inlineStr">
        <is>
          <t>FORSHAGA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31631-2019</t>
        </is>
      </c>
      <c r="B1134" s="1" t="n">
        <v>43642</v>
      </c>
      <c r="C1134" s="1" t="n">
        <v>45736</v>
      </c>
      <c r="D1134" t="inlineStr">
        <is>
          <t>VÄRMLANDS LÄN</t>
        </is>
      </c>
      <c r="E1134" t="inlineStr">
        <is>
          <t>KARLSTAD</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31609-2019</t>
        </is>
      </c>
      <c r="B1135" s="1" t="n">
        <v>43642</v>
      </c>
      <c r="C1135" s="1" t="n">
        <v>45736</v>
      </c>
      <c r="D1135" t="inlineStr">
        <is>
          <t>VÄRMLANDS LÄN</t>
        </is>
      </c>
      <c r="E1135" t="inlineStr">
        <is>
          <t>SUNNE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31661-2019</t>
        </is>
      </c>
      <c r="B1136" s="1" t="n">
        <v>43642</v>
      </c>
      <c r="C1136" s="1" t="n">
        <v>45736</v>
      </c>
      <c r="D1136" t="inlineStr">
        <is>
          <t>VÄRMLANDS LÄN</t>
        </is>
      </c>
      <c r="E1136" t="inlineStr">
        <is>
          <t>SUNNE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32057-2019</t>
        </is>
      </c>
      <c r="B1137" s="1" t="n">
        <v>43642</v>
      </c>
      <c r="C1137" s="1" t="n">
        <v>45736</v>
      </c>
      <c r="D1137" t="inlineStr">
        <is>
          <t>VÄRMLANDS LÄN</t>
        </is>
      </c>
      <c r="E1137" t="inlineStr">
        <is>
          <t>GRUMS</t>
        </is>
      </c>
      <c r="F1137" t="inlineStr">
        <is>
          <t>Bergvik skog väst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32068-2019</t>
        </is>
      </c>
      <c r="B1138" s="1" t="n">
        <v>43642</v>
      </c>
      <c r="C1138" s="1" t="n">
        <v>45736</v>
      </c>
      <c r="D1138" t="inlineStr">
        <is>
          <t>VÄRMLANDS LÄN</t>
        </is>
      </c>
      <c r="E1138" t="inlineStr">
        <is>
          <t>GRUMS</t>
        </is>
      </c>
      <c r="F1138" t="inlineStr">
        <is>
          <t>Bergvik skog väst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31930-2019</t>
        </is>
      </c>
      <c r="B1139" s="1" t="n">
        <v>43642</v>
      </c>
      <c r="C1139" s="1" t="n">
        <v>45736</v>
      </c>
      <c r="D1139" t="inlineStr">
        <is>
          <t>VÄRMLANDS LÄN</t>
        </is>
      </c>
      <c r="E1139" t="inlineStr">
        <is>
          <t>TORSBY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32071-2019</t>
        </is>
      </c>
      <c r="B1140" s="1" t="n">
        <v>43642</v>
      </c>
      <c r="C1140" s="1" t="n">
        <v>45736</v>
      </c>
      <c r="D1140" t="inlineStr">
        <is>
          <t>VÄRMLANDS LÄN</t>
        </is>
      </c>
      <c r="E1140" t="inlineStr">
        <is>
          <t>GRUMS</t>
        </is>
      </c>
      <c r="F1140" t="inlineStr">
        <is>
          <t>Bergvik skog väst AB</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32013-2019</t>
        </is>
      </c>
      <c r="B1141" s="1" t="n">
        <v>43642</v>
      </c>
      <c r="C1141" s="1" t="n">
        <v>45736</v>
      </c>
      <c r="D1141" t="inlineStr">
        <is>
          <t>VÄRMLANDS LÄN</t>
        </is>
      </c>
      <c r="E1141" t="inlineStr">
        <is>
          <t>STORFORS</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31658-2019</t>
        </is>
      </c>
      <c r="B1142" s="1" t="n">
        <v>43642</v>
      </c>
      <c r="C1142" s="1" t="n">
        <v>45736</v>
      </c>
      <c r="D1142" t="inlineStr">
        <is>
          <t>VÄRMLANDS LÄN</t>
        </is>
      </c>
      <c r="E1142" t="inlineStr">
        <is>
          <t>ÅRJÄNG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32040-2019</t>
        </is>
      </c>
      <c r="B1143" s="1" t="n">
        <v>43643</v>
      </c>
      <c r="C1143" s="1" t="n">
        <v>45736</v>
      </c>
      <c r="D1143" t="inlineStr">
        <is>
          <t>VÄRMLANDS LÄN</t>
        </is>
      </c>
      <c r="E1143" t="inlineStr">
        <is>
          <t>KRISTINEHAMN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31981-2019</t>
        </is>
      </c>
      <c r="B1144" s="1" t="n">
        <v>43643</v>
      </c>
      <c r="C1144" s="1" t="n">
        <v>45736</v>
      </c>
      <c r="D1144" t="inlineStr">
        <is>
          <t>VÄRMLANDS LÄN</t>
        </is>
      </c>
      <c r="E1144" t="inlineStr">
        <is>
          <t>GRUMS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32185-2019</t>
        </is>
      </c>
      <c r="B1145" s="1" t="n">
        <v>43643</v>
      </c>
      <c r="C1145" s="1" t="n">
        <v>45736</v>
      </c>
      <c r="D1145" t="inlineStr">
        <is>
          <t>VÄRMLANDS LÄN</t>
        </is>
      </c>
      <c r="E1145" t="inlineStr">
        <is>
          <t>ARVIKA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31954-2019</t>
        </is>
      </c>
      <c r="B1146" s="1" t="n">
        <v>43643</v>
      </c>
      <c r="C1146" s="1" t="n">
        <v>45736</v>
      </c>
      <c r="D1146" t="inlineStr">
        <is>
          <t>VÄRMLANDS LÄN</t>
        </is>
      </c>
      <c r="E1146" t="inlineStr">
        <is>
          <t>SUNNE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32099-2019</t>
        </is>
      </c>
      <c r="B1147" s="1" t="n">
        <v>43643</v>
      </c>
      <c r="C1147" s="1" t="n">
        <v>45736</v>
      </c>
      <c r="D1147" t="inlineStr">
        <is>
          <t>VÄRMLANDS LÄN</t>
        </is>
      </c>
      <c r="E1147" t="inlineStr">
        <is>
          <t>KRISTINEHAMN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32170-2019</t>
        </is>
      </c>
      <c r="B1148" s="1" t="n">
        <v>43643</v>
      </c>
      <c r="C1148" s="1" t="n">
        <v>45736</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32076-2019</t>
        </is>
      </c>
      <c r="B1149" s="1" t="n">
        <v>43643</v>
      </c>
      <c r="C1149" s="1" t="n">
        <v>45736</v>
      </c>
      <c r="D1149" t="inlineStr">
        <is>
          <t>VÄRMLANDS LÄN</t>
        </is>
      </c>
      <c r="E1149" t="inlineStr">
        <is>
          <t>KRISTINEHAMN</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32112-2019</t>
        </is>
      </c>
      <c r="B1150" s="1" t="n">
        <v>43643</v>
      </c>
      <c r="C1150" s="1" t="n">
        <v>45736</v>
      </c>
      <c r="D1150" t="inlineStr">
        <is>
          <t>VÄRMLANDS LÄN</t>
        </is>
      </c>
      <c r="E1150" t="inlineStr">
        <is>
          <t>KRISTINEHAMN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32250-2019</t>
        </is>
      </c>
      <c r="B1151" s="1" t="n">
        <v>43644</v>
      </c>
      <c r="C1151" s="1" t="n">
        <v>45736</v>
      </c>
      <c r="D1151" t="inlineStr">
        <is>
          <t>VÄRMLANDS LÄN</t>
        </is>
      </c>
      <c r="E1151" t="inlineStr">
        <is>
          <t>KIL</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32406-2019</t>
        </is>
      </c>
      <c r="B1152" s="1" t="n">
        <v>43644</v>
      </c>
      <c r="C1152" s="1" t="n">
        <v>45736</v>
      </c>
      <c r="D1152" t="inlineStr">
        <is>
          <t>VÄRMLANDS LÄN</t>
        </is>
      </c>
      <c r="E1152" t="inlineStr">
        <is>
          <t>KARLSTAD</t>
        </is>
      </c>
      <c r="F1152" t="inlineStr">
        <is>
          <t>Kommuner</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32413-2019</t>
        </is>
      </c>
      <c r="B1153" s="1" t="n">
        <v>43644</v>
      </c>
      <c r="C1153" s="1" t="n">
        <v>45736</v>
      </c>
      <c r="D1153" t="inlineStr">
        <is>
          <t>VÄRMLANDS LÄN</t>
        </is>
      </c>
      <c r="E1153" t="inlineStr">
        <is>
          <t>ARVIKA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32443-2019</t>
        </is>
      </c>
      <c r="B1154" s="1" t="n">
        <v>43644</v>
      </c>
      <c r="C1154" s="1" t="n">
        <v>45736</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32298-2019</t>
        </is>
      </c>
      <c r="B1155" s="1" t="n">
        <v>43644</v>
      </c>
      <c r="C1155" s="1" t="n">
        <v>45736</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33540-2019</t>
        </is>
      </c>
      <c r="B1156" s="1" t="n">
        <v>43644</v>
      </c>
      <c r="C1156" s="1" t="n">
        <v>45736</v>
      </c>
      <c r="D1156" t="inlineStr">
        <is>
          <t>VÄRMLANDS LÄN</t>
        </is>
      </c>
      <c r="E1156" t="inlineStr">
        <is>
          <t>SÄFFLE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32468-2019</t>
        </is>
      </c>
      <c r="B1157" s="1" t="n">
        <v>43644</v>
      </c>
      <c r="C1157" s="1" t="n">
        <v>45736</v>
      </c>
      <c r="D1157" t="inlineStr">
        <is>
          <t>VÄRMLANDS LÄN</t>
        </is>
      </c>
      <c r="E1157" t="inlineStr">
        <is>
          <t>TORSBY</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33587-2019</t>
        </is>
      </c>
      <c r="B1158" s="1" t="n">
        <v>43644</v>
      </c>
      <c r="C1158" s="1" t="n">
        <v>45736</v>
      </c>
      <c r="D1158" t="inlineStr">
        <is>
          <t>VÄRMLANDS LÄN</t>
        </is>
      </c>
      <c r="E1158" t="inlineStr">
        <is>
          <t>KRISTINEHAMN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32444-2019</t>
        </is>
      </c>
      <c r="B1159" s="1" t="n">
        <v>43644</v>
      </c>
      <c r="C1159" s="1" t="n">
        <v>45736</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32516-2019</t>
        </is>
      </c>
      <c r="B1160" s="1" t="n">
        <v>43646</v>
      </c>
      <c r="C1160" s="1" t="n">
        <v>45736</v>
      </c>
      <c r="D1160" t="inlineStr">
        <is>
          <t>VÄRMLANDS LÄN</t>
        </is>
      </c>
      <c r="E1160" t="inlineStr">
        <is>
          <t>SUNNE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33915-2019</t>
        </is>
      </c>
      <c r="B1161" s="1" t="n">
        <v>43646</v>
      </c>
      <c r="C1161" s="1" t="n">
        <v>45736</v>
      </c>
      <c r="D1161" t="inlineStr">
        <is>
          <t>VÄRMLANDS LÄN</t>
        </is>
      </c>
      <c r="E1161" t="inlineStr">
        <is>
          <t>ÅRJÄNG</t>
        </is>
      </c>
      <c r="F1161" t="inlineStr">
        <is>
          <t>Övriga Aktiebolag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33911-2019</t>
        </is>
      </c>
      <c r="B1162" s="1" t="n">
        <v>43646</v>
      </c>
      <c r="C1162" s="1" t="n">
        <v>45736</v>
      </c>
      <c r="D1162" t="inlineStr">
        <is>
          <t>VÄRMLANDS LÄN</t>
        </is>
      </c>
      <c r="E1162" t="inlineStr">
        <is>
          <t>ÅRJÄNG</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32562-2019</t>
        </is>
      </c>
      <c r="B1163" s="1" t="n">
        <v>43647</v>
      </c>
      <c r="C1163" s="1" t="n">
        <v>45736</v>
      </c>
      <c r="D1163" t="inlineStr">
        <is>
          <t>VÄRMLANDS LÄN</t>
        </is>
      </c>
      <c r="E1163" t="inlineStr">
        <is>
          <t>FILIPSTAD</t>
        </is>
      </c>
      <c r="F1163" t="inlineStr">
        <is>
          <t>Bergvik skog väst AB</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32560-2019</t>
        </is>
      </c>
      <c r="B1164" s="1" t="n">
        <v>43647</v>
      </c>
      <c r="C1164" s="1" t="n">
        <v>45736</v>
      </c>
      <c r="D1164" t="inlineStr">
        <is>
          <t>VÄRMLANDS LÄN</t>
        </is>
      </c>
      <c r="E1164" t="inlineStr">
        <is>
          <t>SUNNE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34526-2019</t>
        </is>
      </c>
      <c r="B1165" s="1" t="n">
        <v>43647</v>
      </c>
      <c r="C1165" s="1" t="n">
        <v>45736</v>
      </c>
      <c r="D1165" t="inlineStr">
        <is>
          <t>VÄRMLANDS LÄN</t>
        </is>
      </c>
      <c r="E1165" t="inlineStr">
        <is>
          <t>ÅRJÄNG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32764-2019</t>
        </is>
      </c>
      <c r="B1166" s="1" t="n">
        <v>43648</v>
      </c>
      <c r="C1166" s="1" t="n">
        <v>45736</v>
      </c>
      <c r="D1166" t="inlineStr">
        <is>
          <t>VÄRMLANDS LÄN</t>
        </is>
      </c>
      <c r="E1166" t="inlineStr">
        <is>
          <t>SÄFFLE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32865-2019</t>
        </is>
      </c>
      <c r="B1167" s="1" t="n">
        <v>43648</v>
      </c>
      <c r="C1167" s="1" t="n">
        <v>45736</v>
      </c>
      <c r="D1167" t="inlineStr">
        <is>
          <t>VÄRMLANDS LÄN</t>
        </is>
      </c>
      <c r="E1167" t="inlineStr">
        <is>
          <t>SUNNE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32900-2019</t>
        </is>
      </c>
      <c r="B1168" s="1" t="n">
        <v>43648</v>
      </c>
      <c r="C1168" s="1" t="n">
        <v>45736</v>
      </c>
      <c r="D1168" t="inlineStr">
        <is>
          <t>VÄRMLANDS LÄN</t>
        </is>
      </c>
      <c r="E1168" t="inlineStr">
        <is>
          <t>KARLSTAD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34646-2019</t>
        </is>
      </c>
      <c r="B1169" s="1" t="n">
        <v>43648</v>
      </c>
      <c r="C1169" s="1" t="n">
        <v>45736</v>
      </c>
      <c r="D1169" t="inlineStr">
        <is>
          <t>VÄRMLANDS LÄN</t>
        </is>
      </c>
      <c r="E1169" t="inlineStr">
        <is>
          <t>ÅRJÄNG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34750-2019</t>
        </is>
      </c>
      <c r="B1170" s="1" t="n">
        <v>43648</v>
      </c>
      <c r="C1170" s="1" t="n">
        <v>45736</v>
      </c>
      <c r="D1170" t="inlineStr">
        <is>
          <t>VÄRMLANDS LÄN</t>
        </is>
      </c>
      <c r="E1170" t="inlineStr">
        <is>
          <t>KARLSTAD</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32896-2019</t>
        </is>
      </c>
      <c r="B1171" s="1" t="n">
        <v>43648</v>
      </c>
      <c r="C1171" s="1" t="n">
        <v>45736</v>
      </c>
      <c r="D1171" t="inlineStr">
        <is>
          <t>VÄRMLANDS LÄN</t>
        </is>
      </c>
      <c r="E1171" t="inlineStr">
        <is>
          <t>SÄFFLE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32765-2019</t>
        </is>
      </c>
      <c r="B1172" s="1" t="n">
        <v>43648</v>
      </c>
      <c r="C1172" s="1" t="n">
        <v>45736</v>
      </c>
      <c r="D1172" t="inlineStr">
        <is>
          <t>VÄRMLANDS LÄN</t>
        </is>
      </c>
      <c r="E1172" t="inlineStr">
        <is>
          <t>SÄFFLE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32763-2019</t>
        </is>
      </c>
      <c r="B1173" s="1" t="n">
        <v>43648</v>
      </c>
      <c r="C1173" s="1" t="n">
        <v>45736</v>
      </c>
      <c r="D1173" t="inlineStr">
        <is>
          <t>VÄRMLANDS LÄN</t>
        </is>
      </c>
      <c r="E1173" t="inlineStr">
        <is>
          <t>SÄFFLE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33004-2019</t>
        </is>
      </c>
      <c r="B1174" s="1" t="n">
        <v>43649</v>
      </c>
      <c r="C1174" s="1" t="n">
        <v>45736</v>
      </c>
      <c r="D1174" t="inlineStr">
        <is>
          <t>VÄRMLANDS LÄN</t>
        </is>
      </c>
      <c r="E1174" t="inlineStr">
        <is>
          <t>SUNNE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33132-2019</t>
        </is>
      </c>
      <c r="B1175" s="1" t="n">
        <v>43649</v>
      </c>
      <c r="C1175" s="1" t="n">
        <v>45736</v>
      </c>
      <c r="D1175" t="inlineStr">
        <is>
          <t>VÄRMLANDS LÄN</t>
        </is>
      </c>
      <c r="E1175" t="inlineStr">
        <is>
          <t>ÅRJÄNG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34762-2019</t>
        </is>
      </c>
      <c r="B1176" s="1" t="n">
        <v>43649</v>
      </c>
      <c r="C1176" s="1" t="n">
        <v>45736</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33192-2019</t>
        </is>
      </c>
      <c r="B1177" s="1" t="n">
        <v>43649</v>
      </c>
      <c r="C1177" s="1" t="n">
        <v>45736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33195-2019</t>
        </is>
      </c>
      <c r="B1178" s="1" t="n">
        <v>43649</v>
      </c>
      <c r="C1178" s="1" t="n">
        <v>45736</v>
      </c>
      <c r="D1178" t="inlineStr">
        <is>
          <t>VÄRMLANDS LÄN</t>
        </is>
      </c>
      <c r="E1178" t="inlineStr">
        <is>
          <t>ÅRJÄNG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33039-2019</t>
        </is>
      </c>
      <c r="B1179" s="1" t="n">
        <v>43649</v>
      </c>
      <c r="C1179" s="1" t="n">
        <v>45736</v>
      </c>
      <c r="D1179" t="inlineStr">
        <is>
          <t>VÄRMLANDS LÄN</t>
        </is>
      </c>
      <c r="E1179" t="inlineStr">
        <is>
          <t>HAGFORS</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33232-2019</t>
        </is>
      </c>
      <c r="B1180" s="1" t="n">
        <v>43650</v>
      </c>
      <c r="C1180" s="1" t="n">
        <v>45736</v>
      </c>
      <c r="D1180" t="inlineStr">
        <is>
          <t>VÄRMLANDS LÄN</t>
        </is>
      </c>
      <c r="E1180" t="inlineStr">
        <is>
          <t>KIL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33442-2019</t>
        </is>
      </c>
      <c r="B1181" s="1" t="n">
        <v>43650</v>
      </c>
      <c r="C1181" s="1" t="n">
        <v>45736</v>
      </c>
      <c r="D1181" t="inlineStr">
        <is>
          <t>VÄRMLANDS LÄN</t>
        </is>
      </c>
      <c r="E1181" t="inlineStr">
        <is>
          <t>ÅRJÄNG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33375-2019</t>
        </is>
      </c>
      <c r="B1182" s="1" t="n">
        <v>43650</v>
      </c>
      <c r="C1182" s="1" t="n">
        <v>45736</v>
      </c>
      <c r="D1182" t="inlineStr">
        <is>
          <t>VÄRMLANDS LÄN</t>
        </is>
      </c>
      <c r="E1182" t="inlineStr">
        <is>
          <t>KIL</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33309-2019</t>
        </is>
      </c>
      <c r="B1183" s="1" t="n">
        <v>43650</v>
      </c>
      <c r="C1183" s="1" t="n">
        <v>45736</v>
      </c>
      <c r="D1183" t="inlineStr">
        <is>
          <t>VÄRMLANDS LÄN</t>
        </is>
      </c>
      <c r="E1183" t="inlineStr">
        <is>
          <t>STORFORS</t>
        </is>
      </c>
      <c r="F1183" t="inlineStr">
        <is>
          <t>Bergvik skog väst AB</t>
        </is>
      </c>
      <c r="G1183" t="n">
        <v>10.9</v>
      </c>
      <c r="H1183" t="n">
        <v>0</v>
      </c>
      <c r="I1183" t="n">
        <v>0</v>
      </c>
      <c r="J1183" t="n">
        <v>0</v>
      </c>
      <c r="K1183" t="n">
        <v>0</v>
      </c>
      <c r="L1183" t="n">
        <v>0</v>
      </c>
      <c r="M1183" t="n">
        <v>0</v>
      </c>
      <c r="N1183" t="n">
        <v>0</v>
      </c>
      <c r="O1183" t="n">
        <v>0</v>
      </c>
      <c r="P1183" t="n">
        <v>0</v>
      </c>
      <c r="Q1183" t="n">
        <v>0</v>
      </c>
      <c r="R1183" s="2" t="inlineStr"/>
    </row>
    <row r="1184" ht="15" customHeight="1">
      <c r="A1184" t="inlineStr">
        <is>
          <t>A 33405-2019</t>
        </is>
      </c>
      <c r="B1184" s="1" t="n">
        <v>43650</v>
      </c>
      <c r="C1184" s="1" t="n">
        <v>45736</v>
      </c>
      <c r="D1184" t="inlineStr">
        <is>
          <t>VÄRMLANDS LÄN</t>
        </is>
      </c>
      <c r="E1184" t="inlineStr">
        <is>
          <t>KRISTINEHAMN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34904-2019</t>
        </is>
      </c>
      <c r="B1185" s="1" t="n">
        <v>43650</v>
      </c>
      <c r="C1185" s="1" t="n">
        <v>45736</v>
      </c>
      <c r="D1185" t="inlineStr">
        <is>
          <t>VÄRMLANDS LÄN</t>
        </is>
      </c>
      <c r="E1185" t="inlineStr">
        <is>
          <t>KRISTINEHAMN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33443-2019</t>
        </is>
      </c>
      <c r="B1186" s="1" t="n">
        <v>43650</v>
      </c>
      <c r="C1186" s="1" t="n">
        <v>45736</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33401-2019</t>
        </is>
      </c>
      <c r="B1187" s="1" t="n">
        <v>43650</v>
      </c>
      <c r="C1187" s="1" t="n">
        <v>45736</v>
      </c>
      <c r="D1187" t="inlineStr">
        <is>
          <t>VÄRMLANDS LÄN</t>
        </is>
      </c>
      <c r="E1187" t="inlineStr">
        <is>
          <t>KRISTINEHAMN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33633-2019</t>
        </is>
      </c>
      <c r="B1188" s="1" t="n">
        <v>43651</v>
      </c>
      <c r="C1188" s="1" t="n">
        <v>45736</v>
      </c>
      <c r="D1188" t="inlineStr">
        <is>
          <t>VÄRMLANDS LÄN</t>
        </is>
      </c>
      <c r="E1188" t="inlineStr">
        <is>
          <t>SUNNE</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33622-2019</t>
        </is>
      </c>
      <c r="B1189" s="1" t="n">
        <v>43651</v>
      </c>
      <c r="C1189" s="1" t="n">
        <v>45736</v>
      </c>
      <c r="D1189" t="inlineStr">
        <is>
          <t>VÄRMLANDS LÄN</t>
        </is>
      </c>
      <c r="E1189" t="inlineStr">
        <is>
          <t>SÄFFLE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35245-2019</t>
        </is>
      </c>
      <c r="B1190" s="1" t="n">
        <v>43651</v>
      </c>
      <c r="C1190" s="1" t="n">
        <v>45736</v>
      </c>
      <c r="D1190" t="inlineStr">
        <is>
          <t>VÄRMLANDS LÄN</t>
        </is>
      </c>
      <c r="E1190" t="inlineStr">
        <is>
          <t>KARLSTAD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33521-2019</t>
        </is>
      </c>
      <c r="B1191" s="1" t="n">
        <v>43651</v>
      </c>
      <c r="C1191" s="1" t="n">
        <v>45736</v>
      </c>
      <c r="D1191" t="inlineStr">
        <is>
          <t>VÄRMLANDS LÄN</t>
        </is>
      </c>
      <c r="E1191" t="inlineStr">
        <is>
          <t>HAGFORS</t>
        </is>
      </c>
      <c r="F1191" t="inlineStr">
        <is>
          <t>Bergvik skog väst AB</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33870-2019</t>
        </is>
      </c>
      <c r="B1192" s="1" t="n">
        <v>43652</v>
      </c>
      <c r="C1192" s="1" t="n">
        <v>45736</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33882-2019</t>
        </is>
      </c>
      <c r="B1193" s="1" t="n">
        <v>43653</v>
      </c>
      <c r="C1193" s="1" t="n">
        <v>45736</v>
      </c>
      <c r="D1193" t="inlineStr">
        <is>
          <t>VÄRMLANDS LÄN</t>
        </is>
      </c>
      <c r="E1193" t="inlineStr">
        <is>
          <t>KRISTINEHAMN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33898-2019</t>
        </is>
      </c>
      <c r="B1194" s="1" t="n">
        <v>43653</v>
      </c>
      <c r="C1194" s="1" t="n">
        <v>45736</v>
      </c>
      <c r="D1194" t="inlineStr">
        <is>
          <t>VÄRMLANDS LÄN</t>
        </is>
      </c>
      <c r="E1194" t="inlineStr">
        <is>
          <t>EDA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33883-2019</t>
        </is>
      </c>
      <c r="B1195" s="1" t="n">
        <v>43653</v>
      </c>
      <c r="C1195" s="1" t="n">
        <v>45736</v>
      </c>
      <c r="D1195" t="inlineStr">
        <is>
          <t>VÄRMLANDS LÄN</t>
        </is>
      </c>
      <c r="E1195" t="inlineStr">
        <is>
          <t>KRISTINEHAMN</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33899-2019</t>
        </is>
      </c>
      <c r="B1196" s="1" t="n">
        <v>43653</v>
      </c>
      <c r="C1196" s="1" t="n">
        <v>45736</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33884-2019</t>
        </is>
      </c>
      <c r="B1197" s="1" t="n">
        <v>43653</v>
      </c>
      <c r="C1197" s="1" t="n">
        <v>45736</v>
      </c>
      <c r="D1197" t="inlineStr">
        <is>
          <t>VÄRMLANDS LÄN</t>
        </is>
      </c>
      <c r="E1197" t="inlineStr">
        <is>
          <t>KRISTINEHAMN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35484-2019</t>
        </is>
      </c>
      <c r="B1198" s="1" t="n">
        <v>43653</v>
      </c>
      <c r="C1198" s="1" t="n">
        <v>45736</v>
      </c>
      <c r="D1198" t="inlineStr">
        <is>
          <t>VÄRMLANDS LÄN</t>
        </is>
      </c>
      <c r="E1198" t="inlineStr">
        <is>
          <t>SÄFFLE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33918-2019</t>
        </is>
      </c>
      <c r="B1199" s="1" t="n">
        <v>43654</v>
      </c>
      <c r="C1199" s="1" t="n">
        <v>45736</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34008-2019</t>
        </is>
      </c>
      <c r="B1200" s="1" t="n">
        <v>43654</v>
      </c>
      <c r="C1200" s="1" t="n">
        <v>45736</v>
      </c>
      <c r="D1200" t="inlineStr">
        <is>
          <t>VÄRMLANDS LÄN</t>
        </is>
      </c>
      <c r="E1200" t="inlineStr">
        <is>
          <t>HAGFORS</t>
        </is>
      </c>
      <c r="F1200" t="inlineStr">
        <is>
          <t>Bergvik skog väst AB</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33996-2019</t>
        </is>
      </c>
      <c r="B1201" s="1" t="n">
        <v>43654</v>
      </c>
      <c r="C1201" s="1" t="n">
        <v>45736</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34023-2019</t>
        </is>
      </c>
      <c r="B1202" s="1" t="n">
        <v>43654</v>
      </c>
      <c r="C1202" s="1" t="n">
        <v>45736</v>
      </c>
      <c r="D1202" t="inlineStr">
        <is>
          <t>VÄRMLANDS LÄN</t>
        </is>
      </c>
      <c r="E1202" t="inlineStr">
        <is>
          <t>ARVIKA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34096-2019</t>
        </is>
      </c>
      <c r="B1203" s="1" t="n">
        <v>43654</v>
      </c>
      <c r="C1203" s="1" t="n">
        <v>45736</v>
      </c>
      <c r="D1203" t="inlineStr">
        <is>
          <t>VÄRMLANDS LÄN</t>
        </is>
      </c>
      <c r="E1203" t="inlineStr">
        <is>
          <t>ÅRJÄNG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33916-2019</t>
        </is>
      </c>
      <c r="B1204" s="1" t="n">
        <v>43654</v>
      </c>
      <c r="C1204" s="1" t="n">
        <v>45736</v>
      </c>
      <c r="D1204" t="inlineStr">
        <is>
          <t>VÄRMLANDS LÄN</t>
        </is>
      </c>
      <c r="E1204" t="inlineStr">
        <is>
          <t>ÅRJÄNG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33954-2019</t>
        </is>
      </c>
      <c r="B1205" s="1" t="n">
        <v>43654</v>
      </c>
      <c r="C1205" s="1" t="n">
        <v>45736</v>
      </c>
      <c r="D1205" t="inlineStr">
        <is>
          <t>VÄRMLANDS LÄN</t>
        </is>
      </c>
      <c r="E1205" t="inlineStr">
        <is>
          <t>SÄFFLE</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35505-2019</t>
        </is>
      </c>
      <c r="B1206" s="1" t="n">
        <v>43654</v>
      </c>
      <c r="C1206" s="1" t="n">
        <v>45736</v>
      </c>
      <c r="D1206" t="inlineStr">
        <is>
          <t>VÄRMLANDS LÄN</t>
        </is>
      </c>
      <c r="E1206" t="inlineStr">
        <is>
          <t>TORSBY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35559-2019</t>
        </is>
      </c>
      <c r="B1207" s="1" t="n">
        <v>43654</v>
      </c>
      <c r="C1207" s="1" t="n">
        <v>45736</v>
      </c>
      <c r="D1207" t="inlineStr">
        <is>
          <t>VÄRMLANDS LÄN</t>
        </is>
      </c>
      <c r="E1207" t="inlineStr">
        <is>
          <t>SÄFFLE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34184-2019</t>
        </is>
      </c>
      <c r="B1208" s="1" t="n">
        <v>43655</v>
      </c>
      <c r="C1208" s="1" t="n">
        <v>45736</v>
      </c>
      <c r="D1208" t="inlineStr">
        <is>
          <t>VÄRMLANDS LÄN</t>
        </is>
      </c>
      <c r="E1208" t="inlineStr">
        <is>
          <t>ÅRJÄNG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34288-2019</t>
        </is>
      </c>
      <c r="B1209" s="1" t="n">
        <v>43655</v>
      </c>
      <c r="C1209" s="1" t="n">
        <v>45736</v>
      </c>
      <c r="D1209" t="inlineStr">
        <is>
          <t>VÄRMLANDS LÄN</t>
        </is>
      </c>
      <c r="E1209" t="inlineStr">
        <is>
          <t>SUNNE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34289-2019</t>
        </is>
      </c>
      <c r="B1210" s="1" t="n">
        <v>43655</v>
      </c>
      <c r="C1210" s="1" t="n">
        <v>45736</v>
      </c>
      <c r="D1210" t="inlineStr">
        <is>
          <t>VÄRMLANDS LÄN</t>
        </is>
      </c>
      <c r="E1210" t="inlineStr">
        <is>
          <t>SUNNE</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34290-2019</t>
        </is>
      </c>
      <c r="B1211" s="1" t="n">
        <v>43655</v>
      </c>
      <c r="C1211" s="1" t="n">
        <v>45736</v>
      </c>
      <c r="D1211" t="inlineStr">
        <is>
          <t>VÄRMLANDS LÄN</t>
        </is>
      </c>
      <c r="E1211" t="inlineStr">
        <is>
          <t>SUNNE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35680-2019</t>
        </is>
      </c>
      <c r="B1212" s="1" t="n">
        <v>43655</v>
      </c>
      <c r="C1212" s="1" t="n">
        <v>45736</v>
      </c>
      <c r="D1212" t="inlineStr">
        <is>
          <t>VÄRMLANDS LÄN</t>
        </is>
      </c>
      <c r="E1212" t="inlineStr">
        <is>
          <t>ÅRJÄNG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34250-2019</t>
        </is>
      </c>
      <c r="B1213" s="1" t="n">
        <v>43655</v>
      </c>
      <c r="C1213" s="1" t="n">
        <v>45736</v>
      </c>
      <c r="D1213" t="inlineStr">
        <is>
          <t>VÄRMLANDS LÄN</t>
        </is>
      </c>
      <c r="E1213" t="inlineStr">
        <is>
          <t>GRUMS</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34191-2019</t>
        </is>
      </c>
      <c r="B1214" s="1" t="n">
        <v>43655</v>
      </c>
      <c r="C1214" s="1" t="n">
        <v>45736</v>
      </c>
      <c r="D1214" t="inlineStr">
        <is>
          <t>VÄRMLANDS LÄN</t>
        </is>
      </c>
      <c r="E1214" t="inlineStr">
        <is>
          <t>SUNNE</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34344-2019</t>
        </is>
      </c>
      <c r="B1215" s="1" t="n">
        <v>43656</v>
      </c>
      <c r="C1215" s="1" t="n">
        <v>45736</v>
      </c>
      <c r="D1215" t="inlineStr">
        <is>
          <t>VÄRMLANDS LÄN</t>
        </is>
      </c>
      <c r="E1215" t="inlineStr">
        <is>
          <t>MUNKFORS</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35788-2019</t>
        </is>
      </c>
      <c r="B1216" s="1" t="n">
        <v>43656</v>
      </c>
      <c r="C1216" s="1" t="n">
        <v>45736</v>
      </c>
      <c r="D1216" t="inlineStr">
        <is>
          <t>VÄRMLANDS LÄN</t>
        </is>
      </c>
      <c r="E1216" t="inlineStr">
        <is>
          <t>TORSBY</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35887-2019</t>
        </is>
      </c>
      <c r="B1217" s="1" t="n">
        <v>43656</v>
      </c>
      <c r="C1217" s="1" t="n">
        <v>45736</v>
      </c>
      <c r="D1217" t="inlineStr">
        <is>
          <t>VÄRMLANDS LÄN</t>
        </is>
      </c>
      <c r="E1217" t="inlineStr">
        <is>
          <t>SÄFFLE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34541-2019</t>
        </is>
      </c>
      <c r="B1218" s="1" t="n">
        <v>43657</v>
      </c>
      <c r="C1218" s="1" t="n">
        <v>45736</v>
      </c>
      <c r="D1218" t="inlineStr">
        <is>
          <t>VÄRMLANDS LÄN</t>
        </is>
      </c>
      <c r="E1218" t="inlineStr">
        <is>
          <t>TORSBY</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34513-2019</t>
        </is>
      </c>
      <c r="B1219" s="1" t="n">
        <v>43657</v>
      </c>
      <c r="C1219" s="1" t="n">
        <v>45736</v>
      </c>
      <c r="D1219" t="inlineStr">
        <is>
          <t>VÄRMLANDS LÄN</t>
        </is>
      </c>
      <c r="E1219" t="inlineStr">
        <is>
          <t>FILIPSTAD</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36041-2019</t>
        </is>
      </c>
      <c r="B1220" s="1" t="n">
        <v>43657</v>
      </c>
      <c r="C1220" s="1" t="n">
        <v>45736</v>
      </c>
      <c r="D1220" t="inlineStr">
        <is>
          <t>VÄRMLANDS LÄN</t>
        </is>
      </c>
      <c r="E1220" t="inlineStr">
        <is>
          <t>ARVIKA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34582-2019</t>
        </is>
      </c>
      <c r="B1221" s="1" t="n">
        <v>43657</v>
      </c>
      <c r="C1221" s="1" t="n">
        <v>45736</v>
      </c>
      <c r="D1221" t="inlineStr">
        <is>
          <t>VÄRMLANDS LÄN</t>
        </is>
      </c>
      <c r="E1221" t="inlineStr">
        <is>
          <t>ARVIKA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36091-2019</t>
        </is>
      </c>
      <c r="B1222" s="1" t="n">
        <v>43658</v>
      </c>
      <c r="C1222" s="1" t="n">
        <v>45736</v>
      </c>
      <c r="D1222" t="inlineStr">
        <is>
          <t>VÄRMLANDS LÄN</t>
        </is>
      </c>
      <c r="E1222" t="inlineStr">
        <is>
          <t>SÄFFLE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36095-2019</t>
        </is>
      </c>
      <c r="B1223" s="1" t="n">
        <v>43658</v>
      </c>
      <c r="C1223" s="1" t="n">
        <v>45736</v>
      </c>
      <c r="D1223" t="inlineStr">
        <is>
          <t>VÄRMLANDS LÄN</t>
        </is>
      </c>
      <c r="E1223" t="inlineStr">
        <is>
          <t>SÄFFLE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35049-2019</t>
        </is>
      </c>
      <c r="B1224" s="1" t="n">
        <v>43661</v>
      </c>
      <c r="C1224" s="1" t="n">
        <v>45736</v>
      </c>
      <c r="D1224" t="inlineStr">
        <is>
          <t>VÄRMLANDS LÄN</t>
        </is>
      </c>
      <c r="E1224" t="inlineStr">
        <is>
          <t>EDA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35088-2019</t>
        </is>
      </c>
      <c r="B1225" s="1" t="n">
        <v>43661</v>
      </c>
      <c r="C1225" s="1" t="n">
        <v>45736</v>
      </c>
      <c r="D1225" t="inlineStr">
        <is>
          <t>VÄRMLANDS LÄN</t>
        </is>
      </c>
      <c r="E1225" t="inlineStr">
        <is>
          <t>FORSHAGA</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36309-2019</t>
        </is>
      </c>
      <c r="B1226" s="1" t="n">
        <v>43661</v>
      </c>
      <c r="C1226" s="1" t="n">
        <v>45736</v>
      </c>
      <c r="D1226" t="inlineStr">
        <is>
          <t>VÄRMLANDS LÄN</t>
        </is>
      </c>
      <c r="E1226" t="inlineStr">
        <is>
          <t>ARVIKA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35181-2019</t>
        </is>
      </c>
      <c r="B1227" s="1" t="n">
        <v>43662</v>
      </c>
      <c r="C1227" s="1" t="n">
        <v>45736</v>
      </c>
      <c r="D1227" t="inlineStr">
        <is>
          <t>VÄRMLANDS LÄN</t>
        </is>
      </c>
      <c r="E1227" t="inlineStr">
        <is>
          <t>ARVIKA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35248-2019</t>
        </is>
      </c>
      <c r="B1228" s="1" t="n">
        <v>43662</v>
      </c>
      <c r="C1228" s="1" t="n">
        <v>45736</v>
      </c>
      <c r="D1228" t="inlineStr">
        <is>
          <t>VÄRMLANDS LÄN</t>
        </is>
      </c>
      <c r="E1228" t="inlineStr">
        <is>
          <t>MUNKFORS</t>
        </is>
      </c>
      <c r="F1228" t="inlineStr">
        <is>
          <t>Kyrkan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35388-2019</t>
        </is>
      </c>
      <c r="B1229" s="1" t="n">
        <v>43663</v>
      </c>
      <c r="C1229" s="1" t="n">
        <v>45736</v>
      </c>
      <c r="D1229" t="inlineStr">
        <is>
          <t>VÄRMLANDS LÄN</t>
        </is>
      </c>
      <c r="E1229" t="inlineStr">
        <is>
          <t>SUNNE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35422-2019</t>
        </is>
      </c>
      <c r="B1230" s="1" t="n">
        <v>43663</v>
      </c>
      <c r="C1230" s="1" t="n">
        <v>45736</v>
      </c>
      <c r="D1230" t="inlineStr">
        <is>
          <t>VÄRMLANDS LÄN</t>
        </is>
      </c>
      <c r="E1230" t="inlineStr">
        <is>
          <t>FILIPSTAD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36452-2019</t>
        </is>
      </c>
      <c r="B1231" s="1" t="n">
        <v>43663</v>
      </c>
      <c r="C1231" s="1" t="n">
        <v>45736</v>
      </c>
      <c r="D1231" t="inlineStr">
        <is>
          <t>VÄRMLANDS LÄN</t>
        </is>
      </c>
      <c r="E1231" t="inlineStr">
        <is>
          <t>KRISTINEHAMN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35706-2019</t>
        </is>
      </c>
      <c r="B1232" s="1" t="n">
        <v>43664</v>
      </c>
      <c r="C1232" s="1" t="n">
        <v>45736</v>
      </c>
      <c r="D1232" t="inlineStr">
        <is>
          <t>VÄRMLANDS LÄN</t>
        </is>
      </c>
      <c r="E1232" t="inlineStr">
        <is>
          <t>HAGFORS</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35789-2019</t>
        </is>
      </c>
      <c r="B1233" s="1" t="n">
        <v>43665</v>
      </c>
      <c r="C1233" s="1" t="n">
        <v>45736</v>
      </c>
      <c r="D1233" t="inlineStr">
        <is>
          <t>VÄRMLANDS LÄN</t>
        </is>
      </c>
      <c r="E1233" t="inlineStr">
        <is>
          <t>SÄFFLE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35975-2019</t>
        </is>
      </c>
      <c r="B1234" s="1" t="n">
        <v>43666</v>
      </c>
      <c r="C1234" s="1" t="n">
        <v>45736</v>
      </c>
      <c r="D1234" t="inlineStr">
        <is>
          <t>VÄRMLANDS LÄN</t>
        </is>
      </c>
      <c r="E1234" t="inlineStr">
        <is>
          <t>SUNNE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36111-2019</t>
        </is>
      </c>
      <c r="B1235" s="1" t="n">
        <v>43668</v>
      </c>
      <c r="C1235" s="1" t="n">
        <v>45736</v>
      </c>
      <c r="D1235" t="inlineStr">
        <is>
          <t>VÄRMLANDS LÄN</t>
        </is>
      </c>
      <c r="E1235" t="inlineStr">
        <is>
          <t>EDA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36543-2019</t>
        </is>
      </c>
      <c r="B1236" s="1" t="n">
        <v>43668</v>
      </c>
      <c r="C1236" s="1" t="n">
        <v>45736</v>
      </c>
      <c r="D1236" t="inlineStr">
        <is>
          <t>VÄRMLANDS LÄN</t>
        </is>
      </c>
      <c r="E1236" t="inlineStr">
        <is>
          <t>KRISTINEHAMN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36113-2019</t>
        </is>
      </c>
      <c r="B1237" s="1" t="n">
        <v>43668</v>
      </c>
      <c r="C1237" s="1" t="n">
        <v>45736</v>
      </c>
      <c r="D1237" t="inlineStr">
        <is>
          <t>VÄRMLANDS LÄN</t>
        </is>
      </c>
      <c r="E1237" t="inlineStr">
        <is>
          <t>EDA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36116-2019</t>
        </is>
      </c>
      <c r="B1238" s="1" t="n">
        <v>43668</v>
      </c>
      <c r="C1238" s="1" t="n">
        <v>45736</v>
      </c>
      <c r="D1238" t="inlineStr">
        <is>
          <t>VÄRMLANDS LÄN</t>
        </is>
      </c>
      <c r="E1238" t="inlineStr">
        <is>
          <t>EDA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36106-2019</t>
        </is>
      </c>
      <c r="B1239" s="1" t="n">
        <v>43668</v>
      </c>
      <c r="C1239" s="1" t="n">
        <v>45736</v>
      </c>
      <c r="D1239" t="inlineStr">
        <is>
          <t>VÄRMLANDS LÄN</t>
        </is>
      </c>
      <c r="E1239" t="inlineStr">
        <is>
          <t>ARVIKA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36480-2019</t>
        </is>
      </c>
      <c r="B1240" s="1" t="n">
        <v>43668</v>
      </c>
      <c r="C1240" s="1" t="n">
        <v>45736</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38010-2019</t>
        </is>
      </c>
      <c r="B1241" s="1" t="n">
        <v>43669</v>
      </c>
      <c r="C1241" s="1" t="n">
        <v>45736</v>
      </c>
      <c r="D1241" t="inlineStr">
        <is>
          <t>VÄRMLANDS LÄN</t>
        </is>
      </c>
      <c r="E1241" t="inlineStr">
        <is>
          <t>TORSBY</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38003-2019</t>
        </is>
      </c>
      <c r="B1242" s="1" t="n">
        <v>43669</v>
      </c>
      <c r="C1242" s="1" t="n">
        <v>45736</v>
      </c>
      <c r="D1242" t="inlineStr">
        <is>
          <t>VÄRMLANDS LÄN</t>
        </is>
      </c>
      <c r="E1242" t="inlineStr">
        <is>
          <t>TORSBY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36712-2019</t>
        </is>
      </c>
      <c r="B1243" s="1" t="n">
        <v>43669</v>
      </c>
      <c r="C1243" s="1" t="n">
        <v>45736</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36682-2019</t>
        </is>
      </c>
      <c r="B1244" s="1" t="n">
        <v>43670</v>
      </c>
      <c r="C1244" s="1" t="n">
        <v>45736</v>
      </c>
      <c r="D1244" t="inlineStr">
        <is>
          <t>VÄRMLANDS LÄN</t>
        </is>
      </c>
      <c r="E1244" t="inlineStr">
        <is>
          <t>TORSBY</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36650-2019</t>
        </is>
      </c>
      <c r="B1245" s="1" t="n">
        <v>43671</v>
      </c>
      <c r="C1245" s="1" t="n">
        <v>45736</v>
      </c>
      <c r="D1245" t="inlineStr">
        <is>
          <t>VÄRMLANDS LÄN</t>
        </is>
      </c>
      <c r="E1245" t="inlineStr">
        <is>
          <t>EDA</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36648-2019</t>
        </is>
      </c>
      <c r="B1246" s="1" t="n">
        <v>43671</v>
      </c>
      <c r="C1246" s="1" t="n">
        <v>45736</v>
      </c>
      <c r="D1246" t="inlineStr">
        <is>
          <t>VÄRMLANDS LÄN</t>
        </is>
      </c>
      <c r="E1246" t="inlineStr">
        <is>
          <t>ARVIKA</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36579-2019</t>
        </is>
      </c>
      <c r="B1247" s="1" t="n">
        <v>43671</v>
      </c>
      <c r="C1247" s="1" t="n">
        <v>45736</v>
      </c>
      <c r="D1247" t="inlineStr">
        <is>
          <t>VÄRMLANDS LÄN</t>
        </is>
      </c>
      <c r="E1247" t="inlineStr">
        <is>
          <t>KARLSTAD</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36657-2019</t>
        </is>
      </c>
      <c r="B1248" s="1" t="n">
        <v>43671</v>
      </c>
      <c r="C1248" s="1" t="n">
        <v>45736</v>
      </c>
      <c r="D1248" t="inlineStr">
        <is>
          <t>VÄRMLANDS LÄN</t>
        </is>
      </c>
      <c r="E1248" t="inlineStr">
        <is>
          <t>EDA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36855-2019</t>
        </is>
      </c>
      <c r="B1249" s="1" t="n">
        <v>43672</v>
      </c>
      <c r="C1249" s="1" t="n">
        <v>45736</v>
      </c>
      <c r="D1249" t="inlineStr">
        <is>
          <t>VÄRMLANDS LÄN</t>
        </is>
      </c>
      <c r="E1249" t="inlineStr">
        <is>
          <t>SÄFFLE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36734-2019</t>
        </is>
      </c>
      <c r="B1250" s="1" t="n">
        <v>43672</v>
      </c>
      <c r="C1250" s="1" t="n">
        <v>45736</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36820-2019</t>
        </is>
      </c>
      <c r="B1251" s="1" t="n">
        <v>43673</v>
      </c>
      <c r="C1251" s="1" t="n">
        <v>45736</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36884-2019</t>
        </is>
      </c>
      <c r="B1252" s="1" t="n">
        <v>43675</v>
      </c>
      <c r="C1252" s="1" t="n">
        <v>45736</v>
      </c>
      <c r="D1252" t="inlineStr">
        <is>
          <t>VÄRMLANDS LÄN</t>
        </is>
      </c>
      <c r="E1252" t="inlineStr">
        <is>
          <t>ÅRJÄNG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36875-2019</t>
        </is>
      </c>
      <c r="B1253" s="1" t="n">
        <v>43675</v>
      </c>
      <c r="C1253" s="1" t="n">
        <v>45736</v>
      </c>
      <c r="D1253" t="inlineStr">
        <is>
          <t>VÄRMLANDS LÄN</t>
        </is>
      </c>
      <c r="E1253" t="inlineStr">
        <is>
          <t>SUNNE</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36966-2019</t>
        </is>
      </c>
      <c r="B1254" s="1" t="n">
        <v>43676</v>
      </c>
      <c r="C1254" s="1" t="n">
        <v>45736</v>
      </c>
      <c r="D1254" t="inlineStr">
        <is>
          <t>VÄRMLANDS LÄN</t>
        </is>
      </c>
      <c r="E1254" t="inlineStr">
        <is>
          <t>SÄFFLE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37005-2019</t>
        </is>
      </c>
      <c r="B1255" s="1" t="n">
        <v>43676</v>
      </c>
      <c r="C1255" s="1" t="n">
        <v>45736</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37000-2019</t>
        </is>
      </c>
      <c r="B1256" s="1" t="n">
        <v>43676</v>
      </c>
      <c r="C1256" s="1" t="n">
        <v>45736</v>
      </c>
      <c r="D1256" t="inlineStr">
        <is>
          <t>VÄRMLANDS LÄN</t>
        </is>
      </c>
      <c r="E1256" t="inlineStr">
        <is>
          <t>ARVIKA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37223-2019</t>
        </is>
      </c>
      <c r="B1257" s="1" t="n">
        <v>43676</v>
      </c>
      <c r="C1257" s="1" t="n">
        <v>45736</v>
      </c>
      <c r="D1257" t="inlineStr">
        <is>
          <t>VÄRMLANDS LÄN</t>
        </is>
      </c>
      <c r="E1257" t="inlineStr">
        <is>
          <t>SÄFFLE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37224-2019</t>
        </is>
      </c>
      <c r="B1258" s="1" t="n">
        <v>43676</v>
      </c>
      <c r="C1258" s="1" t="n">
        <v>45736</v>
      </c>
      <c r="D1258" t="inlineStr">
        <is>
          <t>VÄRMLANDS LÄN</t>
        </is>
      </c>
      <c r="E1258" t="inlineStr">
        <is>
          <t>GRUMS</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36999-2019</t>
        </is>
      </c>
      <c r="B1259" s="1" t="n">
        <v>43676</v>
      </c>
      <c r="C1259" s="1" t="n">
        <v>45736</v>
      </c>
      <c r="D1259" t="inlineStr">
        <is>
          <t>VÄRMLANDS LÄN</t>
        </is>
      </c>
      <c r="E1259" t="inlineStr">
        <is>
          <t>ARVIKA</t>
        </is>
      </c>
      <c r="G1259" t="n">
        <v>12.1</v>
      </c>
      <c r="H1259" t="n">
        <v>0</v>
      </c>
      <c r="I1259" t="n">
        <v>0</v>
      </c>
      <c r="J1259" t="n">
        <v>0</v>
      </c>
      <c r="K1259" t="n">
        <v>0</v>
      </c>
      <c r="L1259" t="n">
        <v>0</v>
      </c>
      <c r="M1259" t="n">
        <v>0</v>
      </c>
      <c r="N1259" t="n">
        <v>0</v>
      </c>
      <c r="O1259" t="n">
        <v>0</v>
      </c>
      <c r="P1259" t="n">
        <v>0</v>
      </c>
      <c r="Q1259" t="n">
        <v>0</v>
      </c>
      <c r="R1259" s="2" t="inlineStr"/>
    </row>
    <row r="1260" ht="15" customHeight="1">
      <c r="A1260" t="inlineStr">
        <is>
          <t>A 37165-2019</t>
        </is>
      </c>
      <c r="B1260" s="1" t="n">
        <v>43677</v>
      </c>
      <c r="C1260" s="1" t="n">
        <v>45736</v>
      </c>
      <c r="D1260" t="inlineStr">
        <is>
          <t>VÄRMLANDS LÄN</t>
        </is>
      </c>
      <c r="E1260" t="inlineStr">
        <is>
          <t>ARVIKA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37199-2019</t>
        </is>
      </c>
      <c r="B1261" s="1" t="n">
        <v>43677</v>
      </c>
      <c r="C1261" s="1" t="n">
        <v>45736</v>
      </c>
      <c r="D1261" t="inlineStr">
        <is>
          <t>VÄRMLANDS LÄN</t>
        </is>
      </c>
      <c r="E1261" t="inlineStr">
        <is>
          <t>ARVIKA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37216-2019</t>
        </is>
      </c>
      <c r="B1262" s="1" t="n">
        <v>43677</v>
      </c>
      <c r="C1262" s="1" t="n">
        <v>45736</v>
      </c>
      <c r="D1262" t="inlineStr">
        <is>
          <t>VÄRMLANDS LÄN</t>
        </is>
      </c>
      <c r="E1262" t="inlineStr">
        <is>
          <t>FILIPSTAD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37147-2019</t>
        </is>
      </c>
      <c r="B1263" s="1" t="n">
        <v>43677</v>
      </c>
      <c r="C1263" s="1" t="n">
        <v>45736</v>
      </c>
      <c r="D1263" t="inlineStr">
        <is>
          <t>VÄRMLANDS LÄN</t>
        </is>
      </c>
      <c r="E1263" t="inlineStr">
        <is>
          <t>ARVIKA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37370-2019</t>
        </is>
      </c>
      <c r="B1264" s="1" t="n">
        <v>43678</v>
      </c>
      <c r="C1264" s="1" t="n">
        <v>45736</v>
      </c>
      <c r="D1264" t="inlineStr">
        <is>
          <t>VÄRMLANDS LÄN</t>
        </is>
      </c>
      <c r="E1264" t="inlineStr">
        <is>
          <t>GRUMS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37526-2019</t>
        </is>
      </c>
      <c r="B1265" s="1" t="n">
        <v>43679</v>
      </c>
      <c r="C1265" s="1" t="n">
        <v>45736</v>
      </c>
      <c r="D1265" t="inlineStr">
        <is>
          <t>VÄRMLANDS LÄN</t>
        </is>
      </c>
      <c r="E1265" t="inlineStr">
        <is>
          <t>KRISTINEHAMN</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37833-2019</t>
        </is>
      </c>
      <c r="B1266" s="1" t="n">
        <v>43682</v>
      </c>
      <c r="C1266" s="1" t="n">
        <v>45736</v>
      </c>
      <c r="D1266" t="inlineStr">
        <is>
          <t>VÄRMLANDS LÄN</t>
        </is>
      </c>
      <c r="E1266" t="inlineStr">
        <is>
          <t>FILIPSTAD</t>
        </is>
      </c>
      <c r="F1266" t="inlineStr">
        <is>
          <t>Bergvik skog väst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37867-2019</t>
        </is>
      </c>
      <c r="B1267" s="1" t="n">
        <v>43682</v>
      </c>
      <c r="C1267" s="1" t="n">
        <v>45736</v>
      </c>
      <c r="D1267" t="inlineStr">
        <is>
          <t>VÄRMLANDS LÄN</t>
        </is>
      </c>
      <c r="E1267" t="inlineStr">
        <is>
          <t>FILIPSTAD</t>
        </is>
      </c>
      <c r="F1267" t="inlineStr">
        <is>
          <t>Bergvik skog väst AB</t>
        </is>
      </c>
      <c r="G1267" t="n">
        <v>12.2</v>
      </c>
      <c r="H1267" t="n">
        <v>0</v>
      </c>
      <c r="I1267" t="n">
        <v>0</v>
      </c>
      <c r="J1267" t="n">
        <v>0</v>
      </c>
      <c r="K1267" t="n">
        <v>0</v>
      </c>
      <c r="L1267" t="n">
        <v>0</v>
      </c>
      <c r="M1267" t="n">
        <v>0</v>
      </c>
      <c r="N1267" t="n">
        <v>0</v>
      </c>
      <c r="O1267" t="n">
        <v>0</v>
      </c>
      <c r="P1267" t="n">
        <v>0</v>
      </c>
      <c r="Q1267" t="n">
        <v>0</v>
      </c>
      <c r="R1267" s="2" t="inlineStr"/>
    </row>
    <row r="1268" ht="15" customHeight="1">
      <c r="A1268" t="inlineStr">
        <is>
          <t>A 37719-2019</t>
        </is>
      </c>
      <c r="B1268" s="1" t="n">
        <v>43682</v>
      </c>
      <c r="C1268" s="1" t="n">
        <v>45736</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37832-2019</t>
        </is>
      </c>
      <c r="B1269" s="1" t="n">
        <v>43682</v>
      </c>
      <c r="C1269" s="1" t="n">
        <v>45736</v>
      </c>
      <c r="D1269" t="inlineStr">
        <is>
          <t>VÄRMLANDS LÄN</t>
        </is>
      </c>
      <c r="E1269" t="inlineStr">
        <is>
          <t>MUNKFORS</t>
        </is>
      </c>
      <c r="F1269" t="inlineStr">
        <is>
          <t>Bergvik skog väst AB</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37720-2019</t>
        </is>
      </c>
      <c r="B1270" s="1" t="n">
        <v>43682</v>
      </c>
      <c r="C1270" s="1" t="n">
        <v>45736</v>
      </c>
      <c r="D1270" t="inlineStr">
        <is>
          <t>VÄRMLANDS LÄN</t>
        </is>
      </c>
      <c r="E1270" t="inlineStr">
        <is>
          <t>KRISTINEHAMN</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37856-2019</t>
        </is>
      </c>
      <c r="B1271" s="1" t="n">
        <v>43682</v>
      </c>
      <c r="C1271" s="1" t="n">
        <v>45736</v>
      </c>
      <c r="D1271" t="inlineStr">
        <is>
          <t>VÄRMLANDS LÄN</t>
        </is>
      </c>
      <c r="E1271" t="inlineStr">
        <is>
          <t>FILIPSTAD</t>
        </is>
      </c>
      <c r="F1271" t="inlineStr">
        <is>
          <t>Bergvik skog väst AB</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38002-2019</t>
        </is>
      </c>
      <c r="B1272" s="1" t="n">
        <v>43683</v>
      </c>
      <c r="C1272" s="1" t="n">
        <v>45736</v>
      </c>
      <c r="D1272" t="inlineStr">
        <is>
          <t>VÄRMLANDS LÄN</t>
        </is>
      </c>
      <c r="E1272" t="inlineStr">
        <is>
          <t>ARVIKA</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37992-2019</t>
        </is>
      </c>
      <c r="B1273" s="1" t="n">
        <v>43683</v>
      </c>
      <c r="C1273" s="1" t="n">
        <v>45736</v>
      </c>
      <c r="D1273" t="inlineStr">
        <is>
          <t>VÄRMLANDS LÄN</t>
        </is>
      </c>
      <c r="E1273" t="inlineStr">
        <is>
          <t>EDA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38068-2019</t>
        </is>
      </c>
      <c r="B1274" s="1" t="n">
        <v>43683</v>
      </c>
      <c r="C1274" s="1" t="n">
        <v>45736</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38280-2019</t>
        </is>
      </c>
      <c r="B1275" s="1" t="n">
        <v>43684</v>
      </c>
      <c r="C1275" s="1" t="n">
        <v>45736</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38272-2019</t>
        </is>
      </c>
      <c r="B1276" s="1" t="n">
        <v>43684</v>
      </c>
      <c r="C1276" s="1" t="n">
        <v>45736</v>
      </c>
      <c r="D1276" t="inlineStr">
        <is>
          <t>VÄRMLANDS LÄN</t>
        </is>
      </c>
      <c r="E1276" t="inlineStr">
        <is>
          <t>ÅRJÄNG</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38224-2019</t>
        </is>
      </c>
      <c r="B1277" s="1" t="n">
        <v>43684</v>
      </c>
      <c r="C1277" s="1" t="n">
        <v>45736</v>
      </c>
      <c r="D1277" t="inlineStr">
        <is>
          <t>VÄRMLANDS LÄN</t>
        </is>
      </c>
      <c r="E1277" t="inlineStr">
        <is>
          <t>SUNNE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38305-2019</t>
        </is>
      </c>
      <c r="B1278" s="1" t="n">
        <v>43684</v>
      </c>
      <c r="C1278" s="1" t="n">
        <v>45736</v>
      </c>
      <c r="D1278" t="inlineStr">
        <is>
          <t>VÄRMLANDS LÄN</t>
        </is>
      </c>
      <c r="E1278" t="inlineStr">
        <is>
          <t>SUNNE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38670-2019</t>
        </is>
      </c>
      <c r="B1279" s="1" t="n">
        <v>43684</v>
      </c>
      <c r="C1279" s="1" t="n">
        <v>45736</v>
      </c>
      <c r="D1279" t="inlineStr">
        <is>
          <t>VÄRMLANDS LÄN</t>
        </is>
      </c>
      <c r="E1279" t="inlineStr">
        <is>
          <t>SÄFFLE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38594-2019</t>
        </is>
      </c>
      <c r="B1280" s="1" t="n">
        <v>43684</v>
      </c>
      <c r="C1280" s="1" t="n">
        <v>45736</v>
      </c>
      <c r="D1280" t="inlineStr">
        <is>
          <t>VÄRMLANDS LÄN</t>
        </is>
      </c>
      <c r="E1280" t="inlineStr">
        <is>
          <t>KARLSTAD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40698-2019</t>
        </is>
      </c>
      <c r="B1281" s="1" t="n">
        <v>43684</v>
      </c>
      <c r="C1281" s="1" t="n">
        <v>45736</v>
      </c>
      <c r="D1281" t="inlineStr">
        <is>
          <t>VÄRMLANDS LÄN</t>
        </is>
      </c>
      <c r="E1281" t="inlineStr">
        <is>
          <t>KARLSTAD</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38301-2019</t>
        </is>
      </c>
      <c r="B1282" s="1" t="n">
        <v>43684</v>
      </c>
      <c r="C1282" s="1" t="n">
        <v>45736</v>
      </c>
      <c r="D1282" t="inlineStr">
        <is>
          <t>VÄRMLANDS LÄN</t>
        </is>
      </c>
      <c r="E1282" t="inlineStr">
        <is>
          <t>SUNNE</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38265-2019</t>
        </is>
      </c>
      <c r="B1283" s="1" t="n">
        <v>43684</v>
      </c>
      <c r="C1283" s="1" t="n">
        <v>45736</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38668-2019</t>
        </is>
      </c>
      <c r="B1284" s="1" t="n">
        <v>43684</v>
      </c>
      <c r="C1284" s="1" t="n">
        <v>45736</v>
      </c>
      <c r="D1284" t="inlineStr">
        <is>
          <t>VÄRMLANDS LÄN</t>
        </is>
      </c>
      <c r="E1284" t="inlineStr">
        <is>
          <t>ÅRJÄNG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38410-2019</t>
        </is>
      </c>
      <c r="B1285" s="1" t="n">
        <v>43685</v>
      </c>
      <c r="C1285" s="1" t="n">
        <v>45736</v>
      </c>
      <c r="D1285" t="inlineStr">
        <is>
          <t>VÄRMLANDS LÄN</t>
        </is>
      </c>
      <c r="E1285" t="inlineStr">
        <is>
          <t>ARVIKA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38427-2019</t>
        </is>
      </c>
      <c r="B1286" s="1" t="n">
        <v>43685</v>
      </c>
      <c r="C1286" s="1" t="n">
        <v>45736</v>
      </c>
      <c r="D1286" t="inlineStr">
        <is>
          <t>VÄRMLANDS LÄN</t>
        </is>
      </c>
      <c r="E1286" t="inlineStr">
        <is>
          <t>KRISTINEHAMN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38403-2019</t>
        </is>
      </c>
      <c r="B1287" s="1" t="n">
        <v>43685</v>
      </c>
      <c r="C1287" s="1" t="n">
        <v>45736</v>
      </c>
      <c r="D1287" t="inlineStr">
        <is>
          <t>VÄRMLANDS LÄN</t>
        </is>
      </c>
      <c r="E1287" t="inlineStr">
        <is>
          <t>STORFORS</t>
        </is>
      </c>
      <c r="F1287" t="inlineStr">
        <is>
          <t>Bergvik skog väst AB</t>
        </is>
      </c>
      <c r="G1287" t="n">
        <v>42.3</v>
      </c>
      <c r="H1287" t="n">
        <v>0</v>
      </c>
      <c r="I1287" t="n">
        <v>0</v>
      </c>
      <c r="J1287" t="n">
        <v>0</v>
      </c>
      <c r="K1287" t="n">
        <v>0</v>
      </c>
      <c r="L1287" t="n">
        <v>0</v>
      </c>
      <c r="M1287" t="n">
        <v>0</v>
      </c>
      <c r="N1287" t="n">
        <v>0</v>
      </c>
      <c r="O1287" t="n">
        <v>0</v>
      </c>
      <c r="P1287" t="n">
        <v>0</v>
      </c>
      <c r="Q1287" t="n">
        <v>0</v>
      </c>
      <c r="R1287" s="2" t="inlineStr"/>
    </row>
    <row r="1288" ht="15" customHeight="1">
      <c r="A1288" t="inlineStr">
        <is>
          <t>A 38393-2019</t>
        </is>
      </c>
      <c r="B1288" s="1" t="n">
        <v>43685</v>
      </c>
      <c r="C1288" s="1" t="n">
        <v>45736</v>
      </c>
      <c r="D1288" t="inlineStr">
        <is>
          <t>VÄRMLANDS LÄN</t>
        </is>
      </c>
      <c r="E1288" t="inlineStr">
        <is>
          <t>EDA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38423-2019</t>
        </is>
      </c>
      <c r="B1289" s="1" t="n">
        <v>43685</v>
      </c>
      <c r="C1289" s="1" t="n">
        <v>45736</v>
      </c>
      <c r="D1289" t="inlineStr">
        <is>
          <t>VÄRMLANDS LÄN</t>
        </is>
      </c>
      <c r="E1289" t="inlineStr">
        <is>
          <t>EDA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38445-2019</t>
        </is>
      </c>
      <c r="B1290" s="1" t="n">
        <v>43685</v>
      </c>
      <c r="C1290" s="1" t="n">
        <v>45736</v>
      </c>
      <c r="D1290" t="inlineStr">
        <is>
          <t>VÄRMLANDS LÄN</t>
        </is>
      </c>
      <c r="E1290" t="inlineStr">
        <is>
          <t>EDA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38490-2019</t>
        </is>
      </c>
      <c r="B1291" s="1" t="n">
        <v>43685</v>
      </c>
      <c r="C1291" s="1" t="n">
        <v>45736</v>
      </c>
      <c r="D1291" t="inlineStr">
        <is>
          <t>VÄRMLANDS LÄN</t>
        </is>
      </c>
      <c r="E1291" t="inlineStr">
        <is>
          <t>EDA</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38644-2019</t>
        </is>
      </c>
      <c r="B1292" s="1" t="n">
        <v>43686</v>
      </c>
      <c r="C1292" s="1" t="n">
        <v>45736</v>
      </c>
      <c r="D1292" t="inlineStr">
        <is>
          <t>VÄRMLANDS LÄN</t>
        </is>
      </c>
      <c r="E1292" t="inlineStr">
        <is>
          <t>SUNNE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38794-2019</t>
        </is>
      </c>
      <c r="B1293" s="1" t="n">
        <v>43688</v>
      </c>
      <c r="C1293" s="1" t="n">
        <v>45736</v>
      </c>
      <c r="D1293" t="inlineStr">
        <is>
          <t>VÄRMLANDS LÄN</t>
        </is>
      </c>
      <c r="E1293" t="inlineStr">
        <is>
          <t>EDA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38793-2019</t>
        </is>
      </c>
      <c r="B1294" s="1" t="n">
        <v>43688</v>
      </c>
      <c r="C1294" s="1" t="n">
        <v>45736</v>
      </c>
      <c r="D1294" t="inlineStr">
        <is>
          <t>VÄRMLANDS LÄN</t>
        </is>
      </c>
      <c r="E1294" t="inlineStr">
        <is>
          <t>EDA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38886-2019</t>
        </is>
      </c>
      <c r="B1295" s="1" t="n">
        <v>43689</v>
      </c>
      <c r="C1295" s="1" t="n">
        <v>45736</v>
      </c>
      <c r="D1295" t="inlineStr">
        <is>
          <t>VÄRMLANDS LÄN</t>
        </is>
      </c>
      <c r="E1295" t="inlineStr">
        <is>
          <t>KRISTINEHAMN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38878-2019</t>
        </is>
      </c>
      <c r="B1296" s="1" t="n">
        <v>43689</v>
      </c>
      <c r="C1296" s="1" t="n">
        <v>45736</v>
      </c>
      <c r="D1296" t="inlineStr">
        <is>
          <t>VÄRMLANDS LÄN</t>
        </is>
      </c>
      <c r="E1296" t="inlineStr">
        <is>
          <t>KRISTINEHAMN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41401-2019</t>
        </is>
      </c>
      <c r="B1297" s="1" t="n">
        <v>43689</v>
      </c>
      <c r="C1297" s="1" t="n">
        <v>45736</v>
      </c>
      <c r="D1297" t="inlineStr">
        <is>
          <t>VÄRMLANDS LÄN</t>
        </is>
      </c>
      <c r="E1297" t="inlineStr">
        <is>
          <t>HAGFORS</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39213-2019</t>
        </is>
      </c>
      <c r="B1298" s="1" t="n">
        <v>43690</v>
      </c>
      <c r="C1298" s="1" t="n">
        <v>45736</v>
      </c>
      <c r="D1298" t="inlineStr">
        <is>
          <t>VÄRMLANDS LÄN</t>
        </is>
      </c>
      <c r="E1298" t="inlineStr">
        <is>
          <t>TORSBY</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39383-2019</t>
        </is>
      </c>
      <c r="B1299" s="1" t="n">
        <v>43690</v>
      </c>
      <c r="C1299" s="1" t="n">
        <v>45736</v>
      </c>
      <c r="D1299" t="inlineStr">
        <is>
          <t>VÄRMLANDS LÄN</t>
        </is>
      </c>
      <c r="E1299" t="inlineStr">
        <is>
          <t>EDA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39381-2019</t>
        </is>
      </c>
      <c r="B1300" s="1" t="n">
        <v>43690</v>
      </c>
      <c r="C1300" s="1" t="n">
        <v>45736</v>
      </c>
      <c r="D1300" t="inlineStr">
        <is>
          <t>VÄRMLANDS LÄN</t>
        </is>
      </c>
      <c r="E1300" t="inlineStr">
        <is>
          <t>EDA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39384-2019</t>
        </is>
      </c>
      <c r="B1301" s="1" t="n">
        <v>43690</v>
      </c>
      <c r="C1301" s="1" t="n">
        <v>45736</v>
      </c>
      <c r="D1301" t="inlineStr">
        <is>
          <t>VÄRMLANDS LÄN</t>
        </is>
      </c>
      <c r="E1301" t="inlineStr">
        <is>
          <t>EDA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39948-2019</t>
        </is>
      </c>
      <c r="B1302" s="1" t="n">
        <v>43690</v>
      </c>
      <c r="C1302" s="1" t="n">
        <v>45736</v>
      </c>
      <c r="D1302" t="inlineStr">
        <is>
          <t>VÄRMLANDS LÄN</t>
        </is>
      </c>
      <c r="E1302" t="inlineStr">
        <is>
          <t>KRISTINEHAMN</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39297-2019</t>
        </is>
      </c>
      <c r="B1303" s="1" t="n">
        <v>43690</v>
      </c>
      <c r="C1303" s="1" t="n">
        <v>45736</v>
      </c>
      <c r="D1303" t="inlineStr">
        <is>
          <t>VÄRMLANDS LÄN</t>
        </is>
      </c>
      <c r="E1303" t="inlineStr">
        <is>
          <t>SUNNE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39379-2019</t>
        </is>
      </c>
      <c r="B1304" s="1" t="n">
        <v>43690</v>
      </c>
      <c r="C1304" s="1" t="n">
        <v>45736</v>
      </c>
      <c r="D1304" t="inlineStr">
        <is>
          <t>VÄRMLANDS LÄN</t>
        </is>
      </c>
      <c r="E1304" t="inlineStr">
        <is>
          <t>EDA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39428-2019</t>
        </is>
      </c>
      <c r="B1305" s="1" t="n">
        <v>43691</v>
      </c>
      <c r="C1305" s="1" t="n">
        <v>45736</v>
      </c>
      <c r="D1305" t="inlineStr">
        <is>
          <t>VÄRMLANDS LÄN</t>
        </is>
      </c>
      <c r="E1305" t="inlineStr">
        <is>
          <t>SUNNE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39607-2019</t>
        </is>
      </c>
      <c r="B1306" s="1" t="n">
        <v>43691</v>
      </c>
      <c r="C1306" s="1" t="n">
        <v>45736</v>
      </c>
      <c r="D1306" t="inlineStr">
        <is>
          <t>VÄRMLANDS LÄN</t>
        </is>
      </c>
      <c r="E1306" t="inlineStr">
        <is>
          <t>EDA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41105-2019</t>
        </is>
      </c>
      <c r="B1307" s="1" t="n">
        <v>43691</v>
      </c>
      <c r="C1307" s="1" t="n">
        <v>45736</v>
      </c>
      <c r="D1307" t="inlineStr">
        <is>
          <t>VÄRMLANDS LÄN</t>
        </is>
      </c>
      <c r="E1307" t="inlineStr">
        <is>
          <t>KIL</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41110-2019</t>
        </is>
      </c>
      <c r="B1308" s="1" t="n">
        <v>43691</v>
      </c>
      <c r="C1308" s="1" t="n">
        <v>45736</v>
      </c>
      <c r="D1308" t="inlineStr">
        <is>
          <t>VÄRMLANDS LÄN</t>
        </is>
      </c>
      <c r="E1308" t="inlineStr">
        <is>
          <t>EDA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41133-2019</t>
        </is>
      </c>
      <c r="B1309" s="1" t="n">
        <v>43691</v>
      </c>
      <c r="C1309" s="1" t="n">
        <v>45736</v>
      </c>
      <c r="D1309" t="inlineStr">
        <is>
          <t>VÄRMLANDS LÄN</t>
        </is>
      </c>
      <c r="E1309" t="inlineStr">
        <is>
          <t>KRISTINEHAMN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39740-2019</t>
        </is>
      </c>
      <c r="B1310" s="1" t="n">
        <v>43691</v>
      </c>
      <c r="C1310" s="1" t="n">
        <v>45736</v>
      </c>
      <c r="D1310" t="inlineStr">
        <is>
          <t>VÄRMLANDS LÄN</t>
        </is>
      </c>
      <c r="E1310" t="inlineStr">
        <is>
          <t>ARVIKA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39959-2019</t>
        </is>
      </c>
      <c r="B1311" s="1" t="n">
        <v>43692</v>
      </c>
      <c r="C1311" s="1" t="n">
        <v>45736</v>
      </c>
      <c r="D1311" t="inlineStr">
        <is>
          <t>VÄRMLANDS LÄN</t>
        </is>
      </c>
      <c r="E1311" t="inlineStr">
        <is>
          <t>KIL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39949-2019</t>
        </is>
      </c>
      <c r="B1312" s="1" t="n">
        <v>43692</v>
      </c>
      <c r="C1312" s="1" t="n">
        <v>45736</v>
      </c>
      <c r="D1312" t="inlineStr">
        <is>
          <t>VÄRMLANDS LÄN</t>
        </is>
      </c>
      <c r="E1312" t="inlineStr">
        <is>
          <t>EDA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40018-2019</t>
        </is>
      </c>
      <c r="B1313" s="1" t="n">
        <v>43692</v>
      </c>
      <c r="C1313" s="1" t="n">
        <v>45736</v>
      </c>
      <c r="D1313" t="inlineStr">
        <is>
          <t>VÄRMLANDS LÄN</t>
        </is>
      </c>
      <c r="E1313" t="inlineStr">
        <is>
          <t>FORSHAGA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40039-2019</t>
        </is>
      </c>
      <c r="B1314" s="1" t="n">
        <v>43692</v>
      </c>
      <c r="C1314" s="1" t="n">
        <v>45736</v>
      </c>
      <c r="D1314" t="inlineStr">
        <is>
          <t>VÄRMLANDS LÄN</t>
        </is>
      </c>
      <c r="E1314" t="inlineStr">
        <is>
          <t>FORSHAGA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40159-2019</t>
        </is>
      </c>
      <c r="B1315" s="1" t="n">
        <v>43693</v>
      </c>
      <c r="C1315" s="1" t="n">
        <v>45736</v>
      </c>
      <c r="D1315" t="inlineStr">
        <is>
          <t>VÄRMLANDS LÄN</t>
        </is>
      </c>
      <c r="E1315" t="inlineStr">
        <is>
          <t>ARVIKA</t>
        </is>
      </c>
      <c r="F1315" t="inlineStr">
        <is>
          <t>Kyrkan</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40166-2019</t>
        </is>
      </c>
      <c r="B1316" s="1" t="n">
        <v>43693</v>
      </c>
      <c r="C1316" s="1" t="n">
        <v>45736</v>
      </c>
      <c r="D1316" t="inlineStr">
        <is>
          <t>VÄRMLANDS LÄN</t>
        </is>
      </c>
      <c r="E1316" t="inlineStr">
        <is>
          <t>HAGFORS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40237-2019</t>
        </is>
      </c>
      <c r="B1317" s="1" t="n">
        <v>43694</v>
      </c>
      <c r="C1317" s="1" t="n">
        <v>45736</v>
      </c>
      <c r="D1317" t="inlineStr">
        <is>
          <t>VÄRMLANDS LÄN</t>
        </is>
      </c>
      <c r="E1317" t="inlineStr">
        <is>
          <t>FORSHAGA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40238-2019</t>
        </is>
      </c>
      <c r="B1318" s="1" t="n">
        <v>43694</v>
      </c>
      <c r="C1318" s="1" t="n">
        <v>45736</v>
      </c>
      <c r="D1318" t="inlineStr">
        <is>
          <t>VÄRMLANDS LÄN</t>
        </is>
      </c>
      <c r="E1318" t="inlineStr">
        <is>
          <t>FORSHAGA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40401-2019</t>
        </is>
      </c>
      <c r="B1319" s="1" t="n">
        <v>43696</v>
      </c>
      <c r="C1319" s="1" t="n">
        <v>45736</v>
      </c>
      <c r="D1319" t="inlineStr">
        <is>
          <t>VÄRMLANDS LÄN</t>
        </is>
      </c>
      <c r="E1319" t="inlineStr">
        <is>
          <t>SUNNE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41201-2019</t>
        </is>
      </c>
      <c r="B1320" s="1" t="n">
        <v>43696</v>
      </c>
      <c r="C1320" s="1" t="n">
        <v>45736</v>
      </c>
      <c r="D1320" t="inlineStr">
        <is>
          <t>VÄRMLANDS LÄN</t>
        </is>
      </c>
      <c r="E1320" t="inlineStr">
        <is>
          <t>SUNNE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41484-2019</t>
        </is>
      </c>
      <c r="B1321" s="1" t="n">
        <v>43696</v>
      </c>
      <c r="C1321" s="1" t="n">
        <v>45736</v>
      </c>
      <c r="D1321" t="inlineStr">
        <is>
          <t>VÄRMLANDS LÄN</t>
        </is>
      </c>
      <c r="E1321" t="inlineStr">
        <is>
          <t>KARLSTAD</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41383-2019</t>
        </is>
      </c>
      <c r="B1322" s="1" t="n">
        <v>43696</v>
      </c>
      <c r="C1322" s="1" t="n">
        <v>45736</v>
      </c>
      <c r="D1322" t="inlineStr">
        <is>
          <t>VÄRMLANDS LÄN</t>
        </is>
      </c>
      <c r="E1322" t="inlineStr">
        <is>
          <t>KARLSTAD</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40771-2019</t>
        </is>
      </c>
      <c r="B1323" s="1" t="n">
        <v>43696</v>
      </c>
      <c r="C1323" s="1" t="n">
        <v>45736</v>
      </c>
      <c r="D1323" t="inlineStr">
        <is>
          <t>VÄRMLANDS LÄN</t>
        </is>
      </c>
      <c r="E1323" t="inlineStr">
        <is>
          <t>KRISTINEHAMN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40397-2019</t>
        </is>
      </c>
      <c r="B1324" s="1" t="n">
        <v>43696</v>
      </c>
      <c r="C1324" s="1" t="n">
        <v>45736</v>
      </c>
      <c r="D1324" t="inlineStr">
        <is>
          <t>VÄRMLANDS LÄN</t>
        </is>
      </c>
      <c r="E1324" t="inlineStr">
        <is>
          <t>ARVIKA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41694-2019</t>
        </is>
      </c>
      <c r="B1325" s="1" t="n">
        <v>43696</v>
      </c>
      <c r="C1325" s="1" t="n">
        <v>45736</v>
      </c>
      <c r="D1325" t="inlineStr">
        <is>
          <t>VÄRMLANDS LÄN</t>
        </is>
      </c>
      <c r="E1325" t="inlineStr">
        <is>
          <t>FORSHAGA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40632-2019</t>
        </is>
      </c>
      <c r="B1326" s="1" t="n">
        <v>43696</v>
      </c>
      <c r="C1326" s="1" t="n">
        <v>45736</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40589-2019</t>
        </is>
      </c>
      <c r="B1327" s="1" t="n">
        <v>43696</v>
      </c>
      <c r="C1327" s="1" t="n">
        <v>45736</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41334-2019</t>
        </is>
      </c>
      <c r="B1328" s="1" t="n">
        <v>43696</v>
      </c>
      <c r="C1328" s="1" t="n">
        <v>45736</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40810-2019</t>
        </is>
      </c>
      <c r="B1329" s="1" t="n">
        <v>43697</v>
      </c>
      <c r="C1329" s="1" t="n">
        <v>45736</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40719-2019</t>
        </is>
      </c>
      <c r="B1330" s="1" t="n">
        <v>43697</v>
      </c>
      <c r="C1330" s="1" t="n">
        <v>45736</v>
      </c>
      <c r="D1330" t="inlineStr">
        <is>
          <t>VÄRMLANDS LÄN</t>
        </is>
      </c>
      <c r="E1330" t="inlineStr">
        <is>
          <t>KIL</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40988-2019</t>
        </is>
      </c>
      <c r="B1331" s="1" t="n">
        <v>43697</v>
      </c>
      <c r="C1331" s="1" t="n">
        <v>45736</v>
      </c>
      <c r="D1331" t="inlineStr">
        <is>
          <t>VÄRMLANDS LÄN</t>
        </is>
      </c>
      <c r="E1331" t="inlineStr">
        <is>
          <t>SUNNE</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40936-2019</t>
        </is>
      </c>
      <c r="B1332" s="1" t="n">
        <v>43697</v>
      </c>
      <c r="C1332" s="1" t="n">
        <v>45736</v>
      </c>
      <c r="D1332" t="inlineStr">
        <is>
          <t>VÄRMLANDS LÄN</t>
        </is>
      </c>
      <c r="E1332" t="inlineStr">
        <is>
          <t>SUNNE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40991-2019</t>
        </is>
      </c>
      <c r="B1333" s="1" t="n">
        <v>43697</v>
      </c>
      <c r="C1333" s="1" t="n">
        <v>45736</v>
      </c>
      <c r="D1333" t="inlineStr">
        <is>
          <t>VÄRMLANDS LÄN</t>
        </is>
      </c>
      <c r="E1333" t="inlineStr">
        <is>
          <t>SUNNE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41616-2019</t>
        </is>
      </c>
      <c r="B1334" s="1" t="n">
        <v>43697</v>
      </c>
      <c r="C1334" s="1" t="n">
        <v>45736</v>
      </c>
      <c r="D1334" t="inlineStr">
        <is>
          <t>VÄRMLANDS LÄN</t>
        </is>
      </c>
      <c r="E1334" t="inlineStr">
        <is>
          <t>ÅRJÄNG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41829-2019</t>
        </is>
      </c>
      <c r="B1335" s="1" t="n">
        <v>43697</v>
      </c>
      <c r="C1335" s="1" t="n">
        <v>45736</v>
      </c>
      <c r="D1335" t="inlineStr">
        <is>
          <t>VÄRMLANDS LÄN</t>
        </is>
      </c>
      <c r="E1335" t="inlineStr">
        <is>
          <t>SUNNE</t>
        </is>
      </c>
      <c r="F1335" t="inlineStr">
        <is>
          <t>Kyrkan</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41698-2019</t>
        </is>
      </c>
      <c r="B1336" s="1" t="n">
        <v>43697</v>
      </c>
      <c r="C1336" s="1" t="n">
        <v>45736</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41855-2019</t>
        </is>
      </c>
      <c r="B1337" s="1" t="n">
        <v>43697</v>
      </c>
      <c r="C1337" s="1" t="n">
        <v>45736</v>
      </c>
      <c r="D1337" t="inlineStr">
        <is>
          <t>VÄRMLANDS LÄN</t>
        </is>
      </c>
      <c r="E1337" t="inlineStr">
        <is>
          <t>SUNNE</t>
        </is>
      </c>
      <c r="F1337" t="inlineStr">
        <is>
          <t>Kyrkan</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42441-2019</t>
        </is>
      </c>
      <c r="B1338" s="1" t="n">
        <v>43697</v>
      </c>
      <c r="C1338" s="1" t="n">
        <v>45736</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41632-2019</t>
        </is>
      </c>
      <c r="B1339" s="1" t="n">
        <v>43697</v>
      </c>
      <c r="C1339" s="1" t="n">
        <v>45736</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41834-2019</t>
        </is>
      </c>
      <c r="B1340" s="1" t="n">
        <v>43697</v>
      </c>
      <c r="C1340" s="1" t="n">
        <v>45736</v>
      </c>
      <c r="D1340" t="inlineStr">
        <is>
          <t>VÄRMLANDS LÄN</t>
        </is>
      </c>
      <c r="E1340" t="inlineStr">
        <is>
          <t>HAGFORS</t>
        </is>
      </c>
      <c r="F1340" t="inlineStr">
        <is>
          <t>Kyrkan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41193-2019</t>
        </is>
      </c>
      <c r="B1341" s="1" t="n">
        <v>43698</v>
      </c>
      <c r="C1341" s="1" t="n">
        <v>45736</v>
      </c>
      <c r="D1341" t="inlineStr">
        <is>
          <t>VÄRMLANDS LÄN</t>
        </is>
      </c>
      <c r="E1341" t="inlineStr">
        <is>
          <t>SUNNE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41436-2019</t>
        </is>
      </c>
      <c r="B1342" s="1" t="n">
        <v>43698</v>
      </c>
      <c r="C1342" s="1" t="n">
        <v>45736</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41435-2019</t>
        </is>
      </c>
      <c r="B1343" s="1" t="n">
        <v>43698</v>
      </c>
      <c r="C1343" s="1" t="n">
        <v>45736</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42468-2019</t>
        </is>
      </c>
      <c r="B1344" s="1" t="n">
        <v>43698</v>
      </c>
      <c r="C1344" s="1" t="n">
        <v>45736</v>
      </c>
      <c r="D1344" t="inlineStr">
        <is>
          <t>VÄRMLANDS LÄN</t>
        </is>
      </c>
      <c r="E1344" t="inlineStr">
        <is>
          <t>FORSHAGA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41438-2019</t>
        </is>
      </c>
      <c r="B1345" s="1" t="n">
        <v>43698</v>
      </c>
      <c r="C1345" s="1" t="n">
        <v>45736</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42463-2019</t>
        </is>
      </c>
      <c r="B1346" s="1" t="n">
        <v>43698</v>
      </c>
      <c r="C1346" s="1" t="n">
        <v>45736</v>
      </c>
      <c r="D1346" t="inlineStr">
        <is>
          <t>VÄRMLANDS LÄN</t>
        </is>
      </c>
      <c r="E1346" t="inlineStr">
        <is>
          <t>FORSHAGA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42238-2019</t>
        </is>
      </c>
      <c r="B1347" s="1" t="n">
        <v>43698</v>
      </c>
      <c r="C1347" s="1" t="n">
        <v>45736</v>
      </c>
      <c r="D1347" t="inlineStr">
        <is>
          <t>VÄRMLANDS LÄN</t>
        </is>
      </c>
      <c r="E1347" t="inlineStr">
        <is>
          <t>GRUMS</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41134-2019</t>
        </is>
      </c>
      <c r="B1348" s="1" t="n">
        <v>43698</v>
      </c>
      <c r="C1348" s="1" t="n">
        <v>45736</v>
      </c>
      <c r="D1348" t="inlineStr">
        <is>
          <t>VÄRMLANDS LÄN</t>
        </is>
      </c>
      <c r="E1348" t="inlineStr">
        <is>
          <t>SUNNE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42472-2019</t>
        </is>
      </c>
      <c r="B1349" s="1" t="n">
        <v>43698</v>
      </c>
      <c r="C1349" s="1" t="n">
        <v>45736</v>
      </c>
      <c r="D1349" t="inlineStr">
        <is>
          <t>VÄRMLANDS LÄN</t>
        </is>
      </c>
      <c r="E1349" t="inlineStr">
        <is>
          <t>FORSHAGA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41275-2019</t>
        </is>
      </c>
      <c r="B1350" s="1" t="n">
        <v>43698</v>
      </c>
      <c r="C1350" s="1" t="n">
        <v>45736</v>
      </c>
      <c r="D1350" t="inlineStr">
        <is>
          <t>VÄRMLANDS LÄN</t>
        </is>
      </c>
      <c r="E1350" t="inlineStr">
        <is>
          <t>ÅRJÄNG</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41192-2019</t>
        </is>
      </c>
      <c r="B1351" s="1" t="n">
        <v>43698</v>
      </c>
      <c r="C1351" s="1" t="n">
        <v>45736</v>
      </c>
      <c r="D1351" t="inlineStr">
        <is>
          <t>VÄRMLANDS LÄN</t>
        </is>
      </c>
      <c r="E1351" t="inlineStr">
        <is>
          <t>ÅRJÄNG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41621-2019</t>
        </is>
      </c>
      <c r="B1352" s="1" t="n">
        <v>43699</v>
      </c>
      <c r="C1352" s="1" t="n">
        <v>45736</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41530-2019</t>
        </is>
      </c>
      <c r="B1353" s="1" t="n">
        <v>43699</v>
      </c>
      <c r="C1353" s="1" t="n">
        <v>45736</v>
      </c>
      <c r="D1353" t="inlineStr">
        <is>
          <t>VÄRMLANDS LÄN</t>
        </is>
      </c>
      <c r="E1353" t="inlineStr">
        <is>
          <t>KIL</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41681-2019</t>
        </is>
      </c>
      <c r="B1354" s="1" t="n">
        <v>43699</v>
      </c>
      <c r="C1354" s="1" t="n">
        <v>45736</v>
      </c>
      <c r="D1354" t="inlineStr">
        <is>
          <t>VÄRMLANDS LÄN</t>
        </is>
      </c>
      <c r="E1354" t="inlineStr">
        <is>
          <t>SUNNE</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42451-2019</t>
        </is>
      </c>
      <c r="B1355" s="1" t="n">
        <v>43699</v>
      </c>
      <c r="C1355" s="1" t="n">
        <v>45736</v>
      </c>
      <c r="D1355" t="inlineStr">
        <is>
          <t>VÄRMLANDS LÄN</t>
        </is>
      </c>
      <c r="E1355" t="inlineStr">
        <is>
          <t>SUNNE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42851-2019</t>
        </is>
      </c>
      <c r="B1356" s="1" t="n">
        <v>43699</v>
      </c>
      <c r="C1356" s="1" t="n">
        <v>45736</v>
      </c>
      <c r="D1356" t="inlineStr">
        <is>
          <t>VÄRMLANDS LÄN</t>
        </is>
      </c>
      <c r="E1356" t="inlineStr">
        <is>
          <t>ÅRJÄNG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41531-2019</t>
        </is>
      </c>
      <c r="B1357" s="1" t="n">
        <v>43699</v>
      </c>
      <c r="C1357" s="1" t="n">
        <v>45736</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42443-2019</t>
        </is>
      </c>
      <c r="B1358" s="1" t="n">
        <v>43699</v>
      </c>
      <c r="C1358" s="1" t="n">
        <v>45736</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42837-2019</t>
        </is>
      </c>
      <c r="B1359" s="1" t="n">
        <v>43699</v>
      </c>
      <c r="C1359" s="1" t="n">
        <v>45736</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41825-2019</t>
        </is>
      </c>
      <c r="B1360" s="1" t="n">
        <v>43700</v>
      </c>
      <c r="C1360" s="1" t="n">
        <v>45736</v>
      </c>
      <c r="D1360" t="inlineStr">
        <is>
          <t>VÄRMLANDS LÄN</t>
        </is>
      </c>
      <c r="E1360" t="inlineStr">
        <is>
          <t>SÄFFLE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41989-2019</t>
        </is>
      </c>
      <c r="B1361" s="1" t="n">
        <v>43700</v>
      </c>
      <c r="C1361" s="1" t="n">
        <v>45736</v>
      </c>
      <c r="D1361" t="inlineStr">
        <is>
          <t>VÄRMLANDS LÄN</t>
        </is>
      </c>
      <c r="E1361" t="inlineStr">
        <is>
          <t>ÅRJÄNG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41815-2019</t>
        </is>
      </c>
      <c r="B1362" s="1" t="n">
        <v>43700</v>
      </c>
      <c r="C1362" s="1" t="n">
        <v>45736</v>
      </c>
      <c r="D1362" t="inlineStr">
        <is>
          <t>VÄRMLANDS LÄN</t>
        </is>
      </c>
      <c r="E1362" t="inlineStr">
        <is>
          <t>SUNNE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41821-2019</t>
        </is>
      </c>
      <c r="B1363" s="1" t="n">
        <v>43700</v>
      </c>
      <c r="C1363" s="1" t="n">
        <v>45736</v>
      </c>
      <c r="D1363" t="inlineStr">
        <is>
          <t>VÄRMLANDS LÄN</t>
        </is>
      </c>
      <c r="E1363" t="inlineStr">
        <is>
          <t>FILIPSTAD</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41854-2019</t>
        </is>
      </c>
      <c r="B1364" s="1" t="n">
        <v>43700</v>
      </c>
      <c r="C1364" s="1" t="n">
        <v>45736</v>
      </c>
      <c r="D1364" t="inlineStr">
        <is>
          <t>VÄRMLANDS LÄN</t>
        </is>
      </c>
      <c r="E1364" t="inlineStr">
        <is>
          <t>KIL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41996-2019</t>
        </is>
      </c>
      <c r="B1365" s="1" t="n">
        <v>43700</v>
      </c>
      <c r="C1365" s="1" t="n">
        <v>45736</v>
      </c>
      <c r="D1365" t="inlineStr">
        <is>
          <t>VÄRMLANDS LÄN</t>
        </is>
      </c>
      <c r="E1365" t="inlineStr">
        <is>
          <t>ÅRJÄNG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42033-2019</t>
        </is>
      </c>
      <c r="B1366" s="1" t="n">
        <v>43700</v>
      </c>
      <c r="C1366" s="1" t="n">
        <v>45736</v>
      </c>
      <c r="D1366" t="inlineStr">
        <is>
          <t>VÄRMLANDS LÄN</t>
        </is>
      </c>
      <c r="E1366" t="inlineStr">
        <is>
          <t>FILIPSTAD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42988-2019</t>
        </is>
      </c>
      <c r="B1367" s="1" t="n">
        <v>43700</v>
      </c>
      <c r="C1367" s="1" t="n">
        <v>45736</v>
      </c>
      <c r="D1367" t="inlineStr">
        <is>
          <t>VÄRMLANDS LÄN</t>
        </is>
      </c>
      <c r="E1367" t="inlineStr">
        <is>
          <t>KIL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43015-2019</t>
        </is>
      </c>
      <c r="B1368" s="1" t="n">
        <v>43700</v>
      </c>
      <c r="C1368" s="1" t="n">
        <v>45736</v>
      </c>
      <c r="D1368" t="inlineStr">
        <is>
          <t>VÄRMLANDS LÄN</t>
        </is>
      </c>
      <c r="E1368" t="inlineStr">
        <is>
          <t>KIL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42853-2019</t>
        </is>
      </c>
      <c r="B1369" s="1" t="n">
        <v>43700</v>
      </c>
      <c r="C1369" s="1" t="n">
        <v>45736</v>
      </c>
      <c r="D1369" t="inlineStr">
        <is>
          <t>VÄRMLANDS LÄN</t>
        </is>
      </c>
      <c r="E1369" t="inlineStr">
        <is>
          <t>ÅRJÄNG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42984-2019</t>
        </is>
      </c>
      <c r="B1370" s="1" t="n">
        <v>43700</v>
      </c>
      <c r="C1370" s="1" t="n">
        <v>45736</v>
      </c>
      <c r="D1370" t="inlineStr">
        <is>
          <t>VÄRMLANDS LÄN</t>
        </is>
      </c>
      <c r="E1370" t="inlineStr">
        <is>
          <t>KIL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42102-2019</t>
        </is>
      </c>
      <c r="B1371" s="1" t="n">
        <v>43702</v>
      </c>
      <c r="C1371" s="1" t="n">
        <v>45736</v>
      </c>
      <c r="D1371" t="inlineStr">
        <is>
          <t>VÄRMLANDS LÄN</t>
        </is>
      </c>
      <c r="E1371" t="inlineStr">
        <is>
          <t>ARVIKA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42131-2019</t>
        </is>
      </c>
      <c r="B1372" s="1" t="n">
        <v>43703</v>
      </c>
      <c r="C1372" s="1" t="n">
        <v>45736</v>
      </c>
      <c r="D1372" t="inlineStr">
        <is>
          <t>VÄRMLANDS LÄN</t>
        </is>
      </c>
      <c r="E1372" t="inlineStr">
        <is>
          <t>FILIPSTAD</t>
        </is>
      </c>
      <c r="F1372" t="inlineStr">
        <is>
          <t>Bergvik skog väst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42230-2019</t>
        </is>
      </c>
      <c r="B1373" s="1" t="n">
        <v>43703</v>
      </c>
      <c r="C1373" s="1" t="n">
        <v>45736</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42284-2019</t>
        </is>
      </c>
      <c r="B1374" s="1" t="n">
        <v>43703</v>
      </c>
      <c r="C1374" s="1" t="n">
        <v>45736</v>
      </c>
      <c r="D1374" t="inlineStr">
        <is>
          <t>VÄRMLANDS LÄN</t>
        </is>
      </c>
      <c r="E1374" t="inlineStr">
        <is>
          <t>ÅRJÄNG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42367-2019</t>
        </is>
      </c>
      <c r="B1375" s="1" t="n">
        <v>43703</v>
      </c>
      <c r="C1375" s="1" t="n">
        <v>45736</v>
      </c>
      <c r="D1375" t="inlineStr">
        <is>
          <t>VÄRMLANDS LÄN</t>
        </is>
      </c>
      <c r="E1375" t="inlineStr">
        <is>
          <t>EDA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43137-2019</t>
        </is>
      </c>
      <c r="B1376" s="1" t="n">
        <v>43703</v>
      </c>
      <c r="C1376" s="1" t="n">
        <v>45736</v>
      </c>
      <c r="D1376" t="inlineStr">
        <is>
          <t>VÄRMLANDS LÄN</t>
        </is>
      </c>
      <c r="E1376" t="inlineStr">
        <is>
          <t>ÅRJÄNG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43451-2019</t>
        </is>
      </c>
      <c r="B1377" s="1" t="n">
        <v>43703</v>
      </c>
      <c r="C1377" s="1" t="n">
        <v>45736</v>
      </c>
      <c r="D1377" t="inlineStr">
        <is>
          <t>VÄRMLANDS LÄN</t>
        </is>
      </c>
      <c r="E1377" t="inlineStr">
        <is>
          <t>EDA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43141-2019</t>
        </is>
      </c>
      <c r="B1378" s="1" t="n">
        <v>43703</v>
      </c>
      <c r="C1378" s="1" t="n">
        <v>45736</v>
      </c>
      <c r="D1378" t="inlineStr">
        <is>
          <t>VÄRMLANDS LÄN</t>
        </is>
      </c>
      <c r="E1378" t="inlineStr">
        <is>
          <t>ÅRJÄNG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42660-2019</t>
        </is>
      </c>
      <c r="B1379" s="1" t="n">
        <v>43704</v>
      </c>
      <c r="C1379" s="1" t="n">
        <v>45736</v>
      </c>
      <c r="D1379" t="inlineStr">
        <is>
          <t>VÄRMLANDS LÄN</t>
        </is>
      </c>
      <c r="E1379" t="inlineStr">
        <is>
          <t>EDA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42692-2019</t>
        </is>
      </c>
      <c r="B1380" s="1" t="n">
        <v>43704</v>
      </c>
      <c r="C1380" s="1" t="n">
        <v>45736</v>
      </c>
      <c r="D1380" t="inlineStr">
        <is>
          <t>VÄRMLANDS LÄN</t>
        </is>
      </c>
      <c r="E1380" t="inlineStr">
        <is>
          <t>ARVIKA</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42485-2019</t>
        </is>
      </c>
      <c r="B1381" s="1" t="n">
        <v>43704</v>
      </c>
      <c r="C1381" s="1" t="n">
        <v>45736</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43273-2019</t>
        </is>
      </c>
      <c r="B1382" s="1" t="n">
        <v>43704</v>
      </c>
      <c r="C1382" s="1" t="n">
        <v>45736</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42854-2019</t>
        </is>
      </c>
      <c r="B1383" s="1" t="n">
        <v>43705</v>
      </c>
      <c r="C1383" s="1" t="n">
        <v>45736</v>
      </c>
      <c r="D1383" t="inlineStr">
        <is>
          <t>VÄRMLANDS LÄN</t>
        </is>
      </c>
      <c r="E1383" t="inlineStr">
        <is>
          <t>ARVIKA</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42856-2019</t>
        </is>
      </c>
      <c r="B1384" s="1" t="n">
        <v>43705</v>
      </c>
      <c r="C1384" s="1" t="n">
        <v>45736</v>
      </c>
      <c r="D1384" t="inlineStr">
        <is>
          <t>VÄRMLANDS LÄN</t>
        </is>
      </c>
      <c r="E1384" t="inlineStr">
        <is>
          <t>KRISTINEHAMN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42967-2019</t>
        </is>
      </c>
      <c r="B1385" s="1" t="n">
        <v>43705</v>
      </c>
      <c r="C1385" s="1" t="n">
        <v>45736</v>
      </c>
      <c r="D1385" t="inlineStr">
        <is>
          <t>VÄRMLANDS LÄN</t>
        </is>
      </c>
      <c r="E1385" t="inlineStr">
        <is>
          <t>HAGFORS</t>
        </is>
      </c>
      <c r="F1385" t="inlineStr">
        <is>
          <t>Bergvik skog väst AB</t>
        </is>
      </c>
      <c r="G1385" t="n">
        <v>30.3</v>
      </c>
      <c r="H1385" t="n">
        <v>0</v>
      </c>
      <c r="I1385" t="n">
        <v>0</v>
      </c>
      <c r="J1385" t="n">
        <v>0</v>
      </c>
      <c r="K1385" t="n">
        <v>0</v>
      </c>
      <c r="L1385" t="n">
        <v>0</v>
      </c>
      <c r="M1385" t="n">
        <v>0</v>
      </c>
      <c r="N1385" t="n">
        <v>0</v>
      </c>
      <c r="O1385" t="n">
        <v>0</v>
      </c>
      <c r="P1385" t="n">
        <v>0</v>
      </c>
      <c r="Q1385" t="n">
        <v>0</v>
      </c>
      <c r="R1385" s="2" t="inlineStr"/>
    </row>
    <row r="1386" ht="15" customHeight="1">
      <c r="A1386" t="inlineStr">
        <is>
          <t>A 43068-2019</t>
        </is>
      </c>
      <c r="B1386" s="1" t="n">
        <v>43705</v>
      </c>
      <c r="C1386" s="1" t="n">
        <v>45736</v>
      </c>
      <c r="D1386" t="inlineStr">
        <is>
          <t>VÄRMLANDS LÄN</t>
        </is>
      </c>
      <c r="E1386" t="inlineStr">
        <is>
          <t>SUNNE</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43075-2019</t>
        </is>
      </c>
      <c r="B1387" s="1" t="n">
        <v>43705</v>
      </c>
      <c r="C1387" s="1" t="n">
        <v>45736</v>
      </c>
      <c r="D1387" t="inlineStr">
        <is>
          <t>VÄRMLANDS LÄN</t>
        </is>
      </c>
      <c r="E1387" t="inlineStr">
        <is>
          <t>SUNNE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42904-2019</t>
        </is>
      </c>
      <c r="B1388" s="1" t="n">
        <v>43705</v>
      </c>
      <c r="C1388" s="1" t="n">
        <v>45736</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42980-2019</t>
        </is>
      </c>
      <c r="B1389" s="1" t="n">
        <v>43705</v>
      </c>
      <c r="C1389" s="1" t="n">
        <v>45736</v>
      </c>
      <c r="D1389" t="inlineStr">
        <is>
          <t>VÄRMLANDS LÄN</t>
        </is>
      </c>
      <c r="E1389" t="inlineStr">
        <is>
          <t>FILIPSTAD</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44380-2019</t>
        </is>
      </c>
      <c r="B1390" s="1" t="n">
        <v>43705</v>
      </c>
      <c r="C1390" s="1" t="n">
        <v>45736</v>
      </c>
      <c r="D1390" t="inlineStr">
        <is>
          <t>VÄRMLANDS LÄN</t>
        </is>
      </c>
      <c r="E1390" t="inlineStr">
        <is>
          <t>ÅRJÄNG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43146-2019</t>
        </is>
      </c>
      <c r="B1391" s="1" t="n">
        <v>43705</v>
      </c>
      <c r="C1391" s="1" t="n">
        <v>45736</v>
      </c>
      <c r="D1391" t="inlineStr">
        <is>
          <t>VÄRMLANDS LÄN</t>
        </is>
      </c>
      <c r="E1391" t="inlineStr">
        <is>
          <t>ARVIKA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44375-2019</t>
        </is>
      </c>
      <c r="B1392" s="1" t="n">
        <v>43705</v>
      </c>
      <c r="C1392" s="1" t="n">
        <v>45736</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44367-2019</t>
        </is>
      </c>
      <c r="B1393" s="1" t="n">
        <v>43705</v>
      </c>
      <c r="C1393" s="1" t="n">
        <v>45736</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44381-2019</t>
        </is>
      </c>
      <c r="B1394" s="1" t="n">
        <v>43705</v>
      </c>
      <c r="C1394" s="1" t="n">
        <v>45736</v>
      </c>
      <c r="D1394" t="inlineStr">
        <is>
          <t>VÄRMLANDS LÄN</t>
        </is>
      </c>
      <c r="E1394" t="inlineStr">
        <is>
          <t>EDA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43291-2019</t>
        </is>
      </c>
      <c r="B1395" s="1" t="n">
        <v>43706</v>
      </c>
      <c r="C1395" s="1" t="n">
        <v>45736</v>
      </c>
      <c r="D1395" t="inlineStr">
        <is>
          <t>VÄRMLANDS LÄN</t>
        </is>
      </c>
      <c r="E1395" t="inlineStr">
        <is>
          <t>FILIPSTAD</t>
        </is>
      </c>
      <c r="G1395" t="n">
        <v>15.5</v>
      </c>
      <c r="H1395" t="n">
        <v>0</v>
      </c>
      <c r="I1395" t="n">
        <v>0</v>
      </c>
      <c r="J1395" t="n">
        <v>0</v>
      </c>
      <c r="K1395" t="n">
        <v>0</v>
      </c>
      <c r="L1395" t="n">
        <v>0</v>
      </c>
      <c r="M1395" t="n">
        <v>0</v>
      </c>
      <c r="N1395" t="n">
        <v>0</v>
      </c>
      <c r="O1395" t="n">
        <v>0</v>
      </c>
      <c r="P1395" t="n">
        <v>0</v>
      </c>
      <c r="Q1395" t="n">
        <v>0</v>
      </c>
      <c r="R1395" s="2" t="inlineStr"/>
    </row>
    <row r="1396" ht="15" customHeight="1">
      <c r="A1396" t="inlineStr">
        <is>
          <t>A 43471-2019</t>
        </is>
      </c>
      <c r="B1396" s="1" t="n">
        <v>43706</v>
      </c>
      <c r="C1396" s="1" t="n">
        <v>45736</v>
      </c>
      <c r="D1396" t="inlineStr">
        <is>
          <t>VÄRMLANDS LÄN</t>
        </is>
      </c>
      <c r="E1396" t="inlineStr">
        <is>
          <t>SUNNE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43542-2019</t>
        </is>
      </c>
      <c r="B1397" s="1" t="n">
        <v>43706</v>
      </c>
      <c r="C1397" s="1" t="n">
        <v>45736</v>
      </c>
      <c r="D1397" t="inlineStr">
        <is>
          <t>VÄRMLANDS LÄN</t>
        </is>
      </c>
      <c r="E1397" t="inlineStr">
        <is>
          <t>SUNNE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44531-2019</t>
        </is>
      </c>
      <c r="B1398" s="1" t="n">
        <v>43706</v>
      </c>
      <c r="C1398" s="1" t="n">
        <v>45736</v>
      </c>
      <c r="D1398" t="inlineStr">
        <is>
          <t>VÄRMLANDS LÄN</t>
        </is>
      </c>
      <c r="E1398" t="inlineStr">
        <is>
          <t>SÄFFLE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44533-2019</t>
        </is>
      </c>
      <c r="B1399" s="1" t="n">
        <v>43706</v>
      </c>
      <c r="C1399" s="1" t="n">
        <v>45736</v>
      </c>
      <c r="D1399" t="inlineStr">
        <is>
          <t>VÄRMLANDS LÄN</t>
        </is>
      </c>
      <c r="E1399" t="inlineStr">
        <is>
          <t>SÄFFLE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43927-2019</t>
        </is>
      </c>
      <c r="B1400" s="1" t="n">
        <v>43707</v>
      </c>
      <c r="C1400" s="1" t="n">
        <v>45736</v>
      </c>
      <c r="D1400" t="inlineStr">
        <is>
          <t>VÄRMLANDS LÄN</t>
        </is>
      </c>
      <c r="E1400" t="inlineStr">
        <is>
          <t>ÅRJÄNG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43910-2019</t>
        </is>
      </c>
      <c r="B1401" s="1" t="n">
        <v>43707</v>
      </c>
      <c r="C1401" s="1" t="n">
        <v>45736</v>
      </c>
      <c r="D1401" t="inlineStr">
        <is>
          <t>VÄRMLANDS LÄN</t>
        </is>
      </c>
      <c r="E1401" t="inlineStr">
        <is>
          <t>ÅRJÄNG</t>
        </is>
      </c>
      <c r="F1401" t="inlineStr">
        <is>
          <t>Bergvik skog väst AB</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43897-2019</t>
        </is>
      </c>
      <c r="B1402" s="1" t="n">
        <v>43707</v>
      </c>
      <c r="C1402" s="1" t="n">
        <v>45736</v>
      </c>
      <c r="D1402" t="inlineStr">
        <is>
          <t>VÄRMLANDS LÄN</t>
        </is>
      </c>
      <c r="E1402" t="inlineStr">
        <is>
          <t>TORSBY</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44832-2019</t>
        </is>
      </c>
      <c r="B1403" s="1" t="n">
        <v>43707</v>
      </c>
      <c r="C1403" s="1" t="n">
        <v>45736</v>
      </c>
      <c r="D1403" t="inlineStr">
        <is>
          <t>VÄRMLANDS LÄN</t>
        </is>
      </c>
      <c r="E1403" t="inlineStr">
        <is>
          <t>TORSBY</t>
        </is>
      </c>
      <c r="G1403" t="n">
        <v>27.1</v>
      </c>
      <c r="H1403" t="n">
        <v>0</v>
      </c>
      <c r="I1403" t="n">
        <v>0</v>
      </c>
      <c r="J1403" t="n">
        <v>0</v>
      </c>
      <c r="K1403" t="n">
        <v>0</v>
      </c>
      <c r="L1403" t="n">
        <v>0</v>
      </c>
      <c r="M1403" t="n">
        <v>0</v>
      </c>
      <c r="N1403" t="n">
        <v>0</v>
      </c>
      <c r="O1403" t="n">
        <v>0</v>
      </c>
      <c r="P1403" t="n">
        <v>0</v>
      </c>
      <c r="Q1403" t="n">
        <v>0</v>
      </c>
      <c r="R1403" s="2" t="inlineStr"/>
    </row>
    <row r="1404" ht="15" customHeight="1">
      <c r="A1404" t="inlineStr">
        <is>
          <t>A 43643-2019</t>
        </is>
      </c>
      <c r="B1404" s="1" t="n">
        <v>43707</v>
      </c>
      <c r="C1404" s="1" t="n">
        <v>45736</v>
      </c>
      <c r="D1404" t="inlineStr">
        <is>
          <t>VÄRMLANDS LÄN</t>
        </is>
      </c>
      <c r="E1404" t="inlineStr">
        <is>
          <t>ÅRJÄNG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44009-2019</t>
        </is>
      </c>
      <c r="B1405" s="1" t="n">
        <v>43709</v>
      </c>
      <c r="C1405" s="1" t="n">
        <v>45736</v>
      </c>
      <c r="D1405" t="inlineStr">
        <is>
          <t>VÄRMLANDS LÄN</t>
        </is>
      </c>
      <c r="E1405" t="inlineStr">
        <is>
          <t>KARLSTAD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44068-2019</t>
        </is>
      </c>
      <c r="B1406" s="1" t="n">
        <v>43710</v>
      </c>
      <c r="C1406" s="1" t="n">
        <v>45736</v>
      </c>
      <c r="D1406" t="inlineStr">
        <is>
          <t>VÄRMLANDS LÄN</t>
        </is>
      </c>
      <c r="E1406" t="inlineStr">
        <is>
          <t>KARLSTAD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44167-2019</t>
        </is>
      </c>
      <c r="B1407" s="1" t="n">
        <v>43710</v>
      </c>
      <c r="C1407" s="1" t="n">
        <v>45736</v>
      </c>
      <c r="D1407" t="inlineStr">
        <is>
          <t>VÄRMLANDS LÄN</t>
        </is>
      </c>
      <c r="E1407" t="inlineStr">
        <is>
          <t>GRUMS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44197-2019</t>
        </is>
      </c>
      <c r="B1408" s="1" t="n">
        <v>43710</v>
      </c>
      <c r="C1408" s="1" t="n">
        <v>45736</v>
      </c>
      <c r="D1408" t="inlineStr">
        <is>
          <t>VÄRMLANDS LÄN</t>
        </is>
      </c>
      <c r="E1408" t="inlineStr">
        <is>
          <t>EDA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44069-2019</t>
        </is>
      </c>
      <c r="B1409" s="1" t="n">
        <v>43710</v>
      </c>
      <c r="C1409" s="1" t="n">
        <v>45736</v>
      </c>
      <c r="D1409" t="inlineStr">
        <is>
          <t>VÄRMLANDS LÄN</t>
        </is>
      </c>
      <c r="E1409" t="inlineStr">
        <is>
          <t>ÅRJÄNG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44161-2019</t>
        </is>
      </c>
      <c r="B1410" s="1" t="n">
        <v>43710</v>
      </c>
      <c r="C1410" s="1" t="n">
        <v>45736</v>
      </c>
      <c r="D1410" t="inlineStr">
        <is>
          <t>VÄRMLANDS LÄN</t>
        </is>
      </c>
      <c r="E1410" t="inlineStr">
        <is>
          <t>SUNNE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44222-2019</t>
        </is>
      </c>
      <c r="B1411" s="1" t="n">
        <v>43710</v>
      </c>
      <c r="C1411" s="1" t="n">
        <v>45736</v>
      </c>
      <c r="D1411" t="inlineStr">
        <is>
          <t>VÄRMLANDS LÄN</t>
        </is>
      </c>
      <c r="E1411" t="inlineStr">
        <is>
          <t>HAGFORS</t>
        </is>
      </c>
      <c r="F1411" t="inlineStr">
        <is>
          <t>Bergvik skog väst AB</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44177-2019</t>
        </is>
      </c>
      <c r="B1412" s="1" t="n">
        <v>43710</v>
      </c>
      <c r="C1412" s="1" t="n">
        <v>45736</v>
      </c>
      <c r="D1412" t="inlineStr">
        <is>
          <t>VÄRMLANDS LÄN</t>
        </is>
      </c>
      <c r="E1412" t="inlineStr">
        <is>
          <t>FILIPSTAD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44495-2019</t>
        </is>
      </c>
      <c r="B1413" s="1" t="n">
        <v>43711</v>
      </c>
      <c r="C1413" s="1" t="n">
        <v>45736</v>
      </c>
      <c r="D1413" t="inlineStr">
        <is>
          <t>VÄRMLANDS LÄN</t>
        </is>
      </c>
      <c r="E1413" t="inlineStr">
        <is>
          <t>FORSHAGA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44468-2019</t>
        </is>
      </c>
      <c r="B1414" s="1" t="n">
        <v>43711</v>
      </c>
      <c r="C1414" s="1" t="n">
        <v>45736</v>
      </c>
      <c r="D1414" t="inlineStr">
        <is>
          <t>VÄRMLANDS LÄN</t>
        </is>
      </c>
      <c r="E1414" t="inlineStr">
        <is>
          <t>ARVIKA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44577-2019</t>
        </is>
      </c>
      <c r="B1415" s="1" t="n">
        <v>43711</v>
      </c>
      <c r="C1415" s="1" t="n">
        <v>45736</v>
      </c>
      <c r="D1415" t="inlineStr">
        <is>
          <t>VÄRMLANDS LÄN</t>
        </is>
      </c>
      <c r="E1415" t="inlineStr">
        <is>
          <t>KIL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44594-2019</t>
        </is>
      </c>
      <c r="B1416" s="1" t="n">
        <v>43711</v>
      </c>
      <c r="C1416" s="1" t="n">
        <v>45736</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44576-2019</t>
        </is>
      </c>
      <c r="B1417" s="1" t="n">
        <v>43711</v>
      </c>
      <c r="C1417" s="1" t="n">
        <v>45736</v>
      </c>
      <c r="D1417" t="inlineStr">
        <is>
          <t>VÄRMLANDS LÄN</t>
        </is>
      </c>
      <c r="E1417" t="inlineStr">
        <is>
          <t>KIL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44756-2019</t>
        </is>
      </c>
      <c r="B1418" s="1" t="n">
        <v>43712</v>
      </c>
      <c r="C1418" s="1" t="n">
        <v>45736</v>
      </c>
      <c r="D1418" t="inlineStr">
        <is>
          <t>VÄRMLANDS LÄN</t>
        </is>
      </c>
      <c r="E1418" t="inlineStr">
        <is>
          <t>SUNNE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44763-2019</t>
        </is>
      </c>
      <c r="B1419" s="1" t="n">
        <v>43712</v>
      </c>
      <c r="C1419" s="1" t="n">
        <v>45736</v>
      </c>
      <c r="D1419" t="inlineStr">
        <is>
          <t>VÄRMLANDS LÄN</t>
        </is>
      </c>
      <c r="E1419" t="inlineStr">
        <is>
          <t>SUNNE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44708-2019</t>
        </is>
      </c>
      <c r="B1420" s="1" t="n">
        <v>43712</v>
      </c>
      <c r="C1420" s="1" t="n">
        <v>45736</v>
      </c>
      <c r="D1420" t="inlineStr">
        <is>
          <t>VÄRMLANDS LÄN</t>
        </is>
      </c>
      <c r="E1420" t="inlineStr">
        <is>
          <t>TORSBY</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45796-2019</t>
        </is>
      </c>
      <c r="B1421" s="1" t="n">
        <v>43712</v>
      </c>
      <c r="C1421" s="1" t="n">
        <v>45736</v>
      </c>
      <c r="D1421" t="inlineStr">
        <is>
          <t>VÄRMLANDS LÄN</t>
        </is>
      </c>
      <c r="E1421" t="inlineStr">
        <is>
          <t>ARVIKA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44866-2019</t>
        </is>
      </c>
      <c r="B1422" s="1" t="n">
        <v>43712</v>
      </c>
      <c r="C1422" s="1" t="n">
        <v>45736</v>
      </c>
      <c r="D1422" t="inlineStr">
        <is>
          <t>VÄRMLANDS LÄN</t>
        </is>
      </c>
      <c r="E1422" t="inlineStr">
        <is>
          <t>HAGFORS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44706-2019</t>
        </is>
      </c>
      <c r="B1423" s="1" t="n">
        <v>43712</v>
      </c>
      <c r="C1423" s="1" t="n">
        <v>45736</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44646-2019</t>
        </is>
      </c>
      <c r="B1424" s="1" t="n">
        <v>43712</v>
      </c>
      <c r="C1424" s="1" t="n">
        <v>45736</v>
      </c>
      <c r="D1424" t="inlineStr">
        <is>
          <t>VÄRMLANDS LÄN</t>
        </is>
      </c>
      <c r="E1424" t="inlineStr">
        <is>
          <t>ARVIKA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45053-2019</t>
        </is>
      </c>
      <c r="B1425" s="1" t="n">
        <v>43713</v>
      </c>
      <c r="C1425" s="1" t="n">
        <v>45736</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44951-2019</t>
        </is>
      </c>
      <c r="B1426" s="1" t="n">
        <v>43713</v>
      </c>
      <c r="C1426" s="1" t="n">
        <v>45736</v>
      </c>
      <c r="D1426" t="inlineStr">
        <is>
          <t>VÄRMLANDS LÄN</t>
        </is>
      </c>
      <c r="E1426" t="inlineStr">
        <is>
          <t>KRISTINEHAMN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44987-2019</t>
        </is>
      </c>
      <c r="B1427" s="1" t="n">
        <v>43713</v>
      </c>
      <c r="C1427" s="1" t="n">
        <v>45736</v>
      </c>
      <c r="D1427" t="inlineStr">
        <is>
          <t>VÄRMLANDS LÄN</t>
        </is>
      </c>
      <c r="E1427" t="inlineStr">
        <is>
          <t>SUNNE</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44912-2019</t>
        </is>
      </c>
      <c r="B1428" s="1" t="n">
        <v>43713</v>
      </c>
      <c r="C1428" s="1" t="n">
        <v>45736</v>
      </c>
      <c r="D1428" t="inlineStr">
        <is>
          <t>VÄRMLANDS LÄN</t>
        </is>
      </c>
      <c r="E1428" t="inlineStr">
        <is>
          <t>SÄFFLE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45072-2019</t>
        </is>
      </c>
      <c r="B1429" s="1" t="n">
        <v>43713</v>
      </c>
      <c r="C1429" s="1" t="n">
        <v>45736</v>
      </c>
      <c r="D1429" t="inlineStr">
        <is>
          <t>VÄRMLANDS LÄN</t>
        </is>
      </c>
      <c r="E1429" t="inlineStr">
        <is>
          <t>EDA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45062-2019</t>
        </is>
      </c>
      <c r="B1430" s="1" t="n">
        <v>43713</v>
      </c>
      <c r="C1430" s="1" t="n">
        <v>45736</v>
      </c>
      <c r="D1430" t="inlineStr">
        <is>
          <t>VÄRMLANDS LÄN</t>
        </is>
      </c>
      <c r="E1430" t="inlineStr">
        <is>
          <t>SÄFFLE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45083-2019</t>
        </is>
      </c>
      <c r="B1431" s="1" t="n">
        <v>43713</v>
      </c>
      <c r="C1431" s="1" t="n">
        <v>45736</v>
      </c>
      <c r="D1431" t="inlineStr">
        <is>
          <t>VÄRMLANDS LÄN</t>
        </is>
      </c>
      <c r="E1431" t="inlineStr">
        <is>
          <t>TORSBY</t>
        </is>
      </c>
      <c r="F1431" t="inlineStr">
        <is>
          <t>Bergvik skog väst AB</t>
        </is>
      </c>
      <c r="G1431" t="n">
        <v>37.8</v>
      </c>
      <c r="H1431" t="n">
        <v>0</v>
      </c>
      <c r="I1431" t="n">
        <v>0</v>
      </c>
      <c r="J1431" t="n">
        <v>0</v>
      </c>
      <c r="K1431" t="n">
        <v>0</v>
      </c>
      <c r="L1431" t="n">
        <v>0</v>
      </c>
      <c r="M1431" t="n">
        <v>0</v>
      </c>
      <c r="N1431" t="n">
        <v>0</v>
      </c>
      <c r="O1431" t="n">
        <v>0</v>
      </c>
      <c r="P1431" t="n">
        <v>0</v>
      </c>
      <c r="Q1431" t="n">
        <v>0</v>
      </c>
      <c r="R1431" s="2" t="inlineStr"/>
    </row>
    <row r="1432" ht="15" customHeight="1">
      <c r="A1432" t="inlineStr">
        <is>
          <t>A 45189-2019</t>
        </is>
      </c>
      <c r="B1432" s="1" t="n">
        <v>43713</v>
      </c>
      <c r="C1432" s="1" t="n">
        <v>45736</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44955-2019</t>
        </is>
      </c>
      <c r="B1433" s="1" t="n">
        <v>43713</v>
      </c>
      <c r="C1433" s="1" t="n">
        <v>45736</v>
      </c>
      <c r="D1433" t="inlineStr">
        <is>
          <t>VÄRMLANDS LÄN</t>
        </is>
      </c>
      <c r="E1433" t="inlineStr">
        <is>
          <t>KRISTINEHAMN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45002-2019</t>
        </is>
      </c>
      <c r="B1434" s="1" t="n">
        <v>43713</v>
      </c>
      <c r="C1434" s="1" t="n">
        <v>45736</v>
      </c>
      <c r="D1434" t="inlineStr">
        <is>
          <t>VÄRMLANDS LÄN</t>
        </is>
      </c>
      <c r="E1434" t="inlineStr">
        <is>
          <t>SUNNE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45068-2019</t>
        </is>
      </c>
      <c r="B1435" s="1" t="n">
        <v>43713</v>
      </c>
      <c r="C1435" s="1" t="n">
        <v>45736</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45352-2019</t>
        </is>
      </c>
      <c r="B1436" s="1" t="n">
        <v>43714</v>
      </c>
      <c r="C1436" s="1" t="n">
        <v>45736</v>
      </c>
      <c r="D1436" t="inlineStr">
        <is>
          <t>VÄRMLANDS LÄN</t>
        </is>
      </c>
      <c r="E1436" t="inlineStr">
        <is>
          <t>KARLSTAD</t>
        </is>
      </c>
      <c r="F1436" t="inlineStr">
        <is>
          <t>Bergvik skog väst AB</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45365-2019</t>
        </is>
      </c>
      <c r="B1437" s="1" t="n">
        <v>43714</v>
      </c>
      <c r="C1437" s="1" t="n">
        <v>45736</v>
      </c>
      <c r="D1437" t="inlineStr">
        <is>
          <t>VÄRMLANDS LÄN</t>
        </is>
      </c>
      <c r="E1437" t="inlineStr">
        <is>
          <t>KARLSTAD</t>
        </is>
      </c>
      <c r="F1437" t="inlineStr">
        <is>
          <t>Naturvårdsverket</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45370-2019</t>
        </is>
      </c>
      <c r="B1438" s="1" t="n">
        <v>43714</v>
      </c>
      <c r="C1438" s="1" t="n">
        <v>45736</v>
      </c>
      <c r="D1438" t="inlineStr">
        <is>
          <t>VÄRMLANDS LÄN</t>
        </is>
      </c>
      <c r="E1438" t="inlineStr">
        <is>
          <t>KARLSTAD</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45353-2019</t>
        </is>
      </c>
      <c r="B1439" s="1" t="n">
        <v>43714</v>
      </c>
      <c r="C1439" s="1" t="n">
        <v>45736</v>
      </c>
      <c r="D1439" t="inlineStr">
        <is>
          <t>VÄRMLANDS LÄN</t>
        </is>
      </c>
      <c r="E1439" t="inlineStr">
        <is>
          <t>KARLSTAD</t>
        </is>
      </c>
      <c r="F1439" t="inlineStr">
        <is>
          <t>Bergvik skog väst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46389-2019</t>
        </is>
      </c>
      <c r="B1440" s="1" t="n">
        <v>43714</v>
      </c>
      <c r="C1440" s="1" t="n">
        <v>45736</v>
      </c>
      <c r="D1440" t="inlineStr">
        <is>
          <t>VÄRMLANDS LÄN</t>
        </is>
      </c>
      <c r="E1440" t="inlineStr">
        <is>
          <t>KARLSTAD</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45356-2019</t>
        </is>
      </c>
      <c r="B1441" s="1" t="n">
        <v>43714</v>
      </c>
      <c r="C1441" s="1" t="n">
        <v>45736</v>
      </c>
      <c r="D1441" t="inlineStr">
        <is>
          <t>VÄRMLANDS LÄN</t>
        </is>
      </c>
      <c r="E1441" t="inlineStr">
        <is>
          <t>HAGFORS</t>
        </is>
      </c>
      <c r="F1441" t="inlineStr">
        <is>
          <t>Bergvik skog väst AB</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45704-2019</t>
        </is>
      </c>
      <c r="B1442" s="1" t="n">
        <v>43717</v>
      </c>
      <c r="C1442" s="1" t="n">
        <v>45736</v>
      </c>
      <c r="D1442" t="inlineStr">
        <is>
          <t>VÄRMLANDS LÄN</t>
        </is>
      </c>
      <c r="E1442" t="inlineStr">
        <is>
          <t>FILIPSTAD</t>
        </is>
      </c>
      <c r="F1442" t="inlineStr">
        <is>
          <t>Bergvik skog väst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45634-2019</t>
        </is>
      </c>
      <c r="B1443" s="1" t="n">
        <v>43717</v>
      </c>
      <c r="C1443" s="1" t="n">
        <v>45736</v>
      </c>
      <c r="D1443" t="inlineStr">
        <is>
          <t>VÄRMLANDS LÄN</t>
        </is>
      </c>
      <c r="E1443" t="inlineStr">
        <is>
          <t>EDA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45657-2019</t>
        </is>
      </c>
      <c r="B1444" s="1" t="n">
        <v>43717</v>
      </c>
      <c r="C1444" s="1" t="n">
        <v>45736</v>
      </c>
      <c r="D1444" t="inlineStr">
        <is>
          <t>VÄRMLANDS LÄN</t>
        </is>
      </c>
      <c r="E1444" t="inlineStr">
        <is>
          <t>EDA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45803-2019</t>
        </is>
      </c>
      <c r="B1445" s="1" t="n">
        <v>43717</v>
      </c>
      <c r="C1445" s="1" t="n">
        <v>45736</v>
      </c>
      <c r="D1445" t="inlineStr">
        <is>
          <t>VÄRMLANDS LÄN</t>
        </is>
      </c>
      <c r="E1445" t="inlineStr">
        <is>
          <t>GRUMS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46500-2019</t>
        </is>
      </c>
      <c r="B1446" s="1" t="n">
        <v>43717</v>
      </c>
      <c r="C1446" s="1" t="n">
        <v>45736</v>
      </c>
      <c r="D1446" t="inlineStr">
        <is>
          <t>VÄRMLANDS LÄN</t>
        </is>
      </c>
      <c r="E1446" t="inlineStr">
        <is>
          <t>SUNNE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46498-2019</t>
        </is>
      </c>
      <c r="B1447" s="1" t="n">
        <v>43717</v>
      </c>
      <c r="C1447" s="1" t="n">
        <v>45736</v>
      </c>
      <c r="D1447" t="inlineStr">
        <is>
          <t>VÄRMLANDS LÄN</t>
        </is>
      </c>
      <c r="E1447" t="inlineStr">
        <is>
          <t>SUNNE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45891-2019</t>
        </is>
      </c>
      <c r="B1448" s="1" t="n">
        <v>43717</v>
      </c>
      <c r="C1448" s="1" t="n">
        <v>45736</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45599-2019</t>
        </is>
      </c>
      <c r="B1449" s="1" t="n">
        <v>43717</v>
      </c>
      <c r="C1449" s="1" t="n">
        <v>45736</v>
      </c>
      <c r="D1449" t="inlineStr">
        <is>
          <t>VÄRMLANDS LÄN</t>
        </is>
      </c>
      <c r="E1449" t="inlineStr">
        <is>
          <t>SUNNE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46215-2019</t>
        </is>
      </c>
      <c r="B1450" s="1" t="n">
        <v>43718</v>
      </c>
      <c r="C1450" s="1" t="n">
        <v>45736</v>
      </c>
      <c r="D1450" t="inlineStr">
        <is>
          <t>VÄRMLANDS LÄN</t>
        </is>
      </c>
      <c r="E1450" t="inlineStr">
        <is>
          <t>EDA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46270-2019</t>
        </is>
      </c>
      <c r="B1451" s="1" t="n">
        <v>43718</v>
      </c>
      <c r="C1451" s="1" t="n">
        <v>45736</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46016-2019</t>
        </is>
      </c>
      <c r="B1452" s="1" t="n">
        <v>43718</v>
      </c>
      <c r="C1452" s="1" t="n">
        <v>45736</v>
      </c>
      <c r="D1452" t="inlineStr">
        <is>
          <t>VÄRMLANDS LÄN</t>
        </is>
      </c>
      <c r="E1452" t="inlineStr">
        <is>
          <t>KARLSTAD</t>
        </is>
      </c>
      <c r="F1452" t="inlineStr">
        <is>
          <t>Bergvik skog väst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46799-2019</t>
        </is>
      </c>
      <c r="B1453" s="1" t="n">
        <v>43718</v>
      </c>
      <c r="C1453" s="1" t="n">
        <v>45736</v>
      </c>
      <c r="D1453" t="inlineStr">
        <is>
          <t>VÄRMLANDS LÄN</t>
        </is>
      </c>
      <c r="E1453" t="inlineStr">
        <is>
          <t>ÅRJÄNG</t>
        </is>
      </c>
      <c r="F1453" t="inlineStr">
        <is>
          <t>Övriga Aktiebolag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46003-2019</t>
        </is>
      </c>
      <c r="B1454" s="1" t="n">
        <v>43718</v>
      </c>
      <c r="C1454" s="1" t="n">
        <v>45736</v>
      </c>
      <c r="D1454" t="inlineStr">
        <is>
          <t>VÄRMLANDS LÄN</t>
        </is>
      </c>
      <c r="E1454" t="inlineStr">
        <is>
          <t>EDA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46129-2019</t>
        </is>
      </c>
      <c r="B1455" s="1" t="n">
        <v>43718</v>
      </c>
      <c r="C1455" s="1" t="n">
        <v>45736</v>
      </c>
      <c r="D1455" t="inlineStr">
        <is>
          <t>VÄRMLANDS LÄN</t>
        </is>
      </c>
      <c r="E1455" t="inlineStr">
        <is>
          <t>ARVIKA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46541-2019</t>
        </is>
      </c>
      <c r="B1456" s="1" t="n">
        <v>43719</v>
      </c>
      <c r="C1456" s="1" t="n">
        <v>45736</v>
      </c>
      <c r="D1456" t="inlineStr">
        <is>
          <t>VÄRMLANDS LÄN</t>
        </is>
      </c>
      <c r="E1456" t="inlineStr">
        <is>
          <t>SUNNE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46536-2019</t>
        </is>
      </c>
      <c r="B1457" s="1" t="n">
        <v>43719</v>
      </c>
      <c r="C1457" s="1" t="n">
        <v>45736</v>
      </c>
      <c r="D1457" t="inlineStr">
        <is>
          <t>VÄRMLANDS LÄN</t>
        </is>
      </c>
      <c r="E1457" t="inlineStr">
        <is>
          <t>KARLSTAD</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46678-2019</t>
        </is>
      </c>
      <c r="B1458" s="1" t="n">
        <v>43719</v>
      </c>
      <c r="C1458" s="1" t="n">
        <v>45736</v>
      </c>
      <c r="D1458" t="inlineStr">
        <is>
          <t>VÄRMLANDS LÄN</t>
        </is>
      </c>
      <c r="E1458" t="inlineStr">
        <is>
          <t>SUNNE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46707-2019</t>
        </is>
      </c>
      <c r="B1459" s="1" t="n">
        <v>43719</v>
      </c>
      <c r="C1459" s="1" t="n">
        <v>45736</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46738-2019</t>
        </is>
      </c>
      <c r="B1460" s="1" t="n">
        <v>43719</v>
      </c>
      <c r="C1460" s="1" t="n">
        <v>45736</v>
      </c>
      <c r="D1460" t="inlineStr">
        <is>
          <t>VÄRMLANDS LÄN</t>
        </is>
      </c>
      <c r="E1460" t="inlineStr">
        <is>
          <t>TORSBY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46743-2019</t>
        </is>
      </c>
      <c r="B1461" s="1" t="n">
        <v>43719</v>
      </c>
      <c r="C1461" s="1" t="n">
        <v>45736</v>
      </c>
      <c r="D1461" t="inlineStr">
        <is>
          <t>VÄRMLANDS LÄN</t>
        </is>
      </c>
      <c r="E1461" t="inlineStr">
        <is>
          <t>TORSBY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46669-2019</t>
        </is>
      </c>
      <c r="B1462" s="1" t="n">
        <v>43719</v>
      </c>
      <c r="C1462" s="1" t="n">
        <v>45736</v>
      </c>
      <c r="D1462" t="inlineStr">
        <is>
          <t>VÄRMLANDS LÄN</t>
        </is>
      </c>
      <c r="E1462" t="inlineStr">
        <is>
          <t>SUNNE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46703-2019</t>
        </is>
      </c>
      <c r="B1463" s="1" t="n">
        <v>43719</v>
      </c>
      <c r="C1463" s="1" t="n">
        <v>45736</v>
      </c>
      <c r="D1463" t="inlineStr">
        <is>
          <t>VÄRMLANDS LÄN</t>
        </is>
      </c>
      <c r="E1463" t="inlineStr">
        <is>
          <t>SUNNE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46705-2019</t>
        </is>
      </c>
      <c r="B1464" s="1" t="n">
        <v>43719</v>
      </c>
      <c r="C1464" s="1" t="n">
        <v>45736</v>
      </c>
      <c r="D1464" t="inlineStr">
        <is>
          <t>VÄRMLANDS LÄN</t>
        </is>
      </c>
      <c r="E1464" t="inlineStr">
        <is>
          <t>SUNNE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46822-2019</t>
        </is>
      </c>
      <c r="B1465" s="1" t="n">
        <v>43720</v>
      </c>
      <c r="C1465" s="1" t="n">
        <v>45736</v>
      </c>
      <c r="D1465" t="inlineStr">
        <is>
          <t>VÄRMLANDS LÄN</t>
        </is>
      </c>
      <c r="E1465" t="inlineStr">
        <is>
          <t>FILIPSTAD</t>
        </is>
      </c>
      <c r="F1465" t="inlineStr">
        <is>
          <t>Bergvik skog väst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46832-2019</t>
        </is>
      </c>
      <c r="B1466" s="1" t="n">
        <v>43720</v>
      </c>
      <c r="C1466" s="1" t="n">
        <v>45736</v>
      </c>
      <c r="D1466" t="inlineStr">
        <is>
          <t>VÄRMLANDS LÄN</t>
        </is>
      </c>
      <c r="E1466" t="inlineStr">
        <is>
          <t>SÄFFLE</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46904-2019</t>
        </is>
      </c>
      <c r="B1467" s="1" t="n">
        <v>43720</v>
      </c>
      <c r="C1467" s="1" t="n">
        <v>45736</v>
      </c>
      <c r="D1467" t="inlineStr">
        <is>
          <t>VÄRMLANDS LÄN</t>
        </is>
      </c>
      <c r="E1467" t="inlineStr">
        <is>
          <t>FILIPSTAD</t>
        </is>
      </c>
      <c r="F1467" t="inlineStr">
        <is>
          <t>Bergvik skog väst AB</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47114-2019</t>
        </is>
      </c>
      <c r="B1468" s="1" t="n">
        <v>43720</v>
      </c>
      <c r="C1468" s="1" t="n">
        <v>45736</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47188-2019</t>
        </is>
      </c>
      <c r="B1469" s="1" t="n">
        <v>43721</v>
      </c>
      <c r="C1469" s="1" t="n">
        <v>45736</v>
      </c>
      <c r="D1469" t="inlineStr">
        <is>
          <t>VÄRMLANDS LÄN</t>
        </is>
      </c>
      <c r="E1469" t="inlineStr">
        <is>
          <t>KARLSTAD</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47214-2019</t>
        </is>
      </c>
      <c r="B1470" s="1" t="n">
        <v>43721</v>
      </c>
      <c r="C1470" s="1" t="n">
        <v>45736</v>
      </c>
      <c r="D1470" t="inlineStr">
        <is>
          <t>VÄRMLANDS LÄN</t>
        </is>
      </c>
      <c r="E1470" t="inlineStr">
        <is>
          <t>TORSBY</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47317-2019</t>
        </is>
      </c>
      <c r="B1471" s="1" t="n">
        <v>43721</v>
      </c>
      <c r="C1471" s="1" t="n">
        <v>45736</v>
      </c>
      <c r="D1471" t="inlineStr">
        <is>
          <t>VÄRMLANDS LÄN</t>
        </is>
      </c>
      <c r="E1471" t="inlineStr">
        <is>
          <t>SUNNE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47137-2019</t>
        </is>
      </c>
      <c r="B1472" s="1" t="n">
        <v>43721</v>
      </c>
      <c r="C1472" s="1" t="n">
        <v>45736</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47201-2019</t>
        </is>
      </c>
      <c r="B1473" s="1" t="n">
        <v>43721</v>
      </c>
      <c r="C1473" s="1" t="n">
        <v>45736</v>
      </c>
      <c r="D1473" t="inlineStr">
        <is>
          <t>VÄRMLANDS LÄN</t>
        </is>
      </c>
      <c r="E1473" t="inlineStr">
        <is>
          <t>KRISTINEHAMN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47272-2019</t>
        </is>
      </c>
      <c r="B1474" s="1" t="n">
        <v>43721</v>
      </c>
      <c r="C1474" s="1" t="n">
        <v>45736</v>
      </c>
      <c r="D1474" t="inlineStr">
        <is>
          <t>VÄRMLANDS LÄN</t>
        </is>
      </c>
      <c r="E1474" t="inlineStr">
        <is>
          <t>ÅRJÄNG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47316-2019</t>
        </is>
      </c>
      <c r="B1475" s="1" t="n">
        <v>43721</v>
      </c>
      <c r="C1475" s="1" t="n">
        <v>45736</v>
      </c>
      <c r="D1475" t="inlineStr">
        <is>
          <t>VÄRMLANDS LÄN</t>
        </is>
      </c>
      <c r="E1475" t="inlineStr">
        <is>
          <t>TORSBY</t>
        </is>
      </c>
      <c r="F1475" t="inlineStr">
        <is>
          <t>Bergvik skog väst AB</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47147-2019</t>
        </is>
      </c>
      <c r="B1476" s="1" t="n">
        <v>43721</v>
      </c>
      <c r="C1476" s="1" t="n">
        <v>45736</v>
      </c>
      <c r="D1476" t="inlineStr">
        <is>
          <t>VÄRMLANDS LÄN</t>
        </is>
      </c>
      <c r="E1476" t="inlineStr">
        <is>
          <t>ÅRJÄNG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47481-2019</t>
        </is>
      </c>
      <c r="B1477" s="1" t="n">
        <v>43724</v>
      </c>
      <c r="C1477" s="1" t="n">
        <v>45736</v>
      </c>
      <c r="D1477" t="inlineStr">
        <is>
          <t>VÄRMLANDS LÄN</t>
        </is>
      </c>
      <c r="E1477" t="inlineStr">
        <is>
          <t>GRUMS</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47608-2019</t>
        </is>
      </c>
      <c r="B1478" s="1" t="n">
        <v>43724</v>
      </c>
      <c r="C1478" s="1" t="n">
        <v>45736</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47620-2019</t>
        </is>
      </c>
      <c r="B1479" s="1" t="n">
        <v>43724</v>
      </c>
      <c r="C1479" s="1" t="n">
        <v>45736</v>
      </c>
      <c r="D1479" t="inlineStr">
        <is>
          <t>VÄRMLANDS LÄN</t>
        </is>
      </c>
      <c r="E1479" t="inlineStr">
        <is>
          <t>ÅRJÄNG</t>
        </is>
      </c>
      <c r="F1479" t="inlineStr">
        <is>
          <t>Kyrkan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47457-2019</t>
        </is>
      </c>
      <c r="B1480" s="1" t="n">
        <v>43724</v>
      </c>
      <c r="C1480" s="1" t="n">
        <v>45736</v>
      </c>
      <c r="D1480" t="inlineStr">
        <is>
          <t>VÄRMLANDS LÄN</t>
        </is>
      </c>
      <c r="E1480" t="inlineStr">
        <is>
          <t>FORSHAGA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47700-2019</t>
        </is>
      </c>
      <c r="B1481" s="1" t="n">
        <v>43724</v>
      </c>
      <c r="C1481" s="1" t="n">
        <v>45736</v>
      </c>
      <c r="D1481" t="inlineStr">
        <is>
          <t>VÄRMLANDS LÄN</t>
        </is>
      </c>
      <c r="E1481" t="inlineStr">
        <is>
          <t>KARLSTAD</t>
        </is>
      </c>
      <c r="F1481" t="inlineStr">
        <is>
          <t>Bergvik skog väst AB</t>
        </is>
      </c>
      <c r="G1481" t="n">
        <v>11.9</v>
      </c>
      <c r="H1481" t="n">
        <v>0</v>
      </c>
      <c r="I1481" t="n">
        <v>0</v>
      </c>
      <c r="J1481" t="n">
        <v>0</v>
      </c>
      <c r="K1481" t="n">
        <v>0</v>
      </c>
      <c r="L1481" t="n">
        <v>0</v>
      </c>
      <c r="M1481" t="n">
        <v>0</v>
      </c>
      <c r="N1481" t="n">
        <v>0</v>
      </c>
      <c r="O1481" t="n">
        <v>0</v>
      </c>
      <c r="P1481" t="n">
        <v>0</v>
      </c>
      <c r="Q1481" t="n">
        <v>0</v>
      </c>
      <c r="R1481" s="2" t="inlineStr"/>
    </row>
    <row r="1482" ht="15" customHeight="1">
      <c r="A1482" t="inlineStr">
        <is>
          <t>A 47772-2019</t>
        </is>
      </c>
      <c r="B1482" s="1" t="n">
        <v>43724</v>
      </c>
      <c r="C1482" s="1" t="n">
        <v>45736</v>
      </c>
      <c r="D1482" t="inlineStr">
        <is>
          <t>VÄRMLANDS LÄN</t>
        </is>
      </c>
      <c r="E1482" t="inlineStr">
        <is>
          <t>TORSBY</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47759-2019</t>
        </is>
      </c>
      <c r="B1483" s="1" t="n">
        <v>43724</v>
      </c>
      <c r="C1483" s="1" t="n">
        <v>45736</v>
      </c>
      <c r="D1483" t="inlineStr">
        <is>
          <t>VÄRMLANDS LÄN</t>
        </is>
      </c>
      <c r="E1483" t="inlineStr">
        <is>
          <t>SUNNE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47648-2019</t>
        </is>
      </c>
      <c r="B1484" s="1" t="n">
        <v>43724</v>
      </c>
      <c r="C1484" s="1" t="n">
        <v>45736</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47598-2019</t>
        </is>
      </c>
      <c r="B1485" s="1" t="n">
        <v>43724</v>
      </c>
      <c r="C1485" s="1" t="n">
        <v>45736</v>
      </c>
      <c r="D1485" t="inlineStr">
        <is>
          <t>VÄRMLANDS LÄN</t>
        </is>
      </c>
      <c r="E1485" t="inlineStr">
        <is>
          <t>KRISTINEHAMN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47581-2019</t>
        </is>
      </c>
      <c r="B1486" s="1" t="n">
        <v>43724</v>
      </c>
      <c r="C1486" s="1" t="n">
        <v>45736</v>
      </c>
      <c r="D1486" t="inlineStr">
        <is>
          <t>VÄRMLANDS LÄN</t>
        </is>
      </c>
      <c r="E1486" t="inlineStr">
        <is>
          <t>EDA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47502-2019</t>
        </is>
      </c>
      <c r="B1487" s="1" t="n">
        <v>43724</v>
      </c>
      <c r="C1487" s="1" t="n">
        <v>45736</v>
      </c>
      <c r="D1487" t="inlineStr">
        <is>
          <t>VÄRMLANDS LÄN</t>
        </is>
      </c>
      <c r="E1487" t="inlineStr">
        <is>
          <t>TORSBY</t>
        </is>
      </c>
      <c r="F1487" t="inlineStr">
        <is>
          <t>Bergvik skog väst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47828-2019</t>
        </is>
      </c>
      <c r="B1488" s="1" t="n">
        <v>43725</v>
      </c>
      <c r="C1488" s="1" t="n">
        <v>45736</v>
      </c>
      <c r="D1488" t="inlineStr">
        <is>
          <t>VÄRMLANDS LÄN</t>
        </is>
      </c>
      <c r="E1488" t="inlineStr">
        <is>
          <t>EDA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47904-2019</t>
        </is>
      </c>
      <c r="B1489" s="1" t="n">
        <v>43725</v>
      </c>
      <c r="C1489" s="1" t="n">
        <v>45736</v>
      </c>
      <c r="D1489" t="inlineStr">
        <is>
          <t>VÄRMLANDS LÄN</t>
        </is>
      </c>
      <c r="E1489" t="inlineStr">
        <is>
          <t>HAGFORS</t>
        </is>
      </c>
      <c r="F1489" t="inlineStr">
        <is>
          <t>Bergvik skog väst AB</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47869-2019</t>
        </is>
      </c>
      <c r="B1490" s="1" t="n">
        <v>43725</v>
      </c>
      <c r="C1490" s="1" t="n">
        <v>45736</v>
      </c>
      <c r="D1490" t="inlineStr">
        <is>
          <t>VÄRMLANDS LÄN</t>
        </is>
      </c>
      <c r="E1490" t="inlineStr">
        <is>
          <t>TORSBY</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47979-2019</t>
        </is>
      </c>
      <c r="B1491" s="1" t="n">
        <v>43725</v>
      </c>
      <c r="C1491" s="1" t="n">
        <v>45736</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47840-2019</t>
        </is>
      </c>
      <c r="B1492" s="1" t="n">
        <v>43725</v>
      </c>
      <c r="C1492" s="1" t="n">
        <v>45736</v>
      </c>
      <c r="D1492" t="inlineStr">
        <is>
          <t>VÄRMLANDS LÄN</t>
        </is>
      </c>
      <c r="E1492" t="inlineStr">
        <is>
          <t>EDA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47951-2019</t>
        </is>
      </c>
      <c r="B1493" s="1" t="n">
        <v>43725</v>
      </c>
      <c r="C1493" s="1" t="n">
        <v>45736</v>
      </c>
      <c r="D1493" t="inlineStr">
        <is>
          <t>VÄRMLANDS LÄN</t>
        </is>
      </c>
      <c r="E1493" t="inlineStr">
        <is>
          <t>EDA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48040-2019</t>
        </is>
      </c>
      <c r="B1494" s="1" t="n">
        <v>43725</v>
      </c>
      <c r="C1494" s="1" t="n">
        <v>45736</v>
      </c>
      <c r="D1494" t="inlineStr">
        <is>
          <t>VÄRMLANDS LÄN</t>
        </is>
      </c>
      <c r="E1494" t="inlineStr">
        <is>
          <t>TORSBY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48090-2019</t>
        </is>
      </c>
      <c r="B1495" s="1" t="n">
        <v>43725</v>
      </c>
      <c r="C1495" s="1" t="n">
        <v>45736</v>
      </c>
      <c r="D1495" t="inlineStr">
        <is>
          <t>VÄRMLANDS LÄN</t>
        </is>
      </c>
      <c r="E1495" t="inlineStr">
        <is>
          <t>SUNNE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48077-2019</t>
        </is>
      </c>
      <c r="B1496" s="1" t="n">
        <v>43725</v>
      </c>
      <c r="C1496" s="1" t="n">
        <v>45736</v>
      </c>
      <c r="D1496" t="inlineStr">
        <is>
          <t>VÄRMLANDS LÄN</t>
        </is>
      </c>
      <c r="E1496" t="inlineStr">
        <is>
          <t>ARVIKA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48008-2019</t>
        </is>
      </c>
      <c r="B1497" s="1" t="n">
        <v>43725</v>
      </c>
      <c r="C1497" s="1" t="n">
        <v>45736</v>
      </c>
      <c r="D1497" t="inlineStr">
        <is>
          <t>VÄRMLANDS LÄN</t>
        </is>
      </c>
      <c r="E1497" t="inlineStr">
        <is>
          <t>SÄFFLE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47938-2019</t>
        </is>
      </c>
      <c r="B1498" s="1" t="n">
        <v>43725</v>
      </c>
      <c r="C1498" s="1" t="n">
        <v>45736</v>
      </c>
      <c r="D1498" t="inlineStr">
        <is>
          <t>VÄRMLANDS LÄN</t>
        </is>
      </c>
      <c r="E1498" t="inlineStr">
        <is>
          <t>HAGFORS</t>
        </is>
      </c>
      <c r="F1498" t="inlineStr">
        <is>
          <t>Bergvik skog väst AB</t>
        </is>
      </c>
      <c r="G1498" t="n">
        <v>13.3</v>
      </c>
      <c r="H1498" t="n">
        <v>0</v>
      </c>
      <c r="I1498" t="n">
        <v>0</v>
      </c>
      <c r="J1498" t="n">
        <v>0</v>
      </c>
      <c r="K1498" t="n">
        <v>0</v>
      </c>
      <c r="L1498" t="n">
        <v>0</v>
      </c>
      <c r="M1498" t="n">
        <v>0</v>
      </c>
      <c r="N1498" t="n">
        <v>0</v>
      </c>
      <c r="O1498" t="n">
        <v>0</v>
      </c>
      <c r="P1498" t="n">
        <v>0</v>
      </c>
      <c r="Q1498" t="n">
        <v>0</v>
      </c>
      <c r="R1498" s="2" t="inlineStr"/>
    </row>
    <row r="1499" ht="15" customHeight="1">
      <c r="A1499" t="inlineStr">
        <is>
          <t>A 48026-2019</t>
        </is>
      </c>
      <c r="B1499" s="1" t="n">
        <v>43725</v>
      </c>
      <c r="C1499" s="1" t="n">
        <v>45736</v>
      </c>
      <c r="D1499" t="inlineStr">
        <is>
          <t>VÄRMLANDS LÄN</t>
        </is>
      </c>
      <c r="E1499" t="inlineStr">
        <is>
          <t>ARVIKA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48346-2019</t>
        </is>
      </c>
      <c r="B1500" s="1" t="n">
        <v>43726</v>
      </c>
      <c r="C1500" s="1" t="n">
        <v>45736</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48366-2019</t>
        </is>
      </c>
      <c r="B1501" s="1" t="n">
        <v>43726</v>
      </c>
      <c r="C1501" s="1" t="n">
        <v>45736</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48145-2019</t>
        </is>
      </c>
      <c r="B1502" s="1" t="n">
        <v>43726</v>
      </c>
      <c r="C1502" s="1" t="n">
        <v>45736</v>
      </c>
      <c r="D1502" t="inlineStr">
        <is>
          <t>VÄRMLANDS LÄN</t>
        </is>
      </c>
      <c r="E1502" t="inlineStr">
        <is>
          <t>SUNNE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48226-2019</t>
        </is>
      </c>
      <c r="B1503" s="1" t="n">
        <v>43726</v>
      </c>
      <c r="C1503" s="1" t="n">
        <v>45736</v>
      </c>
      <c r="D1503" t="inlineStr">
        <is>
          <t>VÄRMLANDS LÄN</t>
        </is>
      </c>
      <c r="E1503" t="inlineStr">
        <is>
          <t>MUNKFORS</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48524-2019</t>
        </is>
      </c>
      <c r="B1504" s="1" t="n">
        <v>43727</v>
      </c>
      <c r="C1504" s="1" t="n">
        <v>45736</v>
      </c>
      <c r="D1504" t="inlineStr">
        <is>
          <t>VÄRMLANDS LÄN</t>
        </is>
      </c>
      <c r="E1504" t="inlineStr">
        <is>
          <t>HAGFORS</t>
        </is>
      </c>
      <c r="F1504" t="inlineStr">
        <is>
          <t>Bergvik skog väst AB</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48528-2019</t>
        </is>
      </c>
      <c r="B1505" s="1" t="n">
        <v>43727</v>
      </c>
      <c r="C1505" s="1" t="n">
        <v>45736</v>
      </c>
      <c r="D1505" t="inlineStr">
        <is>
          <t>VÄRMLANDS LÄN</t>
        </is>
      </c>
      <c r="E1505" t="inlineStr">
        <is>
          <t>SÄFFLE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49041-2019</t>
        </is>
      </c>
      <c r="B1506" s="1" t="n">
        <v>43727</v>
      </c>
      <c r="C1506" s="1" t="n">
        <v>45736</v>
      </c>
      <c r="D1506" t="inlineStr">
        <is>
          <t>VÄRMLANDS LÄN</t>
        </is>
      </c>
      <c r="E1506" t="inlineStr">
        <is>
          <t>ÅRJÄNG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48844-2019</t>
        </is>
      </c>
      <c r="B1507" s="1" t="n">
        <v>43727</v>
      </c>
      <c r="C1507" s="1" t="n">
        <v>45736</v>
      </c>
      <c r="D1507" t="inlineStr">
        <is>
          <t>VÄRMLANDS LÄN</t>
        </is>
      </c>
      <c r="E1507" t="inlineStr">
        <is>
          <t>ÅRJÄNG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48857-2019</t>
        </is>
      </c>
      <c r="B1508" s="1" t="n">
        <v>43727</v>
      </c>
      <c r="C1508" s="1" t="n">
        <v>45736</v>
      </c>
      <c r="D1508" t="inlineStr">
        <is>
          <t>VÄRMLANDS LÄN</t>
        </is>
      </c>
      <c r="E1508" t="inlineStr">
        <is>
          <t>ÅRJÄNG</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49550-2019</t>
        </is>
      </c>
      <c r="B1509" s="1" t="n">
        <v>43727</v>
      </c>
      <c r="C1509" s="1" t="n">
        <v>45736</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48549-2019</t>
        </is>
      </c>
      <c r="B1510" s="1" t="n">
        <v>43727</v>
      </c>
      <c r="C1510" s="1" t="n">
        <v>45736</v>
      </c>
      <c r="D1510" t="inlineStr">
        <is>
          <t>VÄRMLANDS LÄN</t>
        </is>
      </c>
      <c r="E1510" t="inlineStr">
        <is>
          <t>ARVIKA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48428-2019</t>
        </is>
      </c>
      <c r="B1511" s="1" t="n">
        <v>43727</v>
      </c>
      <c r="C1511" s="1" t="n">
        <v>45736</v>
      </c>
      <c r="D1511" t="inlineStr">
        <is>
          <t>VÄRMLANDS LÄN</t>
        </is>
      </c>
      <c r="E1511" t="inlineStr">
        <is>
          <t>ARVIKA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48925-2019</t>
        </is>
      </c>
      <c r="B1512" s="1" t="n">
        <v>43728</v>
      </c>
      <c r="C1512" s="1" t="n">
        <v>45736</v>
      </c>
      <c r="D1512" t="inlineStr">
        <is>
          <t>VÄRMLANDS LÄN</t>
        </is>
      </c>
      <c r="E1512" t="inlineStr">
        <is>
          <t>ÅRJÄNG</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48892-2019</t>
        </is>
      </c>
      <c r="B1513" s="1" t="n">
        <v>43728</v>
      </c>
      <c r="C1513" s="1" t="n">
        <v>45736</v>
      </c>
      <c r="D1513" t="inlineStr">
        <is>
          <t>VÄRMLANDS LÄN</t>
        </is>
      </c>
      <c r="E1513" t="inlineStr">
        <is>
          <t>ARVIKA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48936-2019</t>
        </is>
      </c>
      <c r="B1514" s="1" t="n">
        <v>43728</v>
      </c>
      <c r="C1514" s="1" t="n">
        <v>45736</v>
      </c>
      <c r="D1514" t="inlineStr">
        <is>
          <t>VÄRMLANDS LÄN</t>
        </is>
      </c>
      <c r="E1514" t="inlineStr">
        <is>
          <t>FILIPSTAD</t>
        </is>
      </c>
      <c r="F1514" t="inlineStr">
        <is>
          <t>Bergvik skog väst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49577-2019</t>
        </is>
      </c>
      <c r="B1515" s="1" t="n">
        <v>43730</v>
      </c>
      <c r="C1515" s="1" t="n">
        <v>45736</v>
      </c>
      <c r="D1515" t="inlineStr">
        <is>
          <t>VÄRMLANDS LÄN</t>
        </is>
      </c>
      <c r="E1515" t="inlineStr">
        <is>
          <t>ÅRJÄNG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49333-2019</t>
        </is>
      </c>
      <c r="B1516" s="1" t="n">
        <v>43731</v>
      </c>
      <c r="C1516" s="1" t="n">
        <v>45736</v>
      </c>
      <c r="D1516" t="inlineStr">
        <is>
          <t>VÄRMLANDS LÄN</t>
        </is>
      </c>
      <c r="E1516" t="inlineStr">
        <is>
          <t>KRISTINEHAMN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50482-2019</t>
        </is>
      </c>
      <c r="B1517" s="1" t="n">
        <v>43731</v>
      </c>
      <c r="C1517" s="1" t="n">
        <v>45736</v>
      </c>
      <c r="D1517" t="inlineStr">
        <is>
          <t>VÄRMLANDS LÄN</t>
        </is>
      </c>
      <c r="E1517" t="inlineStr">
        <is>
          <t>ÅRJÄNG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49509-2019</t>
        </is>
      </c>
      <c r="B1518" s="1" t="n">
        <v>43732</v>
      </c>
      <c r="C1518" s="1" t="n">
        <v>45736</v>
      </c>
      <c r="D1518" t="inlineStr">
        <is>
          <t>VÄRMLANDS LÄN</t>
        </is>
      </c>
      <c r="E1518" t="inlineStr">
        <is>
          <t>SUNNE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50045-2019</t>
        </is>
      </c>
      <c r="B1519" s="1" t="n">
        <v>43732</v>
      </c>
      <c r="C1519" s="1" t="n">
        <v>45736</v>
      </c>
      <c r="D1519" t="inlineStr">
        <is>
          <t>VÄRMLANDS LÄN</t>
        </is>
      </c>
      <c r="E1519" t="inlineStr">
        <is>
          <t>HAGFORS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49650-2019</t>
        </is>
      </c>
      <c r="B1520" s="1" t="n">
        <v>43732</v>
      </c>
      <c r="C1520" s="1" t="n">
        <v>45736</v>
      </c>
      <c r="D1520" t="inlineStr">
        <is>
          <t>VÄRMLANDS LÄN</t>
        </is>
      </c>
      <c r="E1520" t="inlineStr">
        <is>
          <t>ÅRJÄNG</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49657-2019</t>
        </is>
      </c>
      <c r="B1521" s="1" t="n">
        <v>43732</v>
      </c>
      <c r="C1521" s="1" t="n">
        <v>45736</v>
      </c>
      <c r="D1521" t="inlineStr">
        <is>
          <t>VÄRMLANDS LÄN</t>
        </is>
      </c>
      <c r="E1521" t="inlineStr">
        <is>
          <t>SÄFFLE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49766-2019</t>
        </is>
      </c>
      <c r="B1522" s="1" t="n">
        <v>43733</v>
      </c>
      <c r="C1522" s="1" t="n">
        <v>45736</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49779-2019</t>
        </is>
      </c>
      <c r="B1523" s="1" t="n">
        <v>43733</v>
      </c>
      <c r="C1523" s="1" t="n">
        <v>45736</v>
      </c>
      <c r="D1523" t="inlineStr">
        <is>
          <t>VÄRMLANDS LÄN</t>
        </is>
      </c>
      <c r="E1523" t="inlineStr">
        <is>
          <t>SUNNE</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49781-2019</t>
        </is>
      </c>
      <c r="B1524" s="1" t="n">
        <v>43733</v>
      </c>
      <c r="C1524" s="1" t="n">
        <v>45736</v>
      </c>
      <c r="D1524" t="inlineStr">
        <is>
          <t>VÄRMLANDS LÄN</t>
        </is>
      </c>
      <c r="E1524" t="inlineStr">
        <is>
          <t>SUNNE</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49860-2019</t>
        </is>
      </c>
      <c r="B1525" s="1" t="n">
        <v>43733</v>
      </c>
      <c r="C1525" s="1" t="n">
        <v>45736</v>
      </c>
      <c r="D1525" t="inlineStr">
        <is>
          <t>VÄRMLANDS LÄN</t>
        </is>
      </c>
      <c r="E1525" t="inlineStr">
        <is>
          <t>KRISTINEHAMN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49774-2019</t>
        </is>
      </c>
      <c r="B1526" s="1" t="n">
        <v>43733</v>
      </c>
      <c r="C1526" s="1" t="n">
        <v>45736</v>
      </c>
      <c r="D1526" t="inlineStr">
        <is>
          <t>VÄRMLANDS LÄN</t>
        </is>
      </c>
      <c r="E1526" t="inlineStr">
        <is>
          <t>SUNNE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49965-2019</t>
        </is>
      </c>
      <c r="B1527" s="1" t="n">
        <v>43733</v>
      </c>
      <c r="C1527" s="1" t="n">
        <v>45736</v>
      </c>
      <c r="D1527" t="inlineStr">
        <is>
          <t>VÄRMLANDS LÄN</t>
        </is>
      </c>
      <c r="E1527" t="inlineStr">
        <is>
          <t>ARVIKA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49976-2019</t>
        </is>
      </c>
      <c r="B1528" s="1" t="n">
        <v>43733</v>
      </c>
      <c r="C1528" s="1" t="n">
        <v>45736</v>
      </c>
      <c r="D1528" t="inlineStr">
        <is>
          <t>VÄRMLANDS LÄN</t>
        </is>
      </c>
      <c r="E1528" t="inlineStr">
        <is>
          <t>SÄFFLE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51551-2019</t>
        </is>
      </c>
      <c r="B1529" s="1" t="n">
        <v>43733</v>
      </c>
      <c r="C1529" s="1" t="n">
        <v>45736</v>
      </c>
      <c r="D1529" t="inlineStr">
        <is>
          <t>VÄRMLANDS LÄN</t>
        </is>
      </c>
      <c r="E1529" t="inlineStr">
        <is>
          <t>KARLSTAD</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50057-2019</t>
        </is>
      </c>
      <c r="B1530" s="1" t="n">
        <v>43734</v>
      </c>
      <c r="C1530" s="1" t="n">
        <v>45736</v>
      </c>
      <c r="D1530" t="inlineStr">
        <is>
          <t>VÄRMLANDS LÄN</t>
        </is>
      </c>
      <c r="E1530" t="inlineStr">
        <is>
          <t>ÅRJÄNG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51725-2019</t>
        </is>
      </c>
      <c r="B1531" s="1" t="n">
        <v>43734</v>
      </c>
      <c r="C1531" s="1" t="n">
        <v>45736</v>
      </c>
      <c r="D1531" t="inlineStr">
        <is>
          <t>VÄRMLANDS LÄN</t>
        </is>
      </c>
      <c r="E1531" t="inlineStr">
        <is>
          <t>ÅRJÄNG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51497-2019</t>
        </is>
      </c>
      <c r="B1532" s="1" t="n">
        <v>43734</v>
      </c>
      <c r="C1532" s="1" t="n">
        <v>45736</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51771-2019</t>
        </is>
      </c>
      <c r="B1533" s="1" t="n">
        <v>43734</v>
      </c>
      <c r="C1533" s="1" t="n">
        <v>45736</v>
      </c>
      <c r="D1533" t="inlineStr">
        <is>
          <t>VÄRMLANDS LÄN</t>
        </is>
      </c>
      <c r="E1533" t="inlineStr">
        <is>
          <t>SUNNE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50021-2019</t>
        </is>
      </c>
      <c r="B1534" s="1" t="n">
        <v>43734</v>
      </c>
      <c r="C1534" s="1" t="n">
        <v>45736</v>
      </c>
      <c r="D1534" t="inlineStr">
        <is>
          <t>VÄRMLANDS LÄN</t>
        </is>
      </c>
      <c r="E1534" t="inlineStr">
        <is>
          <t>SUNNE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50351-2019</t>
        </is>
      </c>
      <c r="B1535" s="1" t="n">
        <v>43735</v>
      </c>
      <c r="C1535" s="1" t="n">
        <v>45736</v>
      </c>
      <c r="D1535" t="inlineStr">
        <is>
          <t>VÄRMLANDS LÄN</t>
        </is>
      </c>
      <c r="E1535" t="inlineStr">
        <is>
          <t>STORFORS</t>
        </is>
      </c>
      <c r="F1535" t="inlineStr">
        <is>
          <t>Bergvik skog väst AB</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50428-2019</t>
        </is>
      </c>
      <c r="B1536" s="1" t="n">
        <v>43735</v>
      </c>
      <c r="C1536" s="1" t="n">
        <v>45736</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50540-2019</t>
        </is>
      </c>
      <c r="B1537" s="1" t="n">
        <v>43735</v>
      </c>
      <c r="C1537" s="1" t="n">
        <v>45736</v>
      </c>
      <c r="D1537" t="inlineStr">
        <is>
          <t>VÄRMLANDS LÄN</t>
        </is>
      </c>
      <c r="E1537" t="inlineStr">
        <is>
          <t>ARVIKA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52319-2019</t>
        </is>
      </c>
      <c r="B1538" s="1" t="n">
        <v>43735</v>
      </c>
      <c r="C1538" s="1" t="n">
        <v>45736</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52326-2019</t>
        </is>
      </c>
      <c r="B1539" s="1" t="n">
        <v>43735</v>
      </c>
      <c r="C1539" s="1" t="n">
        <v>45736</v>
      </c>
      <c r="D1539" t="inlineStr">
        <is>
          <t>VÄRMLANDS LÄN</t>
        </is>
      </c>
      <c r="E1539" t="inlineStr">
        <is>
          <t>TORSBY</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52317-2019</t>
        </is>
      </c>
      <c r="B1540" s="1" t="n">
        <v>43735</v>
      </c>
      <c r="C1540" s="1" t="n">
        <v>45736</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50309-2019</t>
        </is>
      </c>
      <c r="B1541" s="1" t="n">
        <v>43735</v>
      </c>
      <c r="C1541" s="1" t="n">
        <v>45736</v>
      </c>
      <c r="D1541" t="inlineStr">
        <is>
          <t>VÄRMLANDS LÄN</t>
        </is>
      </c>
      <c r="E1541" t="inlineStr">
        <is>
          <t>ARVIKA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50892-2019</t>
        </is>
      </c>
      <c r="B1542" s="1" t="n">
        <v>43738</v>
      </c>
      <c r="C1542" s="1" t="n">
        <v>45736</v>
      </c>
      <c r="D1542" t="inlineStr">
        <is>
          <t>VÄRMLANDS LÄN</t>
        </is>
      </c>
      <c r="E1542" t="inlineStr">
        <is>
          <t>HAGFORS</t>
        </is>
      </c>
      <c r="F1542" t="inlineStr">
        <is>
          <t>Bergvik skog väst AB</t>
        </is>
      </c>
      <c r="G1542" t="n">
        <v>26.4</v>
      </c>
      <c r="H1542" t="n">
        <v>0</v>
      </c>
      <c r="I1542" t="n">
        <v>0</v>
      </c>
      <c r="J1542" t="n">
        <v>0</v>
      </c>
      <c r="K1542" t="n">
        <v>0</v>
      </c>
      <c r="L1542" t="n">
        <v>0</v>
      </c>
      <c r="M1542" t="n">
        <v>0</v>
      </c>
      <c r="N1542" t="n">
        <v>0</v>
      </c>
      <c r="O1542" t="n">
        <v>0</v>
      </c>
      <c r="P1542" t="n">
        <v>0</v>
      </c>
      <c r="Q1542" t="n">
        <v>0</v>
      </c>
      <c r="R1542" s="2" t="inlineStr"/>
    </row>
    <row r="1543" ht="15" customHeight="1">
      <c r="A1543" t="inlineStr">
        <is>
          <t>A 50766-2019</t>
        </is>
      </c>
      <c r="B1543" s="1" t="n">
        <v>43738</v>
      </c>
      <c r="C1543" s="1" t="n">
        <v>45736</v>
      </c>
      <c r="D1543" t="inlineStr">
        <is>
          <t>VÄRMLANDS LÄN</t>
        </is>
      </c>
      <c r="E1543" t="inlineStr">
        <is>
          <t>SÄFFLE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50933-2019</t>
        </is>
      </c>
      <c r="B1544" s="1" t="n">
        <v>43738</v>
      </c>
      <c r="C1544" s="1" t="n">
        <v>45736</v>
      </c>
      <c r="D1544" t="inlineStr">
        <is>
          <t>VÄRMLANDS LÄN</t>
        </is>
      </c>
      <c r="E1544" t="inlineStr">
        <is>
          <t>FILIPSTAD</t>
        </is>
      </c>
      <c r="F1544" t="inlineStr">
        <is>
          <t>Bergvik skog väst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50905-2019</t>
        </is>
      </c>
      <c r="B1545" s="1" t="n">
        <v>43738</v>
      </c>
      <c r="C1545" s="1" t="n">
        <v>45736</v>
      </c>
      <c r="D1545" t="inlineStr">
        <is>
          <t>VÄRMLANDS LÄN</t>
        </is>
      </c>
      <c r="E1545" t="inlineStr">
        <is>
          <t>SUNNE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50939-2019</t>
        </is>
      </c>
      <c r="B1546" s="1" t="n">
        <v>43738</v>
      </c>
      <c r="C1546" s="1" t="n">
        <v>45736</v>
      </c>
      <c r="D1546" t="inlineStr">
        <is>
          <t>VÄRMLANDS LÄN</t>
        </is>
      </c>
      <c r="E1546" t="inlineStr">
        <is>
          <t>FILIPSTAD</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52388-2019</t>
        </is>
      </c>
      <c r="B1547" s="1" t="n">
        <v>43738</v>
      </c>
      <c r="C1547" s="1" t="n">
        <v>45736</v>
      </c>
      <c r="D1547" t="inlineStr">
        <is>
          <t>VÄRMLANDS LÄN</t>
        </is>
      </c>
      <c r="E1547" t="inlineStr">
        <is>
          <t>SÄFFLE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50924-2019</t>
        </is>
      </c>
      <c r="B1548" s="1" t="n">
        <v>43738</v>
      </c>
      <c r="C1548" s="1" t="n">
        <v>45736</v>
      </c>
      <c r="D1548" t="inlineStr">
        <is>
          <t>VÄRMLANDS LÄN</t>
        </is>
      </c>
      <c r="E1548" t="inlineStr">
        <is>
          <t>HAGFORS</t>
        </is>
      </c>
      <c r="F1548" t="inlineStr">
        <is>
          <t>Bergvik skog väst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50953-2019</t>
        </is>
      </c>
      <c r="B1549" s="1" t="n">
        <v>43738</v>
      </c>
      <c r="C1549" s="1" t="n">
        <v>45736</v>
      </c>
      <c r="D1549" t="inlineStr">
        <is>
          <t>VÄRMLANDS LÄN</t>
        </is>
      </c>
      <c r="E1549" t="inlineStr">
        <is>
          <t>ARVIKA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50840-2019</t>
        </is>
      </c>
      <c r="B1550" s="1" t="n">
        <v>43738</v>
      </c>
      <c r="C1550" s="1" t="n">
        <v>45736</v>
      </c>
      <c r="D1550" t="inlineStr">
        <is>
          <t>VÄRMLANDS LÄN</t>
        </is>
      </c>
      <c r="E1550" t="inlineStr">
        <is>
          <t>FILIPSTAD</t>
        </is>
      </c>
      <c r="F1550" t="inlineStr">
        <is>
          <t>Bergvik skog väst AB</t>
        </is>
      </c>
      <c r="G1550" t="n">
        <v>7.7</v>
      </c>
      <c r="H1550" t="n">
        <v>0</v>
      </c>
      <c r="I1550" t="n">
        <v>0</v>
      </c>
      <c r="J1550" t="n">
        <v>0</v>
      </c>
      <c r="K1550" t="n">
        <v>0</v>
      </c>
      <c r="L1550" t="n">
        <v>0</v>
      </c>
      <c r="M1550" t="n">
        <v>0</v>
      </c>
      <c r="N1550" t="n">
        <v>0</v>
      </c>
      <c r="O1550" t="n">
        <v>0</v>
      </c>
      <c r="P1550" t="n">
        <v>0</v>
      </c>
      <c r="Q1550" t="n">
        <v>0</v>
      </c>
      <c r="R1550" s="2" t="inlineStr"/>
    </row>
    <row r="1551" ht="15" customHeight="1">
      <c r="A1551" t="inlineStr">
        <is>
          <t>A 51260-2019</t>
        </is>
      </c>
      <c r="B1551" s="1" t="n">
        <v>43739</v>
      </c>
      <c r="C1551" s="1" t="n">
        <v>45736</v>
      </c>
      <c r="D1551" t="inlineStr">
        <is>
          <t>VÄRMLANDS LÄN</t>
        </is>
      </c>
      <c r="E1551" t="inlineStr">
        <is>
          <t>FILIPSTAD</t>
        </is>
      </c>
      <c r="F1551" t="inlineStr">
        <is>
          <t>Bergvik skog väst AB</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51254-2019</t>
        </is>
      </c>
      <c r="B1552" s="1" t="n">
        <v>43739</v>
      </c>
      <c r="C1552" s="1" t="n">
        <v>45736</v>
      </c>
      <c r="D1552" t="inlineStr">
        <is>
          <t>VÄRMLANDS LÄN</t>
        </is>
      </c>
      <c r="E1552" t="inlineStr">
        <is>
          <t>TORSBY</t>
        </is>
      </c>
      <c r="F1552" t="inlineStr">
        <is>
          <t>Bergvik skog väst AB</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51301-2019</t>
        </is>
      </c>
      <c r="B1553" s="1" t="n">
        <v>43739</v>
      </c>
      <c r="C1553" s="1" t="n">
        <v>45736</v>
      </c>
      <c r="D1553" t="inlineStr">
        <is>
          <t>VÄRMLANDS LÄN</t>
        </is>
      </c>
      <c r="E1553" t="inlineStr">
        <is>
          <t>ARVIKA</t>
        </is>
      </c>
      <c r="F1553" t="inlineStr">
        <is>
          <t>Kommuner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51082-2019</t>
        </is>
      </c>
      <c r="B1554" s="1" t="n">
        <v>43739</v>
      </c>
      <c r="C1554" s="1" t="n">
        <v>45736</v>
      </c>
      <c r="D1554" t="inlineStr">
        <is>
          <t>VÄRMLANDS LÄN</t>
        </is>
      </c>
      <c r="E1554" t="inlineStr">
        <is>
          <t>EDA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51056-2019</t>
        </is>
      </c>
      <c r="B1555" s="1" t="n">
        <v>43739</v>
      </c>
      <c r="C1555" s="1" t="n">
        <v>45736</v>
      </c>
      <c r="D1555" t="inlineStr">
        <is>
          <t>VÄRMLANDS LÄN</t>
        </is>
      </c>
      <c r="E1555" t="inlineStr">
        <is>
          <t>SUNNE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51404-2019</t>
        </is>
      </c>
      <c r="B1556" s="1" t="n">
        <v>43740</v>
      </c>
      <c r="C1556" s="1" t="n">
        <v>45736</v>
      </c>
      <c r="D1556" t="inlineStr">
        <is>
          <t>VÄRMLANDS LÄN</t>
        </is>
      </c>
      <c r="E1556" t="inlineStr">
        <is>
          <t>SUNNE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51373-2019</t>
        </is>
      </c>
      <c r="B1557" s="1" t="n">
        <v>43740</v>
      </c>
      <c r="C1557" s="1" t="n">
        <v>45736</v>
      </c>
      <c r="D1557" t="inlineStr">
        <is>
          <t>VÄRMLANDS LÄN</t>
        </is>
      </c>
      <c r="E1557" t="inlineStr">
        <is>
          <t>SUNNE</t>
        </is>
      </c>
      <c r="G1557" t="n">
        <v>33.1</v>
      </c>
      <c r="H1557" t="n">
        <v>0</v>
      </c>
      <c r="I1557" t="n">
        <v>0</v>
      </c>
      <c r="J1557" t="n">
        <v>0</v>
      </c>
      <c r="K1557" t="n">
        <v>0</v>
      </c>
      <c r="L1557" t="n">
        <v>0</v>
      </c>
      <c r="M1557" t="n">
        <v>0</v>
      </c>
      <c r="N1557" t="n">
        <v>0</v>
      </c>
      <c r="O1557" t="n">
        <v>0</v>
      </c>
      <c r="P1557" t="n">
        <v>0</v>
      </c>
      <c r="Q1557" t="n">
        <v>0</v>
      </c>
      <c r="R1557" s="2" t="inlineStr"/>
    </row>
    <row r="1558" ht="15" customHeight="1">
      <c r="A1558" t="inlineStr">
        <is>
          <t>A 51613-2019</t>
        </is>
      </c>
      <c r="B1558" s="1" t="n">
        <v>43740</v>
      </c>
      <c r="C1558" s="1" t="n">
        <v>45736</v>
      </c>
      <c r="D1558" t="inlineStr">
        <is>
          <t>VÄRMLANDS LÄN</t>
        </is>
      </c>
      <c r="E1558" t="inlineStr">
        <is>
          <t>ÅRJÄNG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51609-2019</t>
        </is>
      </c>
      <c r="B1559" s="1" t="n">
        <v>43740</v>
      </c>
      <c r="C1559" s="1" t="n">
        <v>45736</v>
      </c>
      <c r="D1559" t="inlineStr">
        <is>
          <t>VÄRMLANDS LÄN</t>
        </is>
      </c>
      <c r="E1559" t="inlineStr">
        <is>
          <t>ÅRJÄNG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53370-2019</t>
        </is>
      </c>
      <c r="B1560" s="1" t="n">
        <v>43740</v>
      </c>
      <c r="C1560" s="1" t="n">
        <v>45736</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52853-2019</t>
        </is>
      </c>
      <c r="B1561" s="1" t="n">
        <v>43740</v>
      </c>
      <c r="C1561" s="1" t="n">
        <v>45736</v>
      </c>
      <c r="D1561" t="inlineStr">
        <is>
          <t>VÄRMLANDS LÄN</t>
        </is>
      </c>
      <c r="E1561" t="inlineStr">
        <is>
          <t>HAGFORS</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51633-2019</t>
        </is>
      </c>
      <c r="B1562" s="1" t="n">
        <v>43740</v>
      </c>
      <c r="C1562" s="1" t="n">
        <v>45736</v>
      </c>
      <c r="D1562" t="inlineStr">
        <is>
          <t>VÄRMLANDS LÄN</t>
        </is>
      </c>
      <c r="E1562" t="inlineStr">
        <is>
          <t>ÅRJÄNG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51741-2019</t>
        </is>
      </c>
      <c r="B1563" s="1" t="n">
        <v>43741</v>
      </c>
      <c r="C1563" s="1" t="n">
        <v>45736</v>
      </c>
      <c r="D1563" t="inlineStr">
        <is>
          <t>VÄRMLANDS LÄN</t>
        </is>
      </c>
      <c r="E1563" t="inlineStr">
        <is>
          <t>SUNNE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51778-2019</t>
        </is>
      </c>
      <c r="B1564" s="1" t="n">
        <v>43741</v>
      </c>
      <c r="C1564" s="1" t="n">
        <v>45736</v>
      </c>
      <c r="D1564" t="inlineStr">
        <is>
          <t>VÄRMLANDS LÄN</t>
        </is>
      </c>
      <c r="E1564" t="inlineStr">
        <is>
          <t>SUNNE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51866-2019</t>
        </is>
      </c>
      <c r="B1565" s="1" t="n">
        <v>43741</v>
      </c>
      <c r="C1565" s="1" t="n">
        <v>45736</v>
      </c>
      <c r="D1565" t="inlineStr">
        <is>
          <t>VÄRMLANDS LÄN</t>
        </is>
      </c>
      <c r="E1565" t="inlineStr">
        <is>
          <t>SÄFFLE</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53618-2019</t>
        </is>
      </c>
      <c r="B1566" s="1" t="n">
        <v>43741</v>
      </c>
      <c r="C1566" s="1" t="n">
        <v>45736</v>
      </c>
      <c r="D1566" t="inlineStr">
        <is>
          <t>VÄRMLANDS LÄN</t>
        </is>
      </c>
      <c r="E1566" t="inlineStr">
        <is>
          <t>SUNNE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53599-2019</t>
        </is>
      </c>
      <c r="B1567" s="1" t="n">
        <v>43741</v>
      </c>
      <c r="C1567" s="1" t="n">
        <v>45736</v>
      </c>
      <c r="D1567" t="inlineStr">
        <is>
          <t>VÄRMLANDS LÄN</t>
        </is>
      </c>
      <c r="E1567" t="inlineStr">
        <is>
          <t>ÅRJÄNG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51800-2019</t>
        </is>
      </c>
      <c r="B1568" s="1" t="n">
        <v>43741</v>
      </c>
      <c r="C1568" s="1" t="n">
        <v>45736</v>
      </c>
      <c r="D1568" t="inlineStr">
        <is>
          <t>VÄRMLANDS LÄN</t>
        </is>
      </c>
      <c r="E1568" t="inlineStr">
        <is>
          <t>SÄFFLE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51748-2019</t>
        </is>
      </c>
      <c r="B1569" s="1" t="n">
        <v>43741</v>
      </c>
      <c r="C1569" s="1" t="n">
        <v>45736</v>
      </c>
      <c r="D1569" t="inlineStr">
        <is>
          <t>VÄRMLANDS LÄN</t>
        </is>
      </c>
      <c r="E1569" t="inlineStr">
        <is>
          <t>SUNNE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51761-2019</t>
        </is>
      </c>
      <c r="B1570" s="1" t="n">
        <v>43741</v>
      </c>
      <c r="C1570" s="1" t="n">
        <v>45736</v>
      </c>
      <c r="D1570" t="inlineStr">
        <is>
          <t>VÄRMLANDS LÄN</t>
        </is>
      </c>
      <c r="E1570" t="inlineStr">
        <is>
          <t>KARLSTAD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53843-2019</t>
        </is>
      </c>
      <c r="B1571" s="1" t="n">
        <v>43742</v>
      </c>
      <c r="C1571" s="1" t="n">
        <v>45736</v>
      </c>
      <c r="D1571" t="inlineStr">
        <is>
          <t>VÄRMLANDS LÄN</t>
        </is>
      </c>
      <c r="E1571" t="inlineStr">
        <is>
          <t>SÄFFLE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52186-2019</t>
        </is>
      </c>
      <c r="B1572" s="1" t="n">
        <v>43742</v>
      </c>
      <c r="C1572" s="1" t="n">
        <v>45736</v>
      </c>
      <c r="D1572" t="inlineStr">
        <is>
          <t>VÄRMLANDS LÄN</t>
        </is>
      </c>
      <c r="E1572" t="inlineStr">
        <is>
          <t>TORSBY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52126-2019</t>
        </is>
      </c>
      <c r="B1573" s="1" t="n">
        <v>43742</v>
      </c>
      <c r="C1573" s="1" t="n">
        <v>45736</v>
      </c>
      <c r="D1573" t="inlineStr">
        <is>
          <t>VÄRMLANDS LÄN</t>
        </is>
      </c>
      <c r="E1573" t="inlineStr">
        <is>
          <t>SUNNE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53932-2019</t>
        </is>
      </c>
      <c r="B1574" s="1" t="n">
        <v>43742</v>
      </c>
      <c r="C1574" s="1" t="n">
        <v>45736</v>
      </c>
      <c r="D1574" t="inlineStr">
        <is>
          <t>VÄRMLANDS LÄN</t>
        </is>
      </c>
      <c r="E1574" t="inlineStr">
        <is>
          <t>FILIPSTAD</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54015-2019</t>
        </is>
      </c>
      <c r="B1575" s="1" t="n">
        <v>43742</v>
      </c>
      <c r="C1575" s="1" t="n">
        <v>45736</v>
      </c>
      <c r="D1575" t="inlineStr">
        <is>
          <t>VÄRMLANDS LÄN</t>
        </is>
      </c>
      <c r="E1575" t="inlineStr">
        <is>
          <t>ÅRJÄNG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53829-2019</t>
        </is>
      </c>
      <c r="B1576" s="1" t="n">
        <v>43742</v>
      </c>
      <c r="C1576" s="1" t="n">
        <v>45736</v>
      </c>
      <c r="D1576" t="inlineStr">
        <is>
          <t>VÄRMLANDS LÄN</t>
        </is>
      </c>
      <c r="E1576" t="inlineStr">
        <is>
          <t>SÄFFLE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52283-2019</t>
        </is>
      </c>
      <c r="B1577" s="1" t="n">
        <v>43744</v>
      </c>
      <c r="C1577" s="1" t="n">
        <v>45736</v>
      </c>
      <c r="D1577" t="inlineStr">
        <is>
          <t>VÄRMLANDS LÄN</t>
        </is>
      </c>
      <c r="E1577" t="inlineStr">
        <is>
          <t>SUNNE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52285-2019</t>
        </is>
      </c>
      <c r="B1578" s="1" t="n">
        <v>43744</v>
      </c>
      <c r="C1578" s="1" t="n">
        <v>45736</v>
      </c>
      <c r="D1578" t="inlineStr">
        <is>
          <t>VÄRMLANDS LÄN</t>
        </is>
      </c>
      <c r="E1578" t="inlineStr">
        <is>
          <t>SUNNE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52311-2019</t>
        </is>
      </c>
      <c r="B1579" s="1" t="n">
        <v>43745</v>
      </c>
      <c r="C1579" s="1" t="n">
        <v>45736</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52395-2019</t>
        </is>
      </c>
      <c r="B1580" s="1" t="n">
        <v>43745</v>
      </c>
      <c r="C1580" s="1" t="n">
        <v>45736</v>
      </c>
      <c r="D1580" t="inlineStr">
        <is>
          <t>VÄRMLANDS LÄN</t>
        </is>
      </c>
      <c r="E1580" t="inlineStr">
        <is>
          <t>SUNNE</t>
        </is>
      </c>
      <c r="F1580" t="inlineStr">
        <is>
          <t>Kommuner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52490-2019</t>
        </is>
      </c>
      <c r="B1581" s="1" t="n">
        <v>43745</v>
      </c>
      <c r="C1581" s="1" t="n">
        <v>45736</v>
      </c>
      <c r="D1581" t="inlineStr">
        <is>
          <t>VÄRMLANDS LÄN</t>
        </is>
      </c>
      <c r="E1581" t="inlineStr">
        <is>
          <t>MUNKFORS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52392-2019</t>
        </is>
      </c>
      <c r="B1582" s="1" t="n">
        <v>43745</v>
      </c>
      <c r="C1582" s="1" t="n">
        <v>45736</v>
      </c>
      <c r="D1582" t="inlineStr">
        <is>
          <t>VÄRMLANDS LÄN</t>
        </is>
      </c>
      <c r="E1582" t="inlineStr">
        <is>
          <t>KARLSTAD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52559-2019</t>
        </is>
      </c>
      <c r="B1583" s="1" t="n">
        <v>43745</v>
      </c>
      <c r="C1583" s="1" t="n">
        <v>45736</v>
      </c>
      <c r="D1583" t="inlineStr">
        <is>
          <t>VÄRMLANDS LÄN</t>
        </is>
      </c>
      <c r="E1583" t="inlineStr">
        <is>
          <t>SUNNE</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52674-2019</t>
        </is>
      </c>
      <c r="B1584" s="1" t="n">
        <v>43746</v>
      </c>
      <c r="C1584" s="1" t="n">
        <v>45736</v>
      </c>
      <c r="D1584" t="inlineStr">
        <is>
          <t>VÄRMLANDS LÄN</t>
        </is>
      </c>
      <c r="E1584" t="inlineStr">
        <is>
          <t>TORSBY</t>
        </is>
      </c>
      <c r="F1584" t="inlineStr">
        <is>
          <t>Bergvik skog väst AB</t>
        </is>
      </c>
      <c r="G1584" t="n">
        <v>26.4</v>
      </c>
      <c r="H1584" t="n">
        <v>0</v>
      </c>
      <c r="I1584" t="n">
        <v>0</v>
      </c>
      <c r="J1584" t="n">
        <v>0</v>
      </c>
      <c r="K1584" t="n">
        <v>0</v>
      </c>
      <c r="L1584" t="n">
        <v>0</v>
      </c>
      <c r="M1584" t="n">
        <v>0</v>
      </c>
      <c r="N1584" t="n">
        <v>0</v>
      </c>
      <c r="O1584" t="n">
        <v>0</v>
      </c>
      <c r="P1584" t="n">
        <v>0</v>
      </c>
      <c r="Q1584" t="n">
        <v>0</v>
      </c>
      <c r="R1584" s="2" t="inlineStr"/>
    </row>
    <row r="1585" ht="15" customHeight="1">
      <c r="A1585" t="inlineStr">
        <is>
          <t>A 52885-2019</t>
        </is>
      </c>
      <c r="B1585" s="1" t="n">
        <v>43746</v>
      </c>
      <c r="C1585" s="1" t="n">
        <v>45736</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54074-2019</t>
        </is>
      </c>
      <c r="B1586" s="1" t="n">
        <v>43746</v>
      </c>
      <c r="C1586" s="1" t="n">
        <v>45736</v>
      </c>
      <c r="D1586" t="inlineStr">
        <is>
          <t>VÄRMLANDS LÄN</t>
        </is>
      </c>
      <c r="E1586" t="inlineStr">
        <is>
          <t>SUNNE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54347-2019</t>
        </is>
      </c>
      <c r="B1587" s="1" t="n">
        <v>43746</v>
      </c>
      <c r="C1587" s="1" t="n">
        <v>45736</v>
      </c>
      <c r="D1587" t="inlineStr">
        <is>
          <t>VÄRMLANDS LÄN</t>
        </is>
      </c>
      <c r="E1587" t="inlineStr">
        <is>
          <t>SÄFFLE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54691-2019</t>
        </is>
      </c>
      <c r="B1588" s="1" t="n">
        <v>43746</v>
      </c>
      <c r="C1588" s="1" t="n">
        <v>45736</v>
      </c>
      <c r="D1588" t="inlineStr">
        <is>
          <t>VÄRMLANDS LÄN</t>
        </is>
      </c>
      <c r="E1588" t="inlineStr">
        <is>
          <t>SUNNE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53041-2019</t>
        </is>
      </c>
      <c r="B1589" s="1" t="n">
        <v>43747</v>
      </c>
      <c r="C1589" s="1" t="n">
        <v>45736</v>
      </c>
      <c r="D1589" t="inlineStr">
        <is>
          <t>VÄRMLANDS LÄN</t>
        </is>
      </c>
      <c r="E1589" t="inlineStr">
        <is>
          <t>KARLSTAD</t>
        </is>
      </c>
      <c r="F1589" t="inlineStr">
        <is>
          <t>Kyrkan</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54442-2019</t>
        </is>
      </c>
      <c r="B1590" s="1" t="n">
        <v>43747</v>
      </c>
      <c r="C1590" s="1" t="n">
        <v>45736</v>
      </c>
      <c r="D1590" t="inlineStr">
        <is>
          <t>VÄRMLANDS LÄN</t>
        </is>
      </c>
      <c r="E1590" t="inlineStr">
        <is>
          <t>KARLSTAD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53147-2019</t>
        </is>
      </c>
      <c r="B1591" s="1" t="n">
        <v>43747</v>
      </c>
      <c r="C1591" s="1" t="n">
        <v>45736</v>
      </c>
      <c r="D1591" t="inlineStr">
        <is>
          <t>VÄRMLANDS LÄN</t>
        </is>
      </c>
      <c r="E1591" t="inlineStr">
        <is>
          <t>EDA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54438-2019</t>
        </is>
      </c>
      <c r="B1592" s="1" t="n">
        <v>43747</v>
      </c>
      <c r="C1592" s="1" t="n">
        <v>45736</v>
      </c>
      <c r="D1592" t="inlineStr">
        <is>
          <t>VÄRMLANDS LÄN</t>
        </is>
      </c>
      <c r="E1592" t="inlineStr">
        <is>
          <t>KARLSTAD</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53236-2019</t>
        </is>
      </c>
      <c r="B1593" s="1" t="n">
        <v>43748</v>
      </c>
      <c r="C1593" s="1" t="n">
        <v>45736</v>
      </c>
      <c r="D1593" t="inlineStr">
        <is>
          <t>VÄRMLANDS LÄN</t>
        </is>
      </c>
      <c r="E1593" t="inlineStr">
        <is>
          <t>KRISTINEHAMN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53271-2019</t>
        </is>
      </c>
      <c r="B1594" s="1" t="n">
        <v>43748</v>
      </c>
      <c r="C1594" s="1" t="n">
        <v>45736</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53451-2019</t>
        </is>
      </c>
      <c r="B1595" s="1" t="n">
        <v>43748</v>
      </c>
      <c r="C1595" s="1" t="n">
        <v>45736</v>
      </c>
      <c r="D1595" t="inlineStr">
        <is>
          <t>VÄRMLANDS LÄN</t>
        </is>
      </c>
      <c r="E1595" t="inlineStr">
        <is>
          <t>KARLSTAD</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54616-2019</t>
        </is>
      </c>
      <c r="B1596" s="1" t="n">
        <v>43748</v>
      </c>
      <c r="C1596" s="1" t="n">
        <v>45736</v>
      </c>
      <c r="D1596" t="inlineStr">
        <is>
          <t>VÄRMLANDS LÄN</t>
        </is>
      </c>
      <c r="E1596" t="inlineStr">
        <is>
          <t>KRISTINEHAMN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54764-2019</t>
        </is>
      </c>
      <c r="B1597" s="1" t="n">
        <v>43748</v>
      </c>
      <c r="C1597" s="1" t="n">
        <v>45736</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54599-2019</t>
        </is>
      </c>
      <c r="B1598" s="1" t="n">
        <v>43748</v>
      </c>
      <c r="C1598" s="1" t="n">
        <v>45736</v>
      </c>
      <c r="D1598" t="inlineStr">
        <is>
          <t>VÄRMLANDS LÄN</t>
        </is>
      </c>
      <c r="E1598" t="inlineStr">
        <is>
          <t>ÅRJÄNG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54709-2019</t>
        </is>
      </c>
      <c r="B1599" s="1" t="n">
        <v>43748</v>
      </c>
      <c r="C1599" s="1" t="n">
        <v>45736</v>
      </c>
      <c r="D1599" t="inlineStr">
        <is>
          <t>VÄRMLANDS LÄN</t>
        </is>
      </c>
      <c r="E1599" t="inlineStr">
        <is>
          <t>ARVIKA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53635-2019</t>
        </is>
      </c>
      <c r="B1600" s="1" t="n">
        <v>43749</v>
      </c>
      <c r="C1600" s="1" t="n">
        <v>45736</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53665-2019</t>
        </is>
      </c>
      <c r="B1601" s="1" t="n">
        <v>43749</v>
      </c>
      <c r="C1601" s="1" t="n">
        <v>45736</v>
      </c>
      <c r="D1601" t="inlineStr">
        <is>
          <t>VÄRMLANDS LÄN</t>
        </is>
      </c>
      <c r="E1601" t="inlineStr">
        <is>
          <t>ARVIKA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53491-2019</t>
        </is>
      </c>
      <c r="B1602" s="1" t="n">
        <v>43749</v>
      </c>
      <c r="C1602" s="1" t="n">
        <v>45736</v>
      </c>
      <c r="D1602" t="inlineStr">
        <is>
          <t>VÄRMLANDS LÄN</t>
        </is>
      </c>
      <c r="E1602" t="inlineStr">
        <is>
          <t>ARVIKA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53588-2019</t>
        </is>
      </c>
      <c r="B1603" s="1" t="n">
        <v>43749</v>
      </c>
      <c r="C1603" s="1" t="n">
        <v>45736</v>
      </c>
      <c r="D1603" t="inlineStr">
        <is>
          <t>VÄRMLANDS LÄN</t>
        </is>
      </c>
      <c r="E1603" t="inlineStr">
        <is>
          <t>SUNNE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54890-2019</t>
        </is>
      </c>
      <c r="B1604" s="1" t="n">
        <v>43749</v>
      </c>
      <c r="C1604" s="1" t="n">
        <v>45736</v>
      </c>
      <c r="D1604" t="inlineStr">
        <is>
          <t>VÄRMLANDS LÄN</t>
        </is>
      </c>
      <c r="E1604" t="inlineStr">
        <is>
          <t>KARLSTAD</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53746-2019</t>
        </is>
      </c>
      <c r="B1605" s="1" t="n">
        <v>43749</v>
      </c>
      <c r="C1605" s="1" t="n">
        <v>45736</v>
      </c>
      <c r="D1605" t="inlineStr">
        <is>
          <t>VÄRMLANDS LÄN</t>
        </is>
      </c>
      <c r="E1605" t="inlineStr">
        <is>
          <t>TORSBY</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54861-2019</t>
        </is>
      </c>
      <c r="B1606" s="1" t="n">
        <v>43749</v>
      </c>
      <c r="C1606" s="1" t="n">
        <v>45736</v>
      </c>
      <c r="D1606" t="inlineStr">
        <is>
          <t>VÄRMLANDS LÄN</t>
        </is>
      </c>
      <c r="E1606" t="inlineStr">
        <is>
          <t>SÄFFLE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53744-2019</t>
        </is>
      </c>
      <c r="B1607" s="1" t="n">
        <v>43749</v>
      </c>
      <c r="C1607" s="1" t="n">
        <v>45736</v>
      </c>
      <c r="D1607" t="inlineStr">
        <is>
          <t>VÄRMLANDS LÄN</t>
        </is>
      </c>
      <c r="E1607" t="inlineStr">
        <is>
          <t>TORSBY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53651-2019</t>
        </is>
      </c>
      <c r="B1608" s="1" t="n">
        <v>43749</v>
      </c>
      <c r="C1608" s="1" t="n">
        <v>45736</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53830-2019</t>
        </is>
      </c>
      <c r="B1609" s="1" t="n">
        <v>43752</v>
      </c>
      <c r="C1609" s="1" t="n">
        <v>45736</v>
      </c>
      <c r="D1609" t="inlineStr">
        <is>
          <t>VÄRMLANDS LÄN</t>
        </is>
      </c>
      <c r="E1609" t="inlineStr">
        <is>
          <t>HAGFORS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53855-2019</t>
        </is>
      </c>
      <c r="B1610" s="1" t="n">
        <v>43752</v>
      </c>
      <c r="C1610" s="1" t="n">
        <v>45736</v>
      </c>
      <c r="D1610" t="inlineStr">
        <is>
          <t>VÄRMLANDS LÄN</t>
        </is>
      </c>
      <c r="E1610" t="inlineStr">
        <is>
          <t>HAGFORS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54972-2019</t>
        </is>
      </c>
      <c r="B1611" s="1" t="n">
        <v>43752</v>
      </c>
      <c r="C1611" s="1" t="n">
        <v>45736</v>
      </c>
      <c r="D1611" t="inlineStr">
        <is>
          <t>VÄRMLANDS LÄN</t>
        </is>
      </c>
      <c r="E1611" t="inlineStr">
        <is>
          <t>HAGFORS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54950-2019</t>
        </is>
      </c>
      <c r="B1612" s="1" t="n">
        <v>43752</v>
      </c>
      <c r="C1612" s="1" t="n">
        <v>45736</v>
      </c>
      <c r="D1612" t="inlineStr">
        <is>
          <t>VÄRMLANDS LÄN</t>
        </is>
      </c>
      <c r="E1612" t="inlineStr">
        <is>
          <t>HAGFORS</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54200-2019</t>
        </is>
      </c>
      <c r="B1613" s="1" t="n">
        <v>43753</v>
      </c>
      <c r="C1613" s="1" t="n">
        <v>45736</v>
      </c>
      <c r="D1613" t="inlineStr">
        <is>
          <t>VÄRMLANDS LÄN</t>
        </is>
      </c>
      <c r="E1613" t="inlineStr">
        <is>
          <t>HAGFORS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54214-2019</t>
        </is>
      </c>
      <c r="B1614" s="1" t="n">
        <v>43753</v>
      </c>
      <c r="C1614" s="1" t="n">
        <v>45736</v>
      </c>
      <c r="D1614" t="inlineStr">
        <is>
          <t>VÄRMLANDS LÄN</t>
        </is>
      </c>
      <c r="E1614" t="inlineStr">
        <is>
          <t>HAGFORS</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54204-2019</t>
        </is>
      </c>
      <c r="B1615" s="1" t="n">
        <v>43753</v>
      </c>
      <c r="C1615" s="1" t="n">
        <v>45736</v>
      </c>
      <c r="D1615" t="inlineStr">
        <is>
          <t>VÄRMLANDS LÄN</t>
        </is>
      </c>
      <c r="E1615" t="inlineStr">
        <is>
          <t>HAGFORS</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54293-2019</t>
        </is>
      </c>
      <c r="B1616" s="1" t="n">
        <v>43753</v>
      </c>
      <c r="C1616" s="1" t="n">
        <v>45736</v>
      </c>
      <c r="D1616" t="inlineStr">
        <is>
          <t>VÄRMLANDS LÄN</t>
        </is>
      </c>
      <c r="E1616" t="inlineStr">
        <is>
          <t>SUNNE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54297-2019</t>
        </is>
      </c>
      <c r="B1617" s="1" t="n">
        <v>43753</v>
      </c>
      <c r="C1617" s="1" t="n">
        <v>45736</v>
      </c>
      <c r="D1617" t="inlineStr">
        <is>
          <t>VÄRMLANDS LÄN</t>
        </is>
      </c>
      <c r="E1617" t="inlineStr">
        <is>
          <t>SÄFFLE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54437-2019</t>
        </is>
      </c>
      <c r="B1618" s="1" t="n">
        <v>43754</v>
      </c>
      <c r="C1618" s="1" t="n">
        <v>45736</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54640-2019</t>
        </is>
      </c>
      <c r="B1619" s="1" t="n">
        <v>43754</v>
      </c>
      <c r="C1619" s="1" t="n">
        <v>45736</v>
      </c>
      <c r="D1619" t="inlineStr">
        <is>
          <t>VÄRMLANDS LÄN</t>
        </is>
      </c>
      <c r="E1619" t="inlineStr">
        <is>
          <t>FORSHAGA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54665-2019</t>
        </is>
      </c>
      <c r="B1620" s="1" t="n">
        <v>43754</v>
      </c>
      <c r="C1620" s="1" t="n">
        <v>45736</v>
      </c>
      <c r="D1620" t="inlineStr">
        <is>
          <t>VÄRMLANDS LÄN</t>
        </is>
      </c>
      <c r="E1620" t="inlineStr">
        <is>
          <t>SUNNE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55371-2019</t>
        </is>
      </c>
      <c r="B1621" s="1" t="n">
        <v>43754</v>
      </c>
      <c r="C1621" s="1" t="n">
        <v>45736</v>
      </c>
      <c r="D1621" t="inlineStr">
        <is>
          <t>VÄRMLANDS LÄN</t>
        </is>
      </c>
      <c r="E1621" t="inlineStr">
        <is>
          <t>KARLSTAD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55377-2019</t>
        </is>
      </c>
      <c r="B1622" s="1" t="n">
        <v>43754</v>
      </c>
      <c r="C1622" s="1" t="n">
        <v>45736</v>
      </c>
      <c r="D1622" t="inlineStr">
        <is>
          <t>VÄRMLANDS LÄN</t>
        </is>
      </c>
      <c r="E1622" t="inlineStr">
        <is>
          <t>SÄFFLE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54853-2019</t>
        </is>
      </c>
      <c r="B1623" s="1" t="n">
        <v>43755</v>
      </c>
      <c r="C1623" s="1" t="n">
        <v>45736</v>
      </c>
      <c r="D1623" t="inlineStr">
        <is>
          <t>VÄRMLANDS LÄN</t>
        </is>
      </c>
      <c r="E1623" t="inlineStr">
        <is>
          <t>KRISTINEHAMN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54839-2019</t>
        </is>
      </c>
      <c r="B1624" s="1" t="n">
        <v>43755</v>
      </c>
      <c r="C1624" s="1" t="n">
        <v>45736</v>
      </c>
      <c r="D1624" t="inlineStr">
        <is>
          <t>VÄRMLANDS LÄN</t>
        </is>
      </c>
      <c r="E1624" t="inlineStr">
        <is>
          <t>FILIPSTAD</t>
        </is>
      </c>
      <c r="F1624" t="inlineStr">
        <is>
          <t>Bergvik skog väst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54904-2019</t>
        </is>
      </c>
      <c r="B1625" s="1" t="n">
        <v>43755</v>
      </c>
      <c r="C1625" s="1" t="n">
        <v>45736</v>
      </c>
      <c r="D1625" t="inlineStr">
        <is>
          <t>VÄRMLANDS LÄN</t>
        </is>
      </c>
      <c r="E1625" t="inlineStr">
        <is>
          <t>KARLSTAD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54913-2019</t>
        </is>
      </c>
      <c r="B1626" s="1" t="n">
        <v>43755</v>
      </c>
      <c r="C1626" s="1" t="n">
        <v>45736</v>
      </c>
      <c r="D1626" t="inlineStr">
        <is>
          <t>VÄRMLANDS LÄN</t>
        </is>
      </c>
      <c r="E1626" t="inlineStr">
        <is>
          <t>EDA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54722-2019</t>
        </is>
      </c>
      <c r="B1627" s="1" t="n">
        <v>43755</v>
      </c>
      <c r="C1627" s="1" t="n">
        <v>45736</v>
      </c>
      <c r="D1627" t="inlineStr">
        <is>
          <t>VÄRMLANDS LÄN</t>
        </is>
      </c>
      <c r="E1627" t="inlineStr">
        <is>
          <t>SUNNE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54778-2019</t>
        </is>
      </c>
      <c r="B1628" s="1" t="n">
        <v>43755</v>
      </c>
      <c r="C1628" s="1" t="n">
        <v>45736</v>
      </c>
      <c r="D1628" t="inlineStr">
        <is>
          <t>VÄRMLANDS LÄN</t>
        </is>
      </c>
      <c r="E1628" t="inlineStr">
        <is>
          <t>FILIPSTAD</t>
        </is>
      </c>
      <c r="F1628" t="inlineStr">
        <is>
          <t>Bergvik skog väst AB</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54915-2019</t>
        </is>
      </c>
      <c r="B1629" s="1" t="n">
        <v>43755</v>
      </c>
      <c r="C1629" s="1" t="n">
        <v>45736</v>
      </c>
      <c r="D1629" t="inlineStr">
        <is>
          <t>VÄRMLANDS LÄN</t>
        </is>
      </c>
      <c r="E1629" t="inlineStr">
        <is>
          <t>EDA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54918-2019</t>
        </is>
      </c>
      <c r="B1630" s="1" t="n">
        <v>43755</v>
      </c>
      <c r="C1630" s="1" t="n">
        <v>45736</v>
      </c>
      <c r="D1630" t="inlineStr">
        <is>
          <t>VÄRMLANDS LÄN</t>
        </is>
      </c>
      <c r="E1630" t="inlineStr">
        <is>
          <t>EDA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54706-2019</t>
        </is>
      </c>
      <c r="B1631" s="1" t="n">
        <v>43755</v>
      </c>
      <c r="C1631" s="1" t="n">
        <v>45736</v>
      </c>
      <c r="D1631" t="inlineStr">
        <is>
          <t>VÄRMLANDS LÄN</t>
        </is>
      </c>
      <c r="E1631" t="inlineStr">
        <is>
          <t>FILIPSTAD</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55296-2019</t>
        </is>
      </c>
      <c r="B1632" s="1" t="n">
        <v>43756</v>
      </c>
      <c r="C1632" s="1" t="n">
        <v>45736</v>
      </c>
      <c r="D1632" t="inlineStr">
        <is>
          <t>VÄRMLANDS LÄN</t>
        </is>
      </c>
      <c r="E1632" t="inlineStr">
        <is>
          <t>KIL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55367-2019</t>
        </is>
      </c>
      <c r="B1633" s="1" t="n">
        <v>43756</v>
      </c>
      <c r="C1633" s="1" t="n">
        <v>45736</v>
      </c>
      <c r="D1633" t="inlineStr">
        <is>
          <t>VÄRMLANDS LÄN</t>
        </is>
      </c>
      <c r="E1633" t="inlineStr">
        <is>
          <t>KARLSTAD</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56256-2019</t>
        </is>
      </c>
      <c r="B1634" s="1" t="n">
        <v>43756</v>
      </c>
      <c r="C1634" s="1" t="n">
        <v>45736</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56263-2019</t>
        </is>
      </c>
      <c r="B1635" s="1" t="n">
        <v>43756</v>
      </c>
      <c r="C1635" s="1" t="n">
        <v>45736</v>
      </c>
      <c r="D1635" t="inlineStr">
        <is>
          <t>VÄRMLANDS LÄN</t>
        </is>
      </c>
      <c r="E1635" t="inlineStr">
        <is>
          <t>SUNNE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56268-2019</t>
        </is>
      </c>
      <c r="B1636" s="1" t="n">
        <v>43756</v>
      </c>
      <c r="C1636" s="1" t="n">
        <v>45736</v>
      </c>
      <c r="D1636" t="inlineStr">
        <is>
          <t>VÄRMLANDS LÄN</t>
        </is>
      </c>
      <c r="E1636" t="inlineStr">
        <is>
          <t>SUNNE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55988-2019</t>
        </is>
      </c>
      <c r="B1637" s="1" t="n">
        <v>43759</v>
      </c>
      <c r="C1637" s="1" t="n">
        <v>45736</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55561-2019</t>
        </is>
      </c>
      <c r="B1638" s="1" t="n">
        <v>43759</v>
      </c>
      <c r="C1638" s="1" t="n">
        <v>45736</v>
      </c>
      <c r="D1638" t="inlineStr">
        <is>
          <t>VÄRMLANDS LÄN</t>
        </is>
      </c>
      <c r="E1638" t="inlineStr">
        <is>
          <t>KARLSTAD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55810-2019</t>
        </is>
      </c>
      <c r="B1639" s="1" t="n">
        <v>43759</v>
      </c>
      <c r="C1639" s="1" t="n">
        <v>45736</v>
      </c>
      <c r="D1639" t="inlineStr">
        <is>
          <t>VÄRMLANDS LÄN</t>
        </is>
      </c>
      <c r="E1639" t="inlineStr">
        <is>
          <t>ARVIKA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56060-2019</t>
        </is>
      </c>
      <c r="B1640" s="1" t="n">
        <v>43759</v>
      </c>
      <c r="C1640" s="1" t="n">
        <v>45736</v>
      </c>
      <c r="D1640" t="inlineStr">
        <is>
          <t>VÄRMLANDS LÄN</t>
        </is>
      </c>
      <c r="E1640" t="inlineStr">
        <is>
          <t>ÅRJÄNG</t>
        </is>
      </c>
      <c r="F1640" t="inlineStr">
        <is>
          <t>Bergvik skog väst AB</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56704-2019</t>
        </is>
      </c>
      <c r="B1641" s="1" t="n">
        <v>43759</v>
      </c>
      <c r="C1641" s="1" t="n">
        <v>45736</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56863-2019</t>
        </is>
      </c>
      <c r="B1642" s="1" t="n">
        <v>43759</v>
      </c>
      <c r="C1642" s="1" t="n">
        <v>45736</v>
      </c>
      <c r="D1642" t="inlineStr">
        <is>
          <t>VÄRMLANDS LÄN</t>
        </is>
      </c>
      <c r="E1642" t="inlineStr">
        <is>
          <t>KARLSTAD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57029-2019</t>
        </is>
      </c>
      <c r="B1643" s="1" t="n">
        <v>43759</v>
      </c>
      <c r="C1643" s="1" t="n">
        <v>45736</v>
      </c>
      <c r="D1643" t="inlineStr">
        <is>
          <t>VÄRMLANDS LÄN</t>
        </is>
      </c>
      <c r="E1643" t="inlineStr">
        <is>
          <t>KRISTINEHAMN</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57024-2019</t>
        </is>
      </c>
      <c r="B1644" s="1" t="n">
        <v>43759</v>
      </c>
      <c r="C1644" s="1" t="n">
        <v>45736</v>
      </c>
      <c r="D1644" t="inlineStr">
        <is>
          <t>VÄRMLANDS LÄN</t>
        </is>
      </c>
      <c r="E1644" t="inlineStr">
        <is>
          <t>KRISTINEHAMN</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55846-2019</t>
        </is>
      </c>
      <c r="B1645" s="1" t="n">
        <v>43759</v>
      </c>
      <c r="C1645" s="1" t="n">
        <v>45736</v>
      </c>
      <c r="D1645" t="inlineStr">
        <is>
          <t>VÄRMLANDS LÄN</t>
        </is>
      </c>
      <c r="E1645" t="inlineStr">
        <is>
          <t>KARLSTAD</t>
        </is>
      </c>
      <c r="F1645" t="inlineStr">
        <is>
          <t>Bergvik skog väst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55608-2019</t>
        </is>
      </c>
      <c r="B1646" s="1" t="n">
        <v>43760</v>
      </c>
      <c r="C1646" s="1" t="n">
        <v>45736</v>
      </c>
      <c r="D1646" t="inlineStr">
        <is>
          <t>VÄRMLANDS LÄN</t>
        </is>
      </c>
      <c r="E1646" t="inlineStr">
        <is>
          <t>ARVIKA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55431-2019</t>
        </is>
      </c>
      <c r="B1647" s="1" t="n">
        <v>43760</v>
      </c>
      <c r="C1647" s="1" t="n">
        <v>45736</v>
      </c>
      <c r="D1647" t="inlineStr">
        <is>
          <t>VÄRMLANDS LÄN</t>
        </is>
      </c>
      <c r="E1647" t="inlineStr">
        <is>
          <t>SUNNE</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55574-2019</t>
        </is>
      </c>
      <c r="B1648" s="1" t="n">
        <v>43760</v>
      </c>
      <c r="C1648" s="1" t="n">
        <v>45736</v>
      </c>
      <c r="D1648" t="inlineStr">
        <is>
          <t>VÄRMLANDS LÄN</t>
        </is>
      </c>
      <c r="E1648" t="inlineStr">
        <is>
          <t>KARLSTAD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55575-2019</t>
        </is>
      </c>
      <c r="B1649" s="1" t="n">
        <v>43760</v>
      </c>
      <c r="C1649" s="1" t="n">
        <v>45736</v>
      </c>
      <c r="D1649" t="inlineStr">
        <is>
          <t>VÄRMLANDS LÄN</t>
        </is>
      </c>
      <c r="E1649" t="inlineStr">
        <is>
          <t>KARLSTAD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57452-2019</t>
        </is>
      </c>
      <c r="B1650" s="1" t="n">
        <v>43760</v>
      </c>
      <c r="C1650" s="1" t="n">
        <v>45736</v>
      </c>
      <c r="D1650" t="inlineStr">
        <is>
          <t>VÄRMLANDS LÄN</t>
        </is>
      </c>
      <c r="E1650" t="inlineStr">
        <is>
          <t>SUNNE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57456-2019</t>
        </is>
      </c>
      <c r="B1651" s="1" t="n">
        <v>43760</v>
      </c>
      <c r="C1651" s="1" t="n">
        <v>45736</v>
      </c>
      <c r="D1651" t="inlineStr">
        <is>
          <t>VÄRMLANDS LÄN</t>
        </is>
      </c>
      <c r="E1651" t="inlineStr">
        <is>
          <t>SUNNE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55838-2019</t>
        </is>
      </c>
      <c r="B1652" s="1" t="n">
        <v>43761</v>
      </c>
      <c r="C1652" s="1" t="n">
        <v>45736</v>
      </c>
      <c r="D1652" t="inlineStr">
        <is>
          <t>VÄRMLANDS LÄN</t>
        </is>
      </c>
      <c r="E1652" t="inlineStr">
        <is>
          <t>FORSHAGA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55919-2019</t>
        </is>
      </c>
      <c r="B1653" s="1" t="n">
        <v>43761</v>
      </c>
      <c r="C1653" s="1" t="n">
        <v>45736</v>
      </c>
      <c r="D1653" t="inlineStr">
        <is>
          <t>VÄRMLANDS LÄN</t>
        </is>
      </c>
      <c r="E1653" t="inlineStr">
        <is>
          <t>HAGFORS</t>
        </is>
      </c>
      <c r="F1653" t="inlineStr">
        <is>
          <t>Bergvik skog väst AB</t>
        </is>
      </c>
      <c r="G1653" t="n">
        <v>64.3</v>
      </c>
      <c r="H1653" t="n">
        <v>0</v>
      </c>
      <c r="I1653" t="n">
        <v>0</v>
      </c>
      <c r="J1653" t="n">
        <v>0</v>
      </c>
      <c r="K1653" t="n">
        <v>0</v>
      </c>
      <c r="L1653" t="n">
        <v>0</v>
      </c>
      <c r="M1653" t="n">
        <v>0</v>
      </c>
      <c r="N1653" t="n">
        <v>0</v>
      </c>
      <c r="O1653" t="n">
        <v>0</v>
      </c>
      <c r="P1653" t="n">
        <v>0</v>
      </c>
      <c r="Q1653" t="n">
        <v>0</v>
      </c>
      <c r="R1653" s="2" t="inlineStr"/>
    </row>
    <row r="1654" ht="15" customHeight="1">
      <c r="A1654" t="inlineStr">
        <is>
          <t>A 56131-2019</t>
        </is>
      </c>
      <c r="B1654" s="1" t="n">
        <v>43761</v>
      </c>
      <c r="C1654" s="1" t="n">
        <v>45736</v>
      </c>
      <c r="D1654" t="inlineStr">
        <is>
          <t>VÄRMLANDS LÄN</t>
        </is>
      </c>
      <c r="E1654" t="inlineStr">
        <is>
          <t>HAGFORS</t>
        </is>
      </c>
      <c r="F1654" t="inlineStr">
        <is>
          <t>Bergvik skog väst AB</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55773-2019</t>
        </is>
      </c>
      <c r="B1655" s="1" t="n">
        <v>43761</v>
      </c>
      <c r="C1655" s="1" t="n">
        <v>45736</v>
      </c>
      <c r="D1655" t="inlineStr">
        <is>
          <t>VÄRMLANDS LÄN</t>
        </is>
      </c>
      <c r="E1655" t="inlineStr">
        <is>
          <t>HAGFORS</t>
        </is>
      </c>
      <c r="F1655" t="inlineStr">
        <is>
          <t>Bergvik skog väst AB</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55927-2019</t>
        </is>
      </c>
      <c r="B1656" s="1" t="n">
        <v>43761</v>
      </c>
      <c r="C1656" s="1" t="n">
        <v>45736</v>
      </c>
      <c r="D1656" t="inlineStr">
        <is>
          <t>VÄRMLANDS LÄN</t>
        </is>
      </c>
      <c r="E1656" t="inlineStr">
        <is>
          <t>TORSBY</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56021-2019</t>
        </is>
      </c>
      <c r="B1657" s="1" t="n">
        <v>43761</v>
      </c>
      <c r="C1657" s="1" t="n">
        <v>45736</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57771-2019</t>
        </is>
      </c>
      <c r="B1658" s="1" t="n">
        <v>43761</v>
      </c>
      <c r="C1658" s="1" t="n">
        <v>45736</v>
      </c>
      <c r="D1658" t="inlineStr">
        <is>
          <t>VÄRMLANDS LÄN</t>
        </is>
      </c>
      <c r="E1658" t="inlineStr">
        <is>
          <t>EDA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55884-2019</t>
        </is>
      </c>
      <c r="B1659" s="1" t="n">
        <v>43761</v>
      </c>
      <c r="C1659" s="1" t="n">
        <v>45736</v>
      </c>
      <c r="D1659" t="inlineStr">
        <is>
          <t>VÄRMLANDS LÄN</t>
        </is>
      </c>
      <c r="E1659" t="inlineStr">
        <is>
          <t>HAGFORS</t>
        </is>
      </c>
      <c r="F1659" t="inlineStr">
        <is>
          <t>Bergvik skog väst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55834-2019</t>
        </is>
      </c>
      <c r="B1660" s="1" t="n">
        <v>43761</v>
      </c>
      <c r="C1660" s="1" t="n">
        <v>45736</v>
      </c>
      <c r="D1660" t="inlineStr">
        <is>
          <t>VÄRMLANDS LÄN</t>
        </is>
      </c>
      <c r="E1660" t="inlineStr">
        <is>
          <t>FORSHAGA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56206-2019</t>
        </is>
      </c>
      <c r="B1661" s="1" t="n">
        <v>43762</v>
      </c>
      <c r="C1661" s="1" t="n">
        <v>45736</v>
      </c>
      <c r="D1661" t="inlineStr">
        <is>
          <t>VÄRMLANDS LÄN</t>
        </is>
      </c>
      <c r="E1661" t="inlineStr">
        <is>
          <t>EDA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56331-2019</t>
        </is>
      </c>
      <c r="B1662" s="1" t="n">
        <v>43762</v>
      </c>
      <c r="C1662" s="1" t="n">
        <v>45736</v>
      </c>
      <c r="D1662" t="inlineStr">
        <is>
          <t>VÄRMLANDS LÄN</t>
        </is>
      </c>
      <c r="E1662" t="inlineStr">
        <is>
          <t>ÅRJÄNG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56323-2019</t>
        </is>
      </c>
      <c r="B1663" s="1" t="n">
        <v>43762</v>
      </c>
      <c r="C1663" s="1" t="n">
        <v>45736</v>
      </c>
      <c r="D1663" t="inlineStr">
        <is>
          <t>VÄRMLANDS LÄN</t>
        </is>
      </c>
      <c r="E1663" t="inlineStr">
        <is>
          <t>HAGFORS</t>
        </is>
      </c>
      <c r="F1663" t="inlineStr">
        <is>
          <t>Bergvik skog väst AB</t>
        </is>
      </c>
      <c r="G1663" t="n">
        <v>51.3</v>
      </c>
      <c r="H1663" t="n">
        <v>0</v>
      </c>
      <c r="I1663" t="n">
        <v>0</v>
      </c>
      <c r="J1663" t="n">
        <v>0</v>
      </c>
      <c r="K1663" t="n">
        <v>0</v>
      </c>
      <c r="L1663" t="n">
        <v>0</v>
      </c>
      <c r="M1663" t="n">
        <v>0</v>
      </c>
      <c r="N1663" t="n">
        <v>0</v>
      </c>
      <c r="O1663" t="n">
        <v>0</v>
      </c>
      <c r="P1663" t="n">
        <v>0</v>
      </c>
      <c r="Q1663" t="n">
        <v>0</v>
      </c>
      <c r="R1663" s="2" t="inlineStr"/>
    </row>
    <row r="1664" ht="15" customHeight="1">
      <c r="A1664" t="inlineStr">
        <is>
          <t>A 56391-2019</t>
        </is>
      </c>
      <c r="B1664" s="1" t="n">
        <v>43762</v>
      </c>
      <c r="C1664" s="1" t="n">
        <v>45736</v>
      </c>
      <c r="D1664" t="inlineStr">
        <is>
          <t>VÄRMLANDS LÄN</t>
        </is>
      </c>
      <c r="E1664" t="inlineStr">
        <is>
          <t>ARVIKA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56265-2019</t>
        </is>
      </c>
      <c r="B1665" s="1" t="n">
        <v>43762</v>
      </c>
      <c r="C1665" s="1" t="n">
        <v>45736</v>
      </c>
      <c r="D1665" t="inlineStr">
        <is>
          <t>VÄRMLANDS LÄN</t>
        </is>
      </c>
      <c r="E1665" t="inlineStr">
        <is>
          <t>HAGFORS</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56298-2019</t>
        </is>
      </c>
      <c r="B1666" s="1" t="n">
        <v>43762</v>
      </c>
      <c r="C1666" s="1" t="n">
        <v>45736</v>
      </c>
      <c r="D1666" t="inlineStr">
        <is>
          <t>VÄRMLANDS LÄN</t>
        </is>
      </c>
      <c r="E1666" t="inlineStr">
        <is>
          <t>ÅRJÄNG</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56329-2019</t>
        </is>
      </c>
      <c r="B1667" s="1" t="n">
        <v>43762</v>
      </c>
      <c r="C1667" s="1" t="n">
        <v>45736</v>
      </c>
      <c r="D1667" t="inlineStr">
        <is>
          <t>VÄRMLANDS LÄN</t>
        </is>
      </c>
      <c r="E1667" t="inlineStr">
        <is>
          <t>ÅRJÄNG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56305-2019</t>
        </is>
      </c>
      <c r="B1668" s="1" t="n">
        <v>43762</v>
      </c>
      <c r="C1668" s="1" t="n">
        <v>45736</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56709-2019</t>
        </is>
      </c>
      <c r="B1669" s="1" t="n">
        <v>43763</v>
      </c>
      <c r="C1669" s="1" t="n">
        <v>45736</v>
      </c>
      <c r="D1669" t="inlineStr">
        <is>
          <t>VÄRMLANDS LÄN</t>
        </is>
      </c>
      <c r="E1669" t="inlineStr">
        <is>
          <t>EDA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56723-2019</t>
        </is>
      </c>
      <c r="B1670" s="1" t="n">
        <v>43763</v>
      </c>
      <c r="C1670" s="1" t="n">
        <v>45736</v>
      </c>
      <c r="D1670" t="inlineStr">
        <is>
          <t>VÄRMLANDS LÄN</t>
        </is>
      </c>
      <c r="E1670" t="inlineStr">
        <is>
          <t>SUNNE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56594-2019</t>
        </is>
      </c>
      <c r="B1671" s="1" t="n">
        <v>43763</v>
      </c>
      <c r="C1671" s="1" t="n">
        <v>45736</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57788-2019</t>
        </is>
      </c>
      <c r="B1672" s="1" t="n">
        <v>43763</v>
      </c>
      <c r="C1672" s="1" t="n">
        <v>45736</v>
      </c>
      <c r="D1672" t="inlineStr">
        <is>
          <t>VÄRMLANDS LÄN</t>
        </is>
      </c>
      <c r="E1672" t="inlineStr">
        <is>
          <t>EDA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57720-2019</t>
        </is>
      </c>
      <c r="B1673" s="1" t="n">
        <v>43763</v>
      </c>
      <c r="C1673" s="1" t="n">
        <v>45736</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57790-2019</t>
        </is>
      </c>
      <c r="B1674" s="1" t="n">
        <v>43763</v>
      </c>
      <c r="C1674" s="1" t="n">
        <v>45736</v>
      </c>
      <c r="D1674" t="inlineStr">
        <is>
          <t>VÄRMLANDS LÄN</t>
        </is>
      </c>
      <c r="E1674" t="inlineStr">
        <is>
          <t>EDA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56760-2019</t>
        </is>
      </c>
      <c r="B1675" s="1" t="n">
        <v>43763</v>
      </c>
      <c r="C1675" s="1" t="n">
        <v>45736</v>
      </c>
      <c r="D1675" t="inlineStr">
        <is>
          <t>VÄRMLANDS LÄN</t>
        </is>
      </c>
      <c r="E1675" t="inlineStr">
        <is>
          <t>KRISTINEHAMN</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56570-2019</t>
        </is>
      </c>
      <c r="B1676" s="1" t="n">
        <v>43763</v>
      </c>
      <c r="C1676" s="1" t="n">
        <v>45736</v>
      </c>
      <c r="D1676" t="inlineStr">
        <is>
          <t>VÄRMLANDS LÄN</t>
        </is>
      </c>
      <c r="E1676" t="inlineStr">
        <is>
          <t>KRISTINEHAMN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56633-2019</t>
        </is>
      </c>
      <c r="B1677" s="1" t="n">
        <v>43763</v>
      </c>
      <c r="C1677" s="1" t="n">
        <v>45736</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56824-2019</t>
        </is>
      </c>
      <c r="B1678" s="1" t="n">
        <v>43764</v>
      </c>
      <c r="C1678" s="1" t="n">
        <v>45736</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56825-2019</t>
        </is>
      </c>
      <c r="B1679" s="1" t="n">
        <v>43764</v>
      </c>
      <c r="C1679" s="1" t="n">
        <v>45736</v>
      </c>
      <c r="D1679" t="inlineStr">
        <is>
          <t>VÄRMLANDS LÄN</t>
        </is>
      </c>
      <c r="E1679" t="inlineStr">
        <is>
          <t>FORSHAGA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56851-2019</t>
        </is>
      </c>
      <c r="B1680" s="1" t="n">
        <v>43766</v>
      </c>
      <c r="C1680" s="1" t="n">
        <v>45736</v>
      </c>
      <c r="D1680" t="inlineStr">
        <is>
          <t>VÄRMLANDS LÄN</t>
        </is>
      </c>
      <c r="E1680" t="inlineStr">
        <is>
          <t>EDA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57003-2019</t>
        </is>
      </c>
      <c r="B1681" s="1" t="n">
        <v>43766</v>
      </c>
      <c r="C1681" s="1" t="n">
        <v>45736</v>
      </c>
      <c r="D1681" t="inlineStr">
        <is>
          <t>VÄRMLANDS LÄN</t>
        </is>
      </c>
      <c r="E1681" t="inlineStr">
        <is>
          <t>ÅRJÄNG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56914-2019</t>
        </is>
      </c>
      <c r="B1682" s="1" t="n">
        <v>43766</v>
      </c>
      <c r="C1682" s="1" t="n">
        <v>45736</v>
      </c>
      <c r="D1682" t="inlineStr">
        <is>
          <t>VÄRMLANDS LÄN</t>
        </is>
      </c>
      <c r="E1682" t="inlineStr">
        <is>
          <t>EDA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56935-2019</t>
        </is>
      </c>
      <c r="B1683" s="1" t="n">
        <v>43766</v>
      </c>
      <c r="C1683" s="1" t="n">
        <v>45736</v>
      </c>
      <c r="D1683" t="inlineStr">
        <is>
          <t>VÄRMLANDS LÄN</t>
        </is>
      </c>
      <c r="E1683" t="inlineStr">
        <is>
          <t>TORSBY</t>
        </is>
      </c>
      <c r="F1683" t="inlineStr">
        <is>
          <t>Bergvik skog väst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58104-2019</t>
        </is>
      </c>
      <c r="B1684" s="1" t="n">
        <v>43766</v>
      </c>
      <c r="C1684" s="1" t="n">
        <v>45736</v>
      </c>
      <c r="D1684" t="inlineStr">
        <is>
          <t>VÄRMLANDS LÄN</t>
        </is>
      </c>
      <c r="E1684" t="inlineStr">
        <is>
          <t>SÄFFLE</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57399-2019</t>
        </is>
      </c>
      <c r="B1685" s="1" t="n">
        <v>43767</v>
      </c>
      <c r="C1685" s="1" t="n">
        <v>45736</v>
      </c>
      <c r="D1685" t="inlineStr">
        <is>
          <t>VÄRMLANDS LÄN</t>
        </is>
      </c>
      <c r="E1685" t="inlineStr">
        <is>
          <t>TORSBY</t>
        </is>
      </c>
      <c r="F1685" t="inlineStr">
        <is>
          <t>Bergvik skog väst AB</t>
        </is>
      </c>
      <c r="G1685" t="n">
        <v>18.9</v>
      </c>
      <c r="H1685" t="n">
        <v>0</v>
      </c>
      <c r="I1685" t="n">
        <v>0</v>
      </c>
      <c r="J1685" t="n">
        <v>0</v>
      </c>
      <c r="K1685" t="n">
        <v>0</v>
      </c>
      <c r="L1685" t="n">
        <v>0</v>
      </c>
      <c r="M1685" t="n">
        <v>0</v>
      </c>
      <c r="N1685" t="n">
        <v>0</v>
      </c>
      <c r="O1685" t="n">
        <v>0</v>
      </c>
      <c r="P1685" t="n">
        <v>0</v>
      </c>
      <c r="Q1685" t="n">
        <v>0</v>
      </c>
      <c r="R1685" s="2" t="inlineStr"/>
    </row>
    <row r="1686" ht="15" customHeight="1">
      <c r="A1686" t="inlineStr">
        <is>
          <t>A 57251-2019</t>
        </is>
      </c>
      <c r="B1686" s="1" t="n">
        <v>43767</v>
      </c>
      <c r="C1686" s="1" t="n">
        <v>45736</v>
      </c>
      <c r="D1686" t="inlineStr">
        <is>
          <t>VÄRMLANDS LÄN</t>
        </is>
      </c>
      <c r="E1686" t="inlineStr">
        <is>
          <t>TORSBY</t>
        </is>
      </c>
      <c r="F1686" t="inlineStr">
        <is>
          <t>Bergvik skog väst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57301-2019</t>
        </is>
      </c>
      <c r="B1687" s="1" t="n">
        <v>43767</v>
      </c>
      <c r="C1687" s="1" t="n">
        <v>45736</v>
      </c>
      <c r="D1687" t="inlineStr">
        <is>
          <t>VÄRMLANDS LÄN</t>
        </is>
      </c>
      <c r="E1687" t="inlineStr">
        <is>
          <t>TORSBY</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57268-2019</t>
        </is>
      </c>
      <c r="B1688" s="1" t="n">
        <v>43767</v>
      </c>
      <c r="C1688" s="1" t="n">
        <v>45736</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57331-2019</t>
        </is>
      </c>
      <c r="B1689" s="1" t="n">
        <v>43767</v>
      </c>
      <c r="C1689" s="1" t="n">
        <v>45736</v>
      </c>
      <c r="D1689" t="inlineStr">
        <is>
          <t>VÄRMLANDS LÄN</t>
        </is>
      </c>
      <c r="E1689" t="inlineStr">
        <is>
          <t>KARLSTAD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57350-2019</t>
        </is>
      </c>
      <c r="B1690" s="1" t="n">
        <v>43767</v>
      </c>
      <c r="C1690" s="1" t="n">
        <v>45736</v>
      </c>
      <c r="D1690" t="inlineStr">
        <is>
          <t>VÄRMLANDS LÄN</t>
        </is>
      </c>
      <c r="E1690" t="inlineStr">
        <is>
          <t>ARVIKA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57380-2019</t>
        </is>
      </c>
      <c r="B1691" s="1" t="n">
        <v>43767</v>
      </c>
      <c r="C1691" s="1" t="n">
        <v>45736</v>
      </c>
      <c r="D1691" t="inlineStr">
        <is>
          <t>VÄRMLANDS LÄN</t>
        </is>
      </c>
      <c r="E1691" t="inlineStr">
        <is>
          <t>KRISTINEHAMN</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58530-2019</t>
        </is>
      </c>
      <c r="B1692" s="1" t="n">
        <v>43767</v>
      </c>
      <c r="C1692" s="1" t="n">
        <v>45736</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57223-2019</t>
        </is>
      </c>
      <c r="B1693" s="1" t="n">
        <v>43767</v>
      </c>
      <c r="C1693" s="1" t="n">
        <v>45736</v>
      </c>
      <c r="D1693" t="inlineStr">
        <is>
          <t>VÄRMLANDS LÄN</t>
        </is>
      </c>
      <c r="E1693" t="inlineStr">
        <is>
          <t>TORSBY</t>
        </is>
      </c>
      <c r="F1693" t="inlineStr">
        <is>
          <t>Bergvik skog väst AB</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58898-2019</t>
        </is>
      </c>
      <c r="B1694" s="1" t="n">
        <v>43768</v>
      </c>
      <c r="C1694" s="1" t="n">
        <v>45736</v>
      </c>
      <c r="D1694" t="inlineStr">
        <is>
          <t>VÄRMLANDS LÄN</t>
        </is>
      </c>
      <c r="E1694" t="inlineStr">
        <is>
          <t>GRUMS</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57566-2019</t>
        </is>
      </c>
      <c r="B1695" s="1" t="n">
        <v>43768</v>
      </c>
      <c r="C1695" s="1" t="n">
        <v>45736</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58705-2019</t>
        </is>
      </c>
      <c r="B1696" s="1" t="n">
        <v>43768</v>
      </c>
      <c r="C1696" s="1" t="n">
        <v>45736</v>
      </c>
      <c r="D1696" t="inlineStr">
        <is>
          <t>VÄRMLANDS LÄN</t>
        </is>
      </c>
      <c r="E1696" t="inlineStr">
        <is>
          <t>EDA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58858-2019</t>
        </is>
      </c>
      <c r="B1697" s="1" t="n">
        <v>43768</v>
      </c>
      <c r="C1697" s="1" t="n">
        <v>45736</v>
      </c>
      <c r="D1697" t="inlineStr">
        <is>
          <t>VÄRMLANDS LÄN</t>
        </is>
      </c>
      <c r="E1697" t="inlineStr">
        <is>
          <t>GRUMS</t>
        </is>
      </c>
      <c r="F1697" t="inlineStr">
        <is>
          <t>Bergvik skog väst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58709-2019</t>
        </is>
      </c>
      <c r="B1698" s="1" t="n">
        <v>43768</v>
      </c>
      <c r="C1698" s="1" t="n">
        <v>45736</v>
      </c>
      <c r="D1698" t="inlineStr">
        <is>
          <t>VÄRMLANDS LÄN</t>
        </is>
      </c>
      <c r="E1698" t="inlineStr">
        <is>
          <t>EDA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58946-2019</t>
        </is>
      </c>
      <c r="B1699" s="1" t="n">
        <v>43768</v>
      </c>
      <c r="C1699" s="1" t="n">
        <v>45736</v>
      </c>
      <c r="D1699" t="inlineStr">
        <is>
          <t>VÄRMLANDS LÄN</t>
        </is>
      </c>
      <c r="E1699" t="inlineStr">
        <is>
          <t>SÄFFLE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59037-2019</t>
        </is>
      </c>
      <c r="B1700" s="1" t="n">
        <v>43768</v>
      </c>
      <c r="C1700" s="1" t="n">
        <v>45736</v>
      </c>
      <c r="D1700" t="inlineStr">
        <is>
          <t>VÄRMLANDS LÄN</t>
        </is>
      </c>
      <c r="E1700" t="inlineStr">
        <is>
          <t>ÅRJÄNG</t>
        </is>
      </c>
      <c r="F1700" t="inlineStr">
        <is>
          <t>Övriga Aktiebolag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57704-2019</t>
        </is>
      </c>
      <c r="B1701" s="1" t="n">
        <v>43768</v>
      </c>
      <c r="C1701" s="1" t="n">
        <v>45736</v>
      </c>
      <c r="D1701" t="inlineStr">
        <is>
          <t>VÄRMLANDS LÄN</t>
        </is>
      </c>
      <c r="E1701" t="inlineStr">
        <is>
          <t>TORSBY</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57565-2019</t>
        </is>
      </c>
      <c r="B1702" s="1" t="n">
        <v>43768</v>
      </c>
      <c r="C1702" s="1" t="n">
        <v>45736</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58880-2019</t>
        </is>
      </c>
      <c r="B1703" s="1" t="n">
        <v>43768</v>
      </c>
      <c r="C1703" s="1" t="n">
        <v>45736</v>
      </c>
      <c r="D1703" t="inlineStr">
        <is>
          <t>VÄRMLANDS LÄN</t>
        </is>
      </c>
      <c r="E1703" t="inlineStr">
        <is>
          <t>GRUMS</t>
        </is>
      </c>
      <c r="F1703" t="inlineStr">
        <is>
          <t>Bergvik skog väst AB</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57632-2019</t>
        </is>
      </c>
      <c r="B1704" s="1" t="n">
        <v>43768</v>
      </c>
      <c r="C1704" s="1" t="n">
        <v>45736</v>
      </c>
      <c r="D1704" t="inlineStr">
        <is>
          <t>VÄRMLANDS LÄN</t>
        </is>
      </c>
      <c r="E1704" t="inlineStr">
        <is>
          <t>EDA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57888-2019</t>
        </is>
      </c>
      <c r="B1705" s="1" t="n">
        <v>43769</v>
      </c>
      <c r="C1705" s="1" t="n">
        <v>45736</v>
      </c>
      <c r="D1705" t="inlineStr">
        <is>
          <t>VÄRMLANDS LÄN</t>
        </is>
      </c>
      <c r="E1705" t="inlineStr">
        <is>
          <t>ÅRJÄNG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58055-2019</t>
        </is>
      </c>
      <c r="B1706" s="1" t="n">
        <v>43769</v>
      </c>
      <c r="C1706" s="1" t="n">
        <v>45736</v>
      </c>
      <c r="D1706" t="inlineStr">
        <is>
          <t>VÄRMLANDS LÄN</t>
        </is>
      </c>
      <c r="E1706" t="inlineStr">
        <is>
          <t>EDA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58130-2019</t>
        </is>
      </c>
      <c r="B1707" s="1" t="n">
        <v>43769</v>
      </c>
      <c r="C1707" s="1" t="n">
        <v>45736</v>
      </c>
      <c r="D1707" t="inlineStr">
        <is>
          <t>VÄRMLANDS LÄN</t>
        </is>
      </c>
      <c r="E1707" t="inlineStr">
        <is>
          <t>ARVIKA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58004-2019</t>
        </is>
      </c>
      <c r="B1708" s="1" t="n">
        <v>43769</v>
      </c>
      <c r="C1708" s="1" t="n">
        <v>45736</v>
      </c>
      <c r="D1708" t="inlineStr">
        <is>
          <t>VÄRMLANDS LÄN</t>
        </is>
      </c>
      <c r="E1708" t="inlineStr">
        <is>
          <t>TORSBY</t>
        </is>
      </c>
      <c r="F1708" t="inlineStr">
        <is>
          <t>Bergvik skog väst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58944-2019</t>
        </is>
      </c>
      <c r="B1709" s="1" t="n">
        <v>43769</v>
      </c>
      <c r="C1709" s="1" t="n">
        <v>45736</v>
      </c>
      <c r="D1709" t="inlineStr">
        <is>
          <t>VÄRMLANDS LÄN</t>
        </is>
      </c>
      <c r="E1709" t="inlineStr">
        <is>
          <t>SUNNE</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58221-2019</t>
        </is>
      </c>
      <c r="B1710" s="1" t="n">
        <v>43770</v>
      </c>
      <c r="C1710" s="1" t="n">
        <v>45736</v>
      </c>
      <c r="D1710" t="inlineStr">
        <is>
          <t>VÄRMLANDS LÄN</t>
        </is>
      </c>
      <c r="E1710" t="inlineStr">
        <is>
          <t>ÅRJÄNG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58306-2019</t>
        </is>
      </c>
      <c r="B1711" s="1" t="n">
        <v>43770</v>
      </c>
      <c r="C1711" s="1" t="n">
        <v>45736</v>
      </c>
      <c r="D1711" t="inlineStr">
        <is>
          <t>VÄRMLANDS LÄN</t>
        </is>
      </c>
      <c r="E1711" t="inlineStr">
        <is>
          <t>EDA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58299-2019</t>
        </is>
      </c>
      <c r="B1712" s="1" t="n">
        <v>43770</v>
      </c>
      <c r="C1712" s="1" t="n">
        <v>45736</v>
      </c>
      <c r="D1712" t="inlineStr">
        <is>
          <t>VÄRMLANDS LÄN</t>
        </is>
      </c>
      <c r="E1712" t="inlineStr">
        <is>
          <t>EDA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58309-2019</t>
        </is>
      </c>
      <c r="B1713" s="1" t="n">
        <v>43770</v>
      </c>
      <c r="C1713" s="1" t="n">
        <v>45736</v>
      </c>
      <c r="D1713" t="inlineStr">
        <is>
          <t>VÄRMLANDS LÄN</t>
        </is>
      </c>
      <c r="E1713" t="inlineStr">
        <is>
          <t>EDA</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59141-2019</t>
        </is>
      </c>
      <c r="B1714" s="1" t="n">
        <v>43770</v>
      </c>
      <c r="C1714" s="1" t="n">
        <v>45736</v>
      </c>
      <c r="D1714" t="inlineStr">
        <is>
          <t>VÄRMLANDS LÄN</t>
        </is>
      </c>
      <c r="E1714" t="inlineStr">
        <is>
          <t>HAGFORS</t>
        </is>
      </c>
      <c r="F1714" t="inlineStr">
        <is>
          <t>Kyrkan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59213-2019</t>
        </is>
      </c>
      <c r="B1715" s="1" t="n">
        <v>43770</v>
      </c>
      <c r="C1715" s="1" t="n">
        <v>45736</v>
      </c>
      <c r="D1715" t="inlineStr">
        <is>
          <t>VÄRMLANDS LÄN</t>
        </is>
      </c>
      <c r="E1715" t="inlineStr">
        <is>
          <t>SÄFFLE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58302-2019</t>
        </is>
      </c>
      <c r="B1716" s="1" t="n">
        <v>43770</v>
      </c>
      <c r="C1716" s="1" t="n">
        <v>45736</v>
      </c>
      <c r="D1716" t="inlineStr">
        <is>
          <t>VÄRMLANDS LÄN</t>
        </is>
      </c>
      <c r="E1716" t="inlineStr">
        <is>
          <t>EDA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58392-2019</t>
        </is>
      </c>
      <c r="B1717" s="1" t="n">
        <v>43772</v>
      </c>
      <c r="C1717" s="1" t="n">
        <v>45736</v>
      </c>
      <c r="D1717" t="inlineStr">
        <is>
          <t>VÄRMLANDS LÄN</t>
        </is>
      </c>
      <c r="E1717" t="inlineStr">
        <is>
          <t>EDA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58678-2019</t>
        </is>
      </c>
      <c r="B1718" s="1" t="n">
        <v>43773</v>
      </c>
      <c r="C1718" s="1" t="n">
        <v>45736</v>
      </c>
      <c r="D1718" t="inlineStr">
        <is>
          <t>VÄRMLANDS LÄN</t>
        </is>
      </c>
      <c r="E1718" t="inlineStr">
        <is>
          <t>TORSBY</t>
        </is>
      </c>
      <c r="F1718" t="inlineStr">
        <is>
          <t>Bergvik skog väst AB</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58733-2019</t>
        </is>
      </c>
      <c r="B1719" s="1" t="n">
        <v>43773</v>
      </c>
      <c r="C1719" s="1" t="n">
        <v>45736</v>
      </c>
      <c r="D1719" t="inlineStr">
        <is>
          <t>VÄRMLANDS LÄN</t>
        </is>
      </c>
      <c r="E1719" t="inlineStr">
        <is>
          <t>ARVIKA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58540-2019</t>
        </is>
      </c>
      <c r="B1720" s="1" t="n">
        <v>43773</v>
      </c>
      <c r="C1720" s="1" t="n">
        <v>45736</v>
      </c>
      <c r="D1720" t="inlineStr">
        <is>
          <t>VÄRMLANDS LÄN</t>
        </is>
      </c>
      <c r="E1720" t="inlineStr">
        <is>
          <t>ARVIKA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59377-2019</t>
        </is>
      </c>
      <c r="B1721" s="1" t="n">
        <v>43773</v>
      </c>
      <c r="C1721" s="1" t="n">
        <v>45736</v>
      </c>
      <c r="D1721" t="inlineStr">
        <is>
          <t>VÄRMLANDS LÄN</t>
        </is>
      </c>
      <c r="E1721" t="inlineStr">
        <is>
          <t>SÄFFLE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59048-2019</t>
        </is>
      </c>
      <c r="B1722" s="1" t="n">
        <v>43774</v>
      </c>
      <c r="C1722" s="1" t="n">
        <v>45736</v>
      </c>
      <c r="D1722" t="inlineStr">
        <is>
          <t>VÄRMLANDS LÄN</t>
        </is>
      </c>
      <c r="E1722" t="inlineStr">
        <is>
          <t>EDA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59044-2019</t>
        </is>
      </c>
      <c r="B1723" s="1" t="n">
        <v>43774</v>
      </c>
      <c r="C1723" s="1" t="n">
        <v>45736</v>
      </c>
      <c r="D1723" t="inlineStr">
        <is>
          <t>VÄRMLANDS LÄN</t>
        </is>
      </c>
      <c r="E1723" t="inlineStr">
        <is>
          <t>SÄFFLE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59389-2019</t>
        </is>
      </c>
      <c r="B1724" s="1" t="n">
        <v>43775</v>
      </c>
      <c r="C1724" s="1" t="n">
        <v>45736</v>
      </c>
      <c r="D1724" t="inlineStr">
        <is>
          <t>VÄRMLANDS LÄN</t>
        </is>
      </c>
      <c r="E1724" t="inlineStr">
        <is>
          <t>ARVIKA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59968-2019</t>
        </is>
      </c>
      <c r="B1725" s="1" t="n">
        <v>43775</v>
      </c>
      <c r="C1725" s="1" t="n">
        <v>45736</v>
      </c>
      <c r="D1725" t="inlineStr">
        <is>
          <t>VÄRMLANDS LÄN</t>
        </is>
      </c>
      <c r="E1725" t="inlineStr">
        <is>
          <t>GRUMS</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59813-2019</t>
        </is>
      </c>
      <c r="B1726" s="1" t="n">
        <v>43775</v>
      </c>
      <c r="C1726" s="1" t="n">
        <v>45736</v>
      </c>
      <c r="D1726" t="inlineStr">
        <is>
          <t>VÄRMLANDS LÄN</t>
        </is>
      </c>
      <c r="E1726" t="inlineStr">
        <is>
          <t>HAGFORS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59127-2019</t>
        </is>
      </c>
      <c r="B1727" s="1" t="n">
        <v>43775</v>
      </c>
      <c r="C1727" s="1" t="n">
        <v>45736</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59593-2019</t>
        </is>
      </c>
      <c r="B1728" s="1" t="n">
        <v>43776</v>
      </c>
      <c r="C1728" s="1" t="n">
        <v>45736</v>
      </c>
      <c r="D1728" t="inlineStr">
        <is>
          <t>VÄRMLANDS LÄN</t>
        </is>
      </c>
      <c r="E1728" t="inlineStr">
        <is>
          <t>TORSBY</t>
        </is>
      </c>
      <c r="F1728" t="inlineStr">
        <is>
          <t>Bergvik skog väst AB</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59607-2019</t>
        </is>
      </c>
      <c r="B1729" s="1" t="n">
        <v>43776</v>
      </c>
      <c r="C1729" s="1" t="n">
        <v>45736</v>
      </c>
      <c r="D1729" t="inlineStr">
        <is>
          <t>VÄRMLANDS LÄN</t>
        </is>
      </c>
      <c r="E1729" t="inlineStr">
        <is>
          <t>ARVIKA</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59748-2019</t>
        </is>
      </c>
      <c r="B1730" s="1" t="n">
        <v>43776</v>
      </c>
      <c r="C1730" s="1" t="n">
        <v>45736</v>
      </c>
      <c r="D1730" t="inlineStr">
        <is>
          <t>VÄRMLANDS LÄN</t>
        </is>
      </c>
      <c r="E1730" t="inlineStr">
        <is>
          <t>SUNNE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60029-2019</t>
        </is>
      </c>
      <c r="B1731" s="1" t="n">
        <v>43776</v>
      </c>
      <c r="C1731" s="1" t="n">
        <v>45736</v>
      </c>
      <c r="D1731" t="inlineStr">
        <is>
          <t>VÄRMLANDS LÄN</t>
        </is>
      </c>
      <c r="E1731" t="inlineStr">
        <is>
          <t>ÅRJÄNG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59883-2019</t>
        </is>
      </c>
      <c r="B1732" s="1" t="n">
        <v>43777</v>
      </c>
      <c r="C1732" s="1" t="n">
        <v>45736</v>
      </c>
      <c r="D1732" t="inlineStr">
        <is>
          <t>VÄRMLANDS LÄN</t>
        </is>
      </c>
      <c r="E1732" t="inlineStr">
        <is>
          <t>FILIPSTAD</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59809-2019</t>
        </is>
      </c>
      <c r="B1733" s="1" t="n">
        <v>43777</v>
      </c>
      <c r="C1733" s="1" t="n">
        <v>45736</v>
      </c>
      <c r="D1733" t="inlineStr">
        <is>
          <t>VÄRMLANDS LÄN</t>
        </is>
      </c>
      <c r="E1733" t="inlineStr">
        <is>
          <t>SUNNE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60047-2019</t>
        </is>
      </c>
      <c r="B1734" s="1" t="n">
        <v>43777</v>
      </c>
      <c r="C1734" s="1" t="n">
        <v>45736</v>
      </c>
      <c r="D1734" t="inlineStr">
        <is>
          <t>VÄRMLANDS LÄN</t>
        </is>
      </c>
      <c r="E1734" t="inlineStr">
        <is>
          <t>EDA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60623-2019</t>
        </is>
      </c>
      <c r="B1735" s="1" t="n">
        <v>43777</v>
      </c>
      <c r="C1735" s="1" t="n">
        <v>45736</v>
      </c>
      <c r="D1735" t="inlineStr">
        <is>
          <t>VÄRMLANDS LÄN</t>
        </is>
      </c>
      <c r="E1735" t="inlineStr">
        <is>
          <t>EDA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59805-2019</t>
        </is>
      </c>
      <c r="B1736" s="1" t="n">
        <v>43777</v>
      </c>
      <c r="C1736" s="1" t="n">
        <v>45736</v>
      </c>
      <c r="D1736" t="inlineStr">
        <is>
          <t>VÄRMLANDS LÄN</t>
        </is>
      </c>
      <c r="E1736" t="inlineStr">
        <is>
          <t>KRISTINEHAMN</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60145-2019</t>
        </is>
      </c>
      <c r="B1737" s="1" t="n">
        <v>43779</v>
      </c>
      <c r="C1737" s="1" t="n">
        <v>45736</v>
      </c>
      <c r="D1737" t="inlineStr">
        <is>
          <t>VÄRMLANDS LÄN</t>
        </is>
      </c>
      <c r="E1737" t="inlineStr">
        <is>
          <t>KARLSTAD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60209-2019</t>
        </is>
      </c>
      <c r="B1738" s="1" t="n">
        <v>43780</v>
      </c>
      <c r="C1738" s="1" t="n">
        <v>45736</v>
      </c>
      <c r="D1738" t="inlineStr">
        <is>
          <t>VÄRMLANDS LÄN</t>
        </is>
      </c>
      <c r="E1738" t="inlineStr">
        <is>
          <t>SUNNE</t>
        </is>
      </c>
      <c r="G1738" t="n">
        <v>10.8</v>
      </c>
      <c r="H1738" t="n">
        <v>0</v>
      </c>
      <c r="I1738" t="n">
        <v>0</v>
      </c>
      <c r="J1738" t="n">
        <v>0</v>
      </c>
      <c r="K1738" t="n">
        <v>0</v>
      </c>
      <c r="L1738" t="n">
        <v>0</v>
      </c>
      <c r="M1738" t="n">
        <v>0</v>
      </c>
      <c r="N1738" t="n">
        <v>0</v>
      </c>
      <c r="O1738" t="n">
        <v>0</v>
      </c>
      <c r="P1738" t="n">
        <v>0</v>
      </c>
      <c r="Q1738" t="n">
        <v>0</v>
      </c>
      <c r="R1738" s="2" t="inlineStr"/>
    </row>
    <row r="1739" ht="15" customHeight="1">
      <c r="A1739" t="inlineStr">
        <is>
          <t>A 60353-2019</t>
        </is>
      </c>
      <c r="B1739" s="1" t="n">
        <v>43780</v>
      </c>
      <c r="C1739" s="1" t="n">
        <v>45736</v>
      </c>
      <c r="D1739" t="inlineStr">
        <is>
          <t>VÄRMLANDS LÄN</t>
        </is>
      </c>
      <c r="E1739" t="inlineStr">
        <is>
          <t>SUNNE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60453-2019</t>
        </is>
      </c>
      <c r="B1740" s="1" t="n">
        <v>43780</v>
      </c>
      <c r="C1740" s="1" t="n">
        <v>45736</v>
      </c>
      <c r="D1740" t="inlineStr">
        <is>
          <t>VÄRMLANDS LÄN</t>
        </is>
      </c>
      <c r="E1740" t="inlineStr">
        <is>
          <t>MUNKFORS</t>
        </is>
      </c>
      <c r="F1740" t="inlineStr">
        <is>
          <t>Kommuner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60443-2019</t>
        </is>
      </c>
      <c r="B1741" s="1" t="n">
        <v>43780</v>
      </c>
      <c r="C1741" s="1" t="n">
        <v>45736</v>
      </c>
      <c r="D1741" t="inlineStr">
        <is>
          <t>VÄRMLANDS LÄN</t>
        </is>
      </c>
      <c r="E1741" t="inlineStr">
        <is>
          <t>MUNKFORS</t>
        </is>
      </c>
      <c r="F1741" t="inlineStr">
        <is>
          <t>Kommuner</t>
        </is>
      </c>
      <c r="G1741" t="n">
        <v>3.4</v>
      </c>
      <c r="H1741" t="n">
        <v>0</v>
      </c>
      <c r="I1741" t="n">
        <v>0</v>
      </c>
      <c r="J1741" t="n">
        <v>0</v>
      </c>
      <c r="K1741" t="n">
        <v>0</v>
      </c>
      <c r="L1741" t="n">
        <v>0</v>
      </c>
      <c r="M1741" t="n">
        <v>0</v>
      </c>
      <c r="N1741" t="n">
        <v>0</v>
      </c>
      <c r="O1741" t="n">
        <v>0</v>
      </c>
      <c r="P1741" t="n">
        <v>0</v>
      </c>
      <c r="Q1741" t="n">
        <v>0</v>
      </c>
      <c r="R1741" s="2" t="inlineStr"/>
      <c r="U1741">
        <f>HYPERLINK("https://klasma.github.io/Logging_1762/knärot/A 60443-2019 karta knärot.png", "A 60443-2019")</f>
        <v/>
      </c>
      <c r="V1741">
        <f>HYPERLINK("https://klasma.github.io/Logging_1762/klagomål/A 60443-2019 FSC-klagomål.docx", "A 60443-2019")</f>
        <v/>
      </c>
      <c r="W1741">
        <f>HYPERLINK("https://klasma.github.io/Logging_1762/klagomålsmail/A 60443-2019 FSC-klagomål mail.docx", "A 60443-2019")</f>
        <v/>
      </c>
      <c r="X1741">
        <f>HYPERLINK("https://klasma.github.io/Logging_1762/tillsyn/A 60443-2019 tillsynsbegäran.docx", "A 60443-2019")</f>
        <v/>
      </c>
      <c r="Y1741">
        <f>HYPERLINK("https://klasma.github.io/Logging_1762/tillsynsmail/A 60443-2019 tillsynsbegäran mail.docx", "A 60443-2019")</f>
        <v/>
      </c>
    </row>
    <row r="1742" ht="15" customHeight="1">
      <c r="A1742" t="inlineStr">
        <is>
          <t>A 61449-2019</t>
        </is>
      </c>
      <c r="B1742" s="1" t="n">
        <v>43780</v>
      </c>
      <c r="C1742" s="1" t="n">
        <v>45736</v>
      </c>
      <c r="D1742" t="inlineStr">
        <is>
          <t>VÄRMLANDS LÄN</t>
        </is>
      </c>
      <c r="E1742" t="inlineStr">
        <is>
          <t>GRUMS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60639-2019</t>
        </is>
      </c>
      <c r="B1743" s="1" t="n">
        <v>43781</v>
      </c>
      <c r="C1743" s="1" t="n">
        <v>45736</v>
      </c>
      <c r="D1743" t="inlineStr">
        <is>
          <t>VÄRMLANDS LÄN</t>
        </is>
      </c>
      <c r="E1743" t="inlineStr">
        <is>
          <t>SUNNE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60658-2019</t>
        </is>
      </c>
      <c r="B1744" s="1" t="n">
        <v>43781</v>
      </c>
      <c r="C1744" s="1" t="n">
        <v>45736</v>
      </c>
      <c r="D1744" t="inlineStr">
        <is>
          <t>VÄRMLANDS LÄN</t>
        </is>
      </c>
      <c r="E1744" t="inlineStr">
        <is>
          <t>KRISTINEHAMN</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60663-2019</t>
        </is>
      </c>
      <c r="B1745" s="1" t="n">
        <v>43781</v>
      </c>
      <c r="C1745" s="1" t="n">
        <v>45736</v>
      </c>
      <c r="D1745" t="inlineStr">
        <is>
          <t>VÄRMLANDS LÄN</t>
        </is>
      </c>
      <c r="E1745" t="inlineStr">
        <is>
          <t>HAGFORS</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60632-2019</t>
        </is>
      </c>
      <c r="B1746" s="1" t="n">
        <v>43781</v>
      </c>
      <c r="C1746" s="1" t="n">
        <v>45736</v>
      </c>
      <c r="D1746" t="inlineStr">
        <is>
          <t>VÄRMLANDS LÄN</t>
        </is>
      </c>
      <c r="E1746" t="inlineStr">
        <is>
          <t>SUNNE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60545-2019</t>
        </is>
      </c>
      <c r="B1747" s="1" t="n">
        <v>43781</v>
      </c>
      <c r="C1747" s="1" t="n">
        <v>45736</v>
      </c>
      <c r="D1747" t="inlineStr">
        <is>
          <t>VÄRMLANDS LÄN</t>
        </is>
      </c>
      <c r="E1747" t="inlineStr">
        <is>
          <t>TORSBY</t>
        </is>
      </c>
      <c r="F1747" t="inlineStr">
        <is>
          <t>Bergvik skog väst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60659-2019</t>
        </is>
      </c>
      <c r="B1748" s="1" t="n">
        <v>43781</v>
      </c>
      <c r="C1748" s="1" t="n">
        <v>45736</v>
      </c>
      <c r="D1748" t="inlineStr">
        <is>
          <t>VÄRMLANDS LÄN</t>
        </is>
      </c>
      <c r="E1748" t="inlineStr">
        <is>
          <t>SUNNE</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60637-2019</t>
        </is>
      </c>
      <c r="B1749" s="1" t="n">
        <v>43781</v>
      </c>
      <c r="C1749" s="1" t="n">
        <v>45736</v>
      </c>
      <c r="D1749" t="inlineStr">
        <is>
          <t>VÄRMLANDS LÄN</t>
        </is>
      </c>
      <c r="E1749" t="inlineStr">
        <is>
          <t>SUNNE</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61098-2019</t>
        </is>
      </c>
      <c r="B1750" s="1" t="n">
        <v>43782</v>
      </c>
      <c r="C1750" s="1" t="n">
        <v>45736</v>
      </c>
      <c r="D1750" t="inlineStr">
        <is>
          <t>VÄRMLANDS LÄN</t>
        </is>
      </c>
      <c r="E1750" t="inlineStr">
        <is>
          <t>ARVIKA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61074-2019</t>
        </is>
      </c>
      <c r="B1751" s="1" t="n">
        <v>43782</v>
      </c>
      <c r="C1751" s="1" t="n">
        <v>45736</v>
      </c>
      <c r="D1751" t="inlineStr">
        <is>
          <t>VÄRMLANDS LÄN</t>
        </is>
      </c>
      <c r="E1751" t="inlineStr">
        <is>
          <t>TORSBY</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61104-2019</t>
        </is>
      </c>
      <c r="B1752" s="1" t="n">
        <v>43782</v>
      </c>
      <c r="C1752" s="1" t="n">
        <v>45736</v>
      </c>
      <c r="D1752" t="inlineStr">
        <is>
          <t>VÄRMLANDS LÄN</t>
        </is>
      </c>
      <c r="E1752" t="inlineStr">
        <is>
          <t>ARVIKA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61167-2019</t>
        </is>
      </c>
      <c r="B1753" s="1" t="n">
        <v>43782</v>
      </c>
      <c r="C1753" s="1" t="n">
        <v>45736</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61099-2019</t>
        </is>
      </c>
      <c r="B1754" s="1" t="n">
        <v>43782</v>
      </c>
      <c r="C1754" s="1" t="n">
        <v>45736</v>
      </c>
      <c r="D1754" t="inlineStr">
        <is>
          <t>VÄRMLANDS LÄN</t>
        </is>
      </c>
      <c r="E1754" t="inlineStr">
        <is>
          <t>ARVIKA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61278-2019</t>
        </is>
      </c>
      <c r="B1755" s="1" t="n">
        <v>43783</v>
      </c>
      <c r="C1755" s="1" t="n">
        <v>45736</v>
      </c>
      <c r="D1755" t="inlineStr">
        <is>
          <t>VÄRMLANDS LÄN</t>
        </is>
      </c>
      <c r="E1755" t="inlineStr">
        <is>
          <t>SUNNE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61341-2019</t>
        </is>
      </c>
      <c r="B1756" s="1" t="n">
        <v>43783</v>
      </c>
      <c r="C1756" s="1" t="n">
        <v>45736</v>
      </c>
      <c r="D1756" t="inlineStr">
        <is>
          <t>VÄRMLANDS LÄN</t>
        </is>
      </c>
      <c r="E1756" t="inlineStr">
        <is>
          <t>MUNKFORS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61596-2019</t>
        </is>
      </c>
      <c r="B1757" s="1" t="n">
        <v>43784</v>
      </c>
      <c r="C1757" s="1" t="n">
        <v>45736</v>
      </c>
      <c r="D1757" t="inlineStr">
        <is>
          <t>VÄRMLANDS LÄN</t>
        </is>
      </c>
      <c r="E1757" t="inlineStr">
        <is>
          <t>SUNNE</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61598-2019</t>
        </is>
      </c>
      <c r="B1758" s="1" t="n">
        <v>43784</v>
      </c>
      <c r="C1758" s="1" t="n">
        <v>45736</v>
      </c>
      <c r="D1758" t="inlineStr">
        <is>
          <t>VÄRMLANDS LÄN</t>
        </is>
      </c>
      <c r="E1758" t="inlineStr">
        <is>
          <t>EDA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61608-2019</t>
        </is>
      </c>
      <c r="B1759" s="1" t="n">
        <v>43784</v>
      </c>
      <c r="C1759" s="1" t="n">
        <v>45736</v>
      </c>
      <c r="D1759" t="inlineStr">
        <is>
          <t>VÄRMLANDS LÄN</t>
        </is>
      </c>
      <c r="E1759" t="inlineStr">
        <is>
          <t>SUNNE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61612-2019</t>
        </is>
      </c>
      <c r="B1760" s="1" t="n">
        <v>43784</v>
      </c>
      <c r="C1760" s="1" t="n">
        <v>45736</v>
      </c>
      <c r="D1760" t="inlineStr">
        <is>
          <t>VÄRMLANDS LÄN</t>
        </is>
      </c>
      <c r="E1760" t="inlineStr">
        <is>
          <t>SUNNE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61730-2019</t>
        </is>
      </c>
      <c r="B1761" s="1" t="n">
        <v>43784</v>
      </c>
      <c r="C1761" s="1" t="n">
        <v>45736</v>
      </c>
      <c r="D1761" t="inlineStr">
        <is>
          <t>VÄRMLANDS LÄN</t>
        </is>
      </c>
      <c r="E1761" t="inlineStr">
        <is>
          <t>EDA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61626-2019</t>
        </is>
      </c>
      <c r="B1762" s="1" t="n">
        <v>43784</v>
      </c>
      <c r="C1762" s="1" t="n">
        <v>45736</v>
      </c>
      <c r="D1762" t="inlineStr">
        <is>
          <t>VÄRMLANDS LÄN</t>
        </is>
      </c>
      <c r="E1762" t="inlineStr">
        <is>
          <t>SUNNE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62936-2019</t>
        </is>
      </c>
      <c r="B1763" s="1" t="n">
        <v>43784</v>
      </c>
      <c r="C1763" s="1" t="n">
        <v>45736</v>
      </c>
      <c r="D1763" t="inlineStr">
        <is>
          <t>VÄRMLANDS LÄN</t>
        </is>
      </c>
      <c r="E1763" t="inlineStr">
        <is>
          <t>FORSHAGA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61789-2019</t>
        </is>
      </c>
      <c r="B1764" s="1" t="n">
        <v>43785</v>
      </c>
      <c r="C1764" s="1" t="n">
        <v>45736</v>
      </c>
      <c r="D1764" t="inlineStr">
        <is>
          <t>VÄRMLANDS LÄN</t>
        </is>
      </c>
      <c r="E1764" t="inlineStr">
        <is>
          <t>SÄFFLE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61800-2019</t>
        </is>
      </c>
      <c r="B1765" s="1" t="n">
        <v>43786</v>
      </c>
      <c r="C1765" s="1" t="n">
        <v>45736</v>
      </c>
      <c r="D1765" t="inlineStr">
        <is>
          <t>VÄRMLANDS LÄN</t>
        </is>
      </c>
      <c r="E1765" t="inlineStr">
        <is>
          <t>ARVIKA</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61907-2019</t>
        </is>
      </c>
      <c r="B1766" s="1" t="n">
        <v>43787</v>
      </c>
      <c r="C1766" s="1" t="n">
        <v>45736</v>
      </c>
      <c r="D1766" t="inlineStr">
        <is>
          <t>VÄRMLANDS LÄN</t>
        </is>
      </c>
      <c r="E1766" t="inlineStr">
        <is>
          <t>MUNKFORS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62050-2019</t>
        </is>
      </c>
      <c r="B1767" s="1" t="n">
        <v>43787</v>
      </c>
      <c r="C1767" s="1" t="n">
        <v>45736</v>
      </c>
      <c r="D1767" t="inlineStr">
        <is>
          <t>VÄRMLANDS LÄN</t>
        </is>
      </c>
      <c r="E1767" t="inlineStr">
        <is>
          <t>TORSBY</t>
        </is>
      </c>
      <c r="F1767" t="inlineStr">
        <is>
          <t>Bergvik skog väst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62101-2019</t>
        </is>
      </c>
      <c r="B1768" s="1" t="n">
        <v>43787</v>
      </c>
      <c r="C1768" s="1" t="n">
        <v>45736</v>
      </c>
      <c r="D1768" t="inlineStr">
        <is>
          <t>VÄRMLANDS LÄN</t>
        </is>
      </c>
      <c r="E1768" t="inlineStr">
        <is>
          <t>STORFORS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61914-2019</t>
        </is>
      </c>
      <c r="B1769" s="1" t="n">
        <v>43787</v>
      </c>
      <c r="C1769" s="1" t="n">
        <v>45736</v>
      </c>
      <c r="D1769" t="inlineStr">
        <is>
          <t>VÄRMLANDS LÄN</t>
        </is>
      </c>
      <c r="E1769" t="inlineStr">
        <is>
          <t>KRISTINEHAMN</t>
        </is>
      </c>
      <c r="F1769" t="inlineStr">
        <is>
          <t>Naturvårdsverket</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61958-2019</t>
        </is>
      </c>
      <c r="B1770" s="1" t="n">
        <v>43787</v>
      </c>
      <c r="C1770" s="1" t="n">
        <v>45736</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61952-2019</t>
        </is>
      </c>
      <c r="B1771" s="1" t="n">
        <v>43787</v>
      </c>
      <c r="C1771" s="1" t="n">
        <v>45736</v>
      </c>
      <c r="D1771" t="inlineStr">
        <is>
          <t>VÄRMLANDS LÄN</t>
        </is>
      </c>
      <c r="E1771" t="inlineStr">
        <is>
          <t>EDA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62080-2019</t>
        </is>
      </c>
      <c r="B1772" s="1" t="n">
        <v>43787</v>
      </c>
      <c r="C1772" s="1" t="n">
        <v>45736</v>
      </c>
      <c r="D1772" t="inlineStr">
        <is>
          <t>VÄRMLANDS LÄN</t>
        </is>
      </c>
      <c r="E1772" t="inlineStr">
        <is>
          <t>SUNNE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63284-2019</t>
        </is>
      </c>
      <c r="B1773" s="1" t="n">
        <v>43787</v>
      </c>
      <c r="C1773" s="1" t="n">
        <v>45736</v>
      </c>
      <c r="D1773" t="inlineStr">
        <is>
          <t>VÄRMLANDS LÄN</t>
        </is>
      </c>
      <c r="E1773" t="inlineStr">
        <is>
          <t>GRUMS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62238-2019</t>
        </is>
      </c>
      <c r="B1774" s="1" t="n">
        <v>43788</v>
      </c>
      <c r="C1774" s="1" t="n">
        <v>45736</v>
      </c>
      <c r="D1774" t="inlineStr">
        <is>
          <t>VÄRMLANDS LÄN</t>
        </is>
      </c>
      <c r="E1774" t="inlineStr">
        <is>
          <t>ARVIKA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62255-2019</t>
        </is>
      </c>
      <c r="B1775" s="1" t="n">
        <v>43788</v>
      </c>
      <c r="C1775" s="1" t="n">
        <v>45736</v>
      </c>
      <c r="D1775" t="inlineStr">
        <is>
          <t>VÄRMLANDS LÄN</t>
        </is>
      </c>
      <c r="E1775" t="inlineStr">
        <is>
          <t>TORSBY</t>
        </is>
      </c>
      <c r="F1775" t="inlineStr">
        <is>
          <t>Bergvik skog väst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62207-2019</t>
        </is>
      </c>
      <c r="B1776" s="1" t="n">
        <v>43788</v>
      </c>
      <c r="C1776" s="1" t="n">
        <v>45736</v>
      </c>
      <c r="D1776" t="inlineStr">
        <is>
          <t>VÄRMLANDS LÄN</t>
        </is>
      </c>
      <c r="E1776" t="inlineStr">
        <is>
          <t>STORFORS</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63509-2019</t>
        </is>
      </c>
      <c r="B1777" s="1" t="n">
        <v>43788</v>
      </c>
      <c r="C1777" s="1" t="n">
        <v>45736</v>
      </c>
      <c r="D1777" t="inlineStr">
        <is>
          <t>VÄRMLANDS LÄN</t>
        </is>
      </c>
      <c r="E1777" t="inlineStr">
        <is>
          <t>SÄFFLE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62286-2019</t>
        </is>
      </c>
      <c r="B1778" s="1" t="n">
        <v>43788</v>
      </c>
      <c r="C1778" s="1" t="n">
        <v>45736</v>
      </c>
      <c r="D1778" t="inlineStr">
        <is>
          <t>VÄRMLANDS LÄN</t>
        </is>
      </c>
      <c r="E1778" t="inlineStr">
        <is>
          <t>TORSBY</t>
        </is>
      </c>
      <c r="F1778" t="inlineStr">
        <is>
          <t>Bergvik skog väst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62697-2019</t>
        </is>
      </c>
      <c r="B1779" s="1" t="n">
        <v>43789</v>
      </c>
      <c r="C1779" s="1" t="n">
        <v>45736</v>
      </c>
      <c r="D1779" t="inlineStr">
        <is>
          <t>VÄRMLANDS LÄN</t>
        </is>
      </c>
      <c r="E1779" t="inlineStr">
        <is>
          <t>EDA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63661-2019</t>
        </is>
      </c>
      <c r="B1780" s="1" t="n">
        <v>43789</v>
      </c>
      <c r="C1780" s="1" t="n">
        <v>45736</v>
      </c>
      <c r="D1780" t="inlineStr">
        <is>
          <t>VÄRMLANDS LÄN</t>
        </is>
      </c>
      <c r="E1780" t="inlineStr">
        <is>
          <t>SÄFFLE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62534-2019</t>
        </is>
      </c>
      <c r="B1781" s="1" t="n">
        <v>43789</v>
      </c>
      <c r="C1781" s="1" t="n">
        <v>45736</v>
      </c>
      <c r="D1781" t="inlineStr">
        <is>
          <t>VÄRMLANDS LÄN</t>
        </is>
      </c>
      <c r="E1781" t="inlineStr">
        <is>
          <t>KRISTINEHAMN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62741-2019</t>
        </is>
      </c>
      <c r="B1782" s="1" t="n">
        <v>43790</v>
      </c>
      <c r="C1782" s="1" t="n">
        <v>45736</v>
      </c>
      <c r="D1782" t="inlineStr">
        <is>
          <t>VÄRMLANDS LÄN</t>
        </is>
      </c>
      <c r="E1782" t="inlineStr">
        <is>
          <t>EDA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62902-2019</t>
        </is>
      </c>
      <c r="B1783" s="1" t="n">
        <v>43790</v>
      </c>
      <c r="C1783" s="1" t="n">
        <v>45736</v>
      </c>
      <c r="D1783" t="inlineStr">
        <is>
          <t>VÄRMLANDS LÄN</t>
        </is>
      </c>
      <c r="E1783" t="inlineStr">
        <is>
          <t>KIL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62911-2019</t>
        </is>
      </c>
      <c r="B1784" s="1" t="n">
        <v>43790</v>
      </c>
      <c r="C1784" s="1" t="n">
        <v>45736</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62922-2019</t>
        </is>
      </c>
      <c r="B1785" s="1" t="n">
        <v>43790</v>
      </c>
      <c r="C1785" s="1" t="n">
        <v>45736</v>
      </c>
      <c r="D1785" t="inlineStr">
        <is>
          <t>VÄRMLANDS LÄN</t>
        </is>
      </c>
      <c r="E1785" t="inlineStr">
        <is>
          <t>ARVIKA</t>
        </is>
      </c>
      <c r="F1785" t="inlineStr">
        <is>
          <t>Kommuner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62932-2019</t>
        </is>
      </c>
      <c r="B1786" s="1" t="n">
        <v>43790</v>
      </c>
      <c r="C1786" s="1" t="n">
        <v>45736</v>
      </c>
      <c r="D1786" t="inlineStr">
        <is>
          <t>VÄRMLANDS LÄN</t>
        </is>
      </c>
      <c r="E1786" t="inlineStr">
        <is>
          <t>SUNNE</t>
        </is>
      </c>
      <c r="F1786" t="inlineStr">
        <is>
          <t>Kommuner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62917-2019</t>
        </is>
      </c>
      <c r="B1787" s="1" t="n">
        <v>43790</v>
      </c>
      <c r="C1787" s="1" t="n">
        <v>45736</v>
      </c>
      <c r="D1787" t="inlineStr">
        <is>
          <t>VÄRMLANDS LÄN</t>
        </is>
      </c>
      <c r="E1787" t="inlineStr">
        <is>
          <t>ARVIKA</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62931-2019</t>
        </is>
      </c>
      <c r="B1788" s="1" t="n">
        <v>43790</v>
      </c>
      <c r="C1788" s="1" t="n">
        <v>45736</v>
      </c>
      <c r="D1788" t="inlineStr">
        <is>
          <t>VÄRMLANDS LÄN</t>
        </is>
      </c>
      <c r="E1788" t="inlineStr">
        <is>
          <t>ARVIKA</t>
        </is>
      </c>
      <c r="F1788" t="inlineStr">
        <is>
          <t>Kommuner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62905-2019</t>
        </is>
      </c>
      <c r="B1789" s="1" t="n">
        <v>43790</v>
      </c>
      <c r="C1789" s="1" t="n">
        <v>45736</v>
      </c>
      <c r="D1789" t="inlineStr">
        <is>
          <t>VÄRMLANDS LÄN</t>
        </is>
      </c>
      <c r="E1789" t="inlineStr">
        <is>
          <t>ARVIKA</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62989-2019</t>
        </is>
      </c>
      <c r="B1790" s="1" t="n">
        <v>43790</v>
      </c>
      <c r="C1790" s="1" t="n">
        <v>45736</v>
      </c>
      <c r="D1790" t="inlineStr">
        <is>
          <t>VÄRMLANDS LÄN</t>
        </is>
      </c>
      <c r="E1790" t="inlineStr">
        <is>
          <t>STORFORS</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62914-2019</t>
        </is>
      </c>
      <c r="B1791" s="1" t="n">
        <v>43790</v>
      </c>
      <c r="C1791" s="1" t="n">
        <v>45736</v>
      </c>
      <c r="D1791" t="inlineStr">
        <is>
          <t>VÄRMLANDS LÄN</t>
        </is>
      </c>
      <c r="E1791" t="inlineStr">
        <is>
          <t>ARVIKA</t>
        </is>
      </c>
      <c r="F1791" t="inlineStr">
        <is>
          <t>Kommuner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63890-2019</t>
        </is>
      </c>
      <c r="B1792" s="1" t="n">
        <v>43790</v>
      </c>
      <c r="C1792" s="1" t="n">
        <v>45736</v>
      </c>
      <c r="D1792" t="inlineStr">
        <is>
          <t>VÄRMLANDS LÄN</t>
        </is>
      </c>
      <c r="E1792" t="inlineStr">
        <is>
          <t>KARLSTAD</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62924-2019</t>
        </is>
      </c>
      <c r="B1793" s="1" t="n">
        <v>43790</v>
      </c>
      <c r="C1793" s="1" t="n">
        <v>45736</v>
      </c>
      <c r="D1793" t="inlineStr">
        <is>
          <t>VÄRMLANDS LÄN</t>
        </is>
      </c>
      <c r="E1793" t="inlineStr">
        <is>
          <t>ARVIKA</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63210-2019</t>
        </is>
      </c>
      <c r="B1794" s="1" t="n">
        <v>43791</v>
      </c>
      <c r="C1794" s="1" t="n">
        <v>45736</v>
      </c>
      <c r="D1794" t="inlineStr">
        <is>
          <t>VÄRMLANDS LÄN</t>
        </is>
      </c>
      <c r="E1794" t="inlineStr">
        <is>
          <t>ÅRJÄNG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64186-2019</t>
        </is>
      </c>
      <c r="B1795" s="1" t="n">
        <v>43791</v>
      </c>
      <c r="C1795" s="1" t="n">
        <v>45736</v>
      </c>
      <c r="D1795" t="inlineStr">
        <is>
          <t>VÄRMLANDS LÄN</t>
        </is>
      </c>
      <c r="E1795" t="inlineStr">
        <is>
          <t>SUNNE</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63258-2019</t>
        </is>
      </c>
      <c r="B1796" s="1" t="n">
        <v>43793</v>
      </c>
      <c r="C1796" s="1" t="n">
        <v>45736</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63260-2019</t>
        </is>
      </c>
      <c r="B1797" s="1" t="n">
        <v>43793</v>
      </c>
      <c r="C1797" s="1" t="n">
        <v>45736</v>
      </c>
      <c r="D1797" t="inlineStr">
        <is>
          <t>VÄRMLANDS LÄN</t>
        </is>
      </c>
      <c r="E1797" t="inlineStr">
        <is>
          <t>SUNNE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63253-2019</t>
        </is>
      </c>
      <c r="B1798" s="1" t="n">
        <v>43793</v>
      </c>
      <c r="C1798" s="1" t="n">
        <v>45736</v>
      </c>
      <c r="D1798" t="inlineStr">
        <is>
          <t>VÄRMLANDS LÄN</t>
        </is>
      </c>
      <c r="E1798" t="inlineStr">
        <is>
          <t>KARLSTAD</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63254-2019</t>
        </is>
      </c>
      <c r="B1799" s="1" t="n">
        <v>43793</v>
      </c>
      <c r="C1799" s="1" t="n">
        <v>45736</v>
      </c>
      <c r="D1799" t="inlineStr">
        <is>
          <t>VÄRMLANDS LÄN</t>
        </is>
      </c>
      <c r="E1799" t="inlineStr">
        <is>
          <t>KARLSTAD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63257-2019</t>
        </is>
      </c>
      <c r="B1800" s="1" t="n">
        <v>43793</v>
      </c>
      <c r="C1800" s="1" t="n">
        <v>45736</v>
      </c>
      <c r="D1800" t="inlineStr">
        <is>
          <t>VÄRMLANDS LÄN</t>
        </is>
      </c>
      <c r="E1800" t="inlineStr">
        <is>
          <t>SUNNE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63316-2019</t>
        </is>
      </c>
      <c r="B1801" s="1" t="n">
        <v>43794</v>
      </c>
      <c r="C1801" s="1" t="n">
        <v>45736</v>
      </c>
      <c r="D1801" t="inlineStr">
        <is>
          <t>VÄRMLANDS LÄN</t>
        </is>
      </c>
      <c r="E1801" t="inlineStr">
        <is>
          <t>FORSHAGA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63388-2019</t>
        </is>
      </c>
      <c r="B1802" s="1" t="n">
        <v>43794</v>
      </c>
      <c r="C1802" s="1" t="n">
        <v>45736</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64679-2019</t>
        </is>
      </c>
      <c r="B1803" s="1" t="n">
        <v>43794</v>
      </c>
      <c r="C1803" s="1" t="n">
        <v>45736</v>
      </c>
      <c r="D1803" t="inlineStr">
        <is>
          <t>VÄRMLANDS LÄN</t>
        </is>
      </c>
      <c r="E1803" t="inlineStr">
        <is>
          <t>SÄFFLE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63620-2019</t>
        </is>
      </c>
      <c r="B1804" s="1" t="n">
        <v>43795</v>
      </c>
      <c r="C1804" s="1" t="n">
        <v>45736</v>
      </c>
      <c r="D1804" t="inlineStr">
        <is>
          <t>VÄRMLANDS LÄN</t>
        </is>
      </c>
      <c r="E1804" t="inlineStr">
        <is>
          <t>KIL</t>
        </is>
      </c>
      <c r="F1804" t="inlineStr">
        <is>
          <t>Kyrkan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63649-2019</t>
        </is>
      </c>
      <c r="B1805" s="1" t="n">
        <v>43795</v>
      </c>
      <c r="C1805" s="1" t="n">
        <v>45736</v>
      </c>
      <c r="D1805" t="inlineStr">
        <is>
          <t>VÄRMLANDS LÄN</t>
        </is>
      </c>
      <c r="E1805" t="inlineStr">
        <is>
          <t>HAGFORS</t>
        </is>
      </c>
      <c r="F1805" t="inlineStr">
        <is>
          <t>Bergvik skog väst AB</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63743-2019</t>
        </is>
      </c>
      <c r="B1806" s="1" t="n">
        <v>43795</v>
      </c>
      <c r="C1806" s="1" t="n">
        <v>45736</v>
      </c>
      <c r="D1806" t="inlineStr">
        <is>
          <t>VÄRMLANDS LÄN</t>
        </is>
      </c>
      <c r="E1806" t="inlineStr">
        <is>
          <t>TORSBY</t>
        </is>
      </c>
      <c r="F1806" t="inlineStr">
        <is>
          <t>Bergvik skog väst AB</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63761-2019</t>
        </is>
      </c>
      <c r="B1807" s="1" t="n">
        <v>43795</v>
      </c>
      <c r="C1807" s="1" t="n">
        <v>45736</v>
      </c>
      <c r="D1807" t="inlineStr">
        <is>
          <t>VÄRMLANDS LÄN</t>
        </is>
      </c>
      <c r="E1807" t="inlineStr">
        <is>
          <t>HAGFORS</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63775-2019</t>
        </is>
      </c>
      <c r="B1808" s="1" t="n">
        <v>43795</v>
      </c>
      <c r="C1808" s="1" t="n">
        <v>45736</v>
      </c>
      <c r="D1808" t="inlineStr">
        <is>
          <t>VÄRMLANDS LÄN</t>
        </is>
      </c>
      <c r="E1808" t="inlineStr">
        <is>
          <t>GRUMS</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63812-2019</t>
        </is>
      </c>
      <c r="B1809" s="1" t="n">
        <v>43795</v>
      </c>
      <c r="C1809" s="1" t="n">
        <v>45736</v>
      </c>
      <c r="D1809" t="inlineStr">
        <is>
          <t>VÄRMLANDS LÄN</t>
        </is>
      </c>
      <c r="E1809" t="inlineStr">
        <is>
          <t>EDA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63698-2019</t>
        </is>
      </c>
      <c r="B1810" s="1" t="n">
        <v>43795</v>
      </c>
      <c r="C1810" s="1" t="n">
        <v>45736</v>
      </c>
      <c r="D1810" t="inlineStr">
        <is>
          <t>VÄRMLANDS LÄN</t>
        </is>
      </c>
      <c r="E1810" t="inlineStr">
        <is>
          <t>HAGFORS</t>
        </is>
      </c>
      <c r="F1810" t="inlineStr">
        <is>
          <t>Bergvik skog väst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63560-2019</t>
        </is>
      </c>
      <c r="B1811" s="1" t="n">
        <v>43795</v>
      </c>
      <c r="C1811" s="1" t="n">
        <v>45736</v>
      </c>
      <c r="D1811" t="inlineStr">
        <is>
          <t>VÄRMLANDS LÄN</t>
        </is>
      </c>
      <c r="E1811" t="inlineStr">
        <is>
          <t>MUNKFORS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64912-2019</t>
        </is>
      </c>
      <c r="B1812" s="1" t="n">
        <v>43795</v>
      </c>
      <c r="C1812" s="1" t="n">
        <v>45736</v>
      </c>
      <c r="D1812" t="inlineStr">
        <is>
          <t>VÄRMLANDS LÄN</t>
        </is>
      </c>
      <c r="E1812" t="inlineStr">
        <is>
          <t>ARVIKA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64886-2019</t>
        </is>
      </c>
      <c r="B1813" s="1" t="n">
        <v>43795</v>
      </c>
      <c r="C1813" s="1" t="n">
        <v>45736</v>
      </c>
      <c r="D1813" t="inlineStr">
        <is>
          <t>VÄRMLANDS LÄN</t>
        </is>
      </c>
      <c r="E1813" t="inlineStr">
        <is>
          <t>ARVIKA</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63654-2019</t>
        </is>
      </c>
      <c r="B1814" s="1" t="n">
        <v>43795</v>
      </c>
      <c r="C1814" s="1" t="n">
        <v>45736</v>
      </c>
      <c r="D1814" t="inlineStr">
        <is>
          <t>VÄRMLANDS LÄN</t>
        </is>
      </c>
      <c r="E1814" t="inlineStr">
        <is>
          <t>HAGFORS</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63815-2019</t>
        </is>
      </c>
      <c r="B1815" s="1" t="n">
        <v>43795</v>
      </c>
      <c r="C1815" s="1" t="n">
        <v>45736</v>
      </c>
      <c r="D1815" t="inlineStr">
        <is>
          <t>VÄRMLANDS LÄN</t>
        </is>
      </c>
      <c r="E1815" t="inlineStr">
        <is>
          <t>EDA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63954-2019</t>
        </is>
      </c>
      <c r="B1816" s="1" t="n">
        <v>43796</v>
      </c>
      <c r="C1816" s="1" t="n">
        <v>45736</v>
      </c>
      <c r="D1816" t="inlineStr">
        <is>
          <t>VÄRMLANDS LÄN</t>
        </is>
      </c>
      <c r="E1816" t="inlineStr">
        <is>
          <t>FORSHAGA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64063-2019</t>
        </is>
      </c>
      <c r="B1817" s="1" t="n">
        <v>43796</v>
      </c>
      <c r="C1817" s="1" t="n">
        <v>45736</v>
      </c>
      <c r="D1817" t="inlineStr">
        <is>
          <t>VÄRMLANDS LÄN</t>
        </is>
      </c>
      <c r="E1817" t="inlineStr">
        <is>
          <t>KRISTINEHAMN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64059-2019</t>
        </is>
      </c>
      <c r="B1818" s="1" t="n">
        <v>43796</v>
      </c>
      <c r="C1818" s="1" t="n">
        <v>45736</v>
      </c>
      <c r="D1818" t="inlineStr">
        <is>
          <t>VÄRMLANDS LÄN</t>
        </is>
      </c>
      <c r="E1818" t="inlineStr">
        <is>
          <t>KRISTINEHAMN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64114-2019</t>
        </is>
      </c>
      <c r="B1819" s="1" t="n">
        <v>43796</v>
      </c>
      <c r="C1819" s="1" t="n">
        <v>45736</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64207-2019</t>
        </is>
      </c>
      <c r="B1820" s="1" t="n">
        <v>43797</v>
      </c>
      <c r="C1820" s="1" t="n">
        <v>45736</v>
      </c>
      <c r="D1820" t="inlineStr">
        <is>
          <t>VÄRMLANDS LÄN</t>
        </is>
      </c>
      <c r="E1820" t="inlineStr">
        <is>
          <t>KARLSTAD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64342-2019</t>
        </is>
      </c>
      <c r="B1821" s="1" t="n">
        <v>43797</v>
      </c>
      <c r="C1821" s="1" t="n">
        <v>45736</v>
      </c>
      <c r="D1821" t="inlineStr">
        <is>
          <t>VÄRMLANDS LÄN</t>
        </is>
      </c>
      <c r="E1821" t="inlineStr">
        <is>
          <t>FILIPSTAD</t>
        </is>
      </c>
      <c r="F1821" t="inlineStr">
        <is>
          <t>Bergvik skog väst AB</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64219-2019</t>
        </is>
      </c>
      <c r="B1822" s="1" t="n">
        <v>43797</v>
      </c>
      <c r="C1822" s="1" t="n">
        <v>45736</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64343-2019</t>
        </is>
      </c>
      <c r="B1823" s="1" t="n">
        <v>43797</v>
      </c>
      <c r="C1823" s="1" t="n">
        <v>45736</v>
      </c>
      <c r="D1823" t="inlineStr">
        <is>
          <t>VÄRMLANDS LÄN</t>
        </is>
      </c>
      <c r="E1823" t="inlineStr">
        <is>
          <t>FILIPSTAD</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64444-2019</t>
        </is>
      </c>
      <c r="B1824" s="1" t="n">
        <v>43797</v>
      </c>
      <c r="C1824" s="1" t="n">
        <v>45736</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64353-2019</t>
        </is>
      </c>
      <c r="B1825" s="1" t="n">
        <v>43797</v>
      </c>
      <c r="C1825" s="1" t="n">
        <v>45736</v>
      </c>
      <c r="D1825" t="inlineStr">
        <is>
          <t>VÄRMLANDS LÄN</t>
        </is>
      </c>
      <c r="E1825" t="inlineStr">
        <is>
          <t>FILIPSTAD</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64238-2019</t>
        </is>
      </c>
      <c r="B1826" s="1" t="n">
        <v>43797</v>
      </c>
      <c r="C1826" s="1" t="n">
        <v>45736</v>
      </c>
      <c r="D1826" t="inlineStr">
        <is>
          <t>VÄRMLANDS LÄN</t>
        </is>
      </c>
      <c r="E1826" t="inlineStr">
        <is>
          <t>MUNKFORS</t>
        </is>
      </c>
      <c r="F1826" t="inlineStr">
        <is>
          <t>Bergvik skog väst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65187-2019</t>
        </is>
      </c>
      <c r="B1827" s="1" t="n">
        <v>43797</v>
      </c>
      <c r="C1827" s="1" t="n">
        <v>45736</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65243-2019</t>
        </is>
      </c>
      <c r="B1828" s="1" t="n">
        <v>43797</v>
      </c>
      <c r="C1828" s="1" t="n">
        <v>45736</v>
      </c>
      <c r="D1828" t="inlineStr">
        <is>
          <t>VÄRMLANDS LÄN</t>
        </is>
      </c>
      <c r="E1828" t="inlineStr">
        <is>
          <t>TORSBY</t>
        </is>
      </c>
      <c r="F1828" t="inlineStr">
        <is>
          <t>Övriga statliga verk och myndigheter</t>
        </is>
      </c>
      <c r="G1828" t="n">
        <v>20.3</v>
      </c>
      <c r="H1828" t="n">
        <v>0</v>
      </c>
      <c r="I1828" t="n">
        <v>0</v>
      </c>
      <c r="J1828" t="n">
        <v>0</v>
      </c>
      <c r="K1828" t="n">
        <v>0</v>
      </c>
      <c r="L1828" t="n">
        <v>0</v>
      </c>
      <c r="M1828" t="n">
        <v>0</v>
      </c>
      <c r="N1828" t="n">
        <v>0</v>
      </c>
      <c r="O1828" t="n">
        <v>0</v>
      </c>
      <c r="P1828" t="n">
        <v>0</v>
      </c>
      <c r="Q1828" t="n">
        <v>0</v>
      </c>
      <c r="R1828" s="2" t="inlineStr"/>
    </row>
    <row r="1829" ht="15" customHeight="1">
      <c r="A1829" t="inlineStr">
        <is>
          <t>A 64491-2019</t>
        </is>
      </c>
      <c r="B1829" s="1" t="n">
        <v>43798</v>
      </c>
      <c r="C1829" s="1" t="n">
        <v>45736</v>
      </c>
      <c r="D1829" t="inlineStr">
        <is>
          <t>VÄRMLANDS LÄN</t>
        </is>
      </c>
      <c r="E1829" t="inlineStr">
        <is>
          <t>STORFORS</t>
        </is>
      </c>
      <c r="F1829" t="inlineStr">
        <is>
          <t>Bergvik skog väst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64510-2019</t>
        </is>
      </c>
      <c r="B1830" s="1" t="n">
        <v>43798</v>
      </c>
      <c r="C1830" s="1" t="n">
        <v>45736</v>
      </c>
      <c r="D1830" t="inlineStr">
        <is>
          <t>VÄRMLANDS LÄN</t>
        </is>
      </c>
      <c r="E1830" t="inlineStr">
        <is>
          <t>ARVIKA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64609-2019</t>
        </is>
      </c>
      <c r="B1831" s="1" t="n">
        <v>43798</v>
      </c>
      <c r="C1831" s="1" t="n">
        <v>45736</v>
      </c>
      <c r="D1831" t="inlineStr">
        <is>
          <t>VÄRMLANDS LÄN</t>
        </is>
      </c>
      <c r="E1831" t="inlineStr">
        <is>
          <t>ARVIKA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64548-2019</t>
        </is>
      </c>
      <c r="B1832" s="1" t="n">
        <v>43798</v>
      </c>
      <c r="C1832" s="1" t="n">
        <v>45736</v>
      </c>
      <c r="D1832" t="inlineStr">
        <is>
          <t>VÄRMLANDS LÄN</t>
        </is>
      </c>
      <c r="E1832" t="inlineStr">
        <is>
          <t>SÄFFLE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64519-2019</t>
        </is>
      </c>
      <c r="B1833" s="1" t="n">
        <v>43798</v>
      </c>
      <c r="C1833" s="1" t="n">
        <v>45736</v>
      </c>
      <c r="D1833" t="inlineStr">
        <is>
          <t>VÄRMLANDS LÄN</t>
        </is>
      </c>
      <c r="E1833" t="inlineStr">
        <is>
          <t>ARVIKA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65901-2019</t>
        </is>
      </c>
      <c r="B1834" s="1" t="n">
        <v>43798</v>
      </c>
      <c r="C1834" s="1" t="n">
        <v>45736</v>
      </c>
      <c r="D1834" t="inlineStr">
        <is>
          <t>VÄRMLANDS LÄN</t>
        </is>
      </c>
      <c r="E1834" t="inlineStr">
        <is>
          <t>KRISTINEHAMN</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64803-2019</t>
        </is>
      </c>
      <c r="B1835" s="1" t="n">
        <v>43801</v>
      </c>
      <c r="C1835" s="1" t="n">
        <v>45736</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64823-2019</t>
        </is>
      </c>
      <c r="B1836" s="1" t="n">
        <v>43801</v>
      </c>
      <c r="C1836" s="1" t="n">
        <v>45736</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64801-2019</t>
        </is>
      </c>
      <c r="B1837" s="1" t="n">
        <v>43801</v>
      </c>
      <c r="C1837" s="1" t="n">
        <v>45736</v>
      </c>
      <c r="D1837" t="inlineStr">
        <is>
          <t>VÄRMLANDS LÄN</t>
        </is>
      </c>
      <c r="E1837" t="inlineStr">
        <is>
          <t>KRISTINEHAMN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64813-2019</t>
        </is>
      </c>
      <c r="B1838" s="1" t="n">
        <v>43801</v>
      </c>
      <c r="C1838" s="1" t="n">
        <v>45736</v>
      </c>
      <c r="D1838" t="inlineStr">
        <is>
          <t>VÄRMLANDS LÄN</t>
        </is>
      </c>
      <c r="E1838" t="inlineStr">
        <is>
          <t>SUNNE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64796-2019</t>
        </is>
      </c>
      <c r="B1839" s="1" t="n">
        <v>43801</v>
      </c>
      <c r="C1839" s="1" t="n">
        <v>45736</v>
      </c>
      <c r="D1839" t="inlineStr">
        <is>
          <t>VÄRMLANDS LÄN</t>
        </is>
      </c>
      <c r="E1839" t="inlineStr">
        <is>
          <t>KARLSTAD</t>
        </is>
      </c>
      <c r="F1839" t="inlineStr">
        <is>
          <t>Kyrkan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65005-2019</t>
        </is>
      </c>
      <c r="B1840" s="1" t="n">
        <v>43801</v>
      </c>
      <c r="C1840" s="1" t="n">
        <v>45736</v>
      </c>
      <c r="D1840" t="inlineStr">
        <is>
          <t>VÄRMLANDS LÄN</t>
        </is>
      </c>
      <c r="E1840" t="inlineStr">
        <is>
          <t>HAGFORS</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64814-2019</t>
        </is>
      </c>
      <c r="B1841" s="1" t="n">
        <v>43801</v>
      </c>
      <c r="C1841" s="1" t="n">
        <v>45736</v>
      </c>
      <c r="D1841" t="inlineStr">
        <is>
          <t>VÄRMLANDS LÄN</t>
        </is>
      </c>
      <c r="E1841" t="inlineStr">
        <is>
          <t>SUNNE</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65089-2019</t>
        </is>
      </c>
      <c r="B1842" s="1" t="n">
        <v>43802</v>
      </c>
      <c r="C1842" s="1" t="n">
        <v>45736</v>
      </c>
      <c r="D1842" t="inlineStr">
        <is>
          <t>VÄRMLANDS LÄN</t>
        </is>
      </c>
      <c r="E1842" t="inlineStr">
        <is>
          <t>FILIPSTAD</t>
        </is>
      </c>
      <c r="F1842" t="inlineStr">
        <is>
          <t>Bergvik skog väst AB</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65132-2019</t>
        </is>
      </c>
      <c r="B1843" s="1" t="n">
        <v>43802</v>
      </c>
      <c r="C1843" s="1" t="n">
        <v>45736</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65072-2019</t>
        </is>
      </c>
      <c r="B1844" s="1" t="n">
        <v>43802</v>
      </c>
      <c r="C1844" s="1" t="n">
        <v>45736</v>
      </c>
      <c r="D1844" t="inlineStr">
        <is>
          <t>VÄRMLANDS LÄN</t>
        </is>
      </c>
      <c r="E1844" t="inlineStr">
        <is>
          <t>HAGFORS</t>
        </is>
      </c>
      <c r="F1844" t="inlineStr">
        <is>
          <t>Bergvik skog väst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65114-2019</t>
        </is>
      </c>
      <c r="B1845" s="1" t="n">
        <v>43802</v>
      </c>
      <c r="C1845" s="1" t="n">
        <v>45736</v>
      </c>
      <c r="D1845" t="inlineStr">
        <is>
          <t>VÄRMLANDS LÄN</t>
        </is>
      </c>
      <c r="E1845" t="inlineStr">
        <is>
          <t>KRISTINEHAMN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65120-2019</t>
        </is>
      </c>
      <c r="B1846" s="1" t="n">
        <v>43802</v>
      </c>
      <c r="C1846" s="1" t="n">
        <v>45736</v>
      </c>
      <c r="D1846" t="inlineStr">
        <is>
          <t>VÄRMLANDS LÄN</t>
        </is>
      </c>
      <c r="E1846" t="inlineStr">
        <is>
          <t>KRISTINEHAMN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65156-2019</t>
        </is>
      </c>
      <c r="B1847" s="1" t="n">
        <v>43802</v>
      </c>
      <c r="C1847" s="1" t="n">
        <v>45736</v>
      </c>
      <c r="D1847" t="inlineStr">
        <is>
          <t>VÄRMLANDS LÄN</t>
        </is>
      </c>
      <c r="E1847" t="inlineStr">
        <is>
          <t>SUNNE</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65205-2019</t>
        </is>
      </c>
      <c r="B1848" s="1" t="n">
        <v>43802</v>
      </c>
      <c r="C1848" s="1" t="n">
        <v>45736</v>
      </c>
      <c r="D1848" t="inlineStr">
        <is>
          <t>VÄRMLANDS LÄN</t>
        </is>
      </c>
      <c r="E1848" t="inlineStr">
        <is>
          <t>ARVIKA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66267-2019</t>
        </is>
      </c>
      <c r="B1849" s="1" t="n">
        <v>43802</v>
      </c>
      <c r="C1849" s="1" t="n">
        <v>45736</v>
      </c>
      <c r="D1849" t="inlineStr">
        <is>
          <t>VÄRMLANDS LÄN</t>
        </is>
      </c>
      <c r="E1849" t="inlineStr">
        <is>
          <t>ÅRJÄNG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66439-2019</t>
        </is>
      </c>
      <c r="B1850" s="1" t="n">
        <v>43802</v>
      </c>
      <c r="C1850" s="1" t="n">
        <v>45736</v>
      </c>
      <c r="D1850" t="inlineStr">
        <is>
          <t>VÄRMLANDS LÄN</t>
        </is>
      </c>
      <c r="E1850" t="inlineStr">
        <is>
          <t>FORSHAGA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65076-2019</t>
        </is>
      </c>
      <c r="B1851" s="1" t="n">
        <v>43802</v>
      </c>
      <c r="C1851" s="1" t="n">
        <v>45736</v>
      </c>
      <c r="D1851" t="inlineStr">
        <is>
          <t>VÄRMLANDS LÄN</t>
        </is>
      </c>
      <c r="E1851" t="inlineStr">
        <is>
          <t>TORSBY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65302-2019</t>
        </is>
      </c>
      <c r="B1852" s="1" t="n">
        <v>43802</v>
      </c>
      <c r="C1852" s="1" t="n">
        <v>45736</v>
      </c>
      <c r="D1852" t="inlineStr">
        <is>
          <t>VÄRMLANDS LÄN</t>
        </is>
      </c>
      <c r="E1852" t="inlineStr">
        <is>
          <t>MUNKFORS</t>
        </is>
      </c>
      <c r="F1852" t="inlineStr">
        <is>
          <t>Bergvik skog väst AB</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65078-2019</t>
        </is>
      </c>
      <c r="B1853" s="1" t="n">
        <v>43802</v>
      </c>
      <c r="C1853" s="1" t="n">
        <v>45736</v>
      </c>
      <c r="D1853" t="inlineStr">
        <is>
          <t>VÄRMLANDS LÄN</t>
        </is>
      </c>
      <c r="E1853" t="inlineStr">
        <is>
          <t>FILIPSTAD</t>
        </is>
      </c>
      <c r="F1853" t="inlineStr">
        <is>
          <t>Bergvik skog väst AB</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65125-2019</t>
        </is>
      </c>
      <c r="B1854" s="1" t="n">
        <v>43802</v>
      </c>
      <c r="C1854" s="1" t="n">
        <v>45736</v>
      </c>
      <c r="D1854" t="inlineStr">
        <is>
          <t>VÄRMLANDS LÄN</t>
        </is>
      </c>
      <c r="E1854" t="inlineStr">
        <is>
          <t>KRISTINEHAMN</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65158-2019</t>
        </is>
      </c>
      <c r="B1855" s="1" t="n">
        <v>43802</v>
      </c>
      <c r="C1855" s="1" t="n">
        <v>45736</v>
      </c>
      <c r="D1855" t="inlineStr">
        <is>
          <t>VÄRMLANDS LÄN</t>
        </is>
      </c>
      <c r="E1855" t="inlineStr">
        <is>
          <t>FORSHAGA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65235-2019</t>
        </is>
      </c>
      <c r="B1856" s="1" t="n">
        <v>43802</v>
      </c>
      <c r="C1856" s="1" t="n">
        <v>45736</v>
      </c>
      <c r="D1856" t="inlineStr">
        <is>
          <t>VÄRMLANDS LÄN</t>
        </is>
      </c>
      <c r="E1856" t="inlineStr">
        <is>
          <t>FILIPSTAD</t>
        </is>
      </c>
      <c r="F1856" t="inlineStr">
        <is>
          <t>Bergvik skog väst AB</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66438-2019</t>
        </is>
      </c>
      <c r="B1857" s="1" t="n">
        <v>43802</v>
      </c>
      <c r="C1857" s="1" t="n">
        <v>45736</v>
      </c>
      <c r="D1857" t="inlineStr">
        <is>
          <t>VÄRMLANDS LÄN</t>
        </is>
      </c>
      <c r="E1857" t="inlineStr">
        <is>
          <t>FORSHAGA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65402-2019</t>
        </is>
      </c>
      <c r="B1858" s="1" t="n">
        <v>43803</v>
      </c>
      <c r="C1858" s="1" t="n">
        <v>45736</v>
      </c>
      <c r="D1858" t="inlineStr">
        <is>
          <t>VÄRMLANDS LÄN</t>
        </is>
      </c>
      <c r="E1858" t="inlineStr">
        <is>
          <t>SÄFFLE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65345-2019</t>
        </is>
      </c>
      <c r="B1859" s="1" t="n">
        <v>43803</v>
      </c>
      <c r="C1859" s="1" t="n">
        <v>45736</v>
      </c>
      <c r="D1859" t="inlineStr">
        <is>
          <t>VÄRMLANDS LÄN</t>
        </is>
      </c>
      <c r="E1859" t="inlineStr">
        <is>
          <t>FILIPSTAD</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65366-2019</t>
        </is>
      </c>
      <c r="B1860" s="1" t="n">
        <v>43803</v>
      </c>
      <c r="C1860" s="1" t="n">
        <v>45736</v>
      </c>
      <c r="D1860" t="inlineStr">
        <is>
          <t>VÄRMLANDS LÄN</t>
        </is>
      </c>
      <c r="E1860" t="inlineStr">
        <is>
          <t>FILIPSTAD</t>
        </is>
      </c>
      <c r="F1860" t="inlineStr">
        <is>
          <t>Bergvik skog väst AB</t>
        </is>
      </c>
      <c r="G1860" t="n">
        <v>40.5</v>
      </c>
      <c r="H1860" t="n">
        <v>0</v>
      </c>
      <c r="I1860" t="n">
        <v>0</v>
      </c>
      <c r="J1860" t="n">
        <v>0</v>
      </c>
      <c r="K1860" t="n">
        <v>0</v>
      </c>
      <c r="L1860" t="n">
        <v>0</v>
      </c>
      <c r="M1860" t="n">
        <v>0</v>
      </c>
      <c r="N1860" t="n">
        <v>0</v>
      </c>
      <c r="O1860" t="n">
        <v>0</v>
      </c>
      <c r="P1860" t="n">
        <v>0</v>
      </c>
      <c r="Q1860" t="n">
        <v>0</v>
      </c>
      <c r="R1860" s="2" t="inlineStr"/>
    </row>
    <row r="1861" ht="15" customHeight="1">
      <c r="A1861" t="inlineStr">
        <is>
          <t>A 65465-2019</t>
        </is>
      </c>
      <c r="B1861" s="1" t="n">
        <v>43803</v>
      </c>
      <c r="C1861" s="1" t="n">
        <v>45736</v>
      </c>
      <c r="D1861" t="inlineStr">
        <is>
          <t>VÄRMLANDS LÄN</t>
        </is>
      </c>
      <c r="E1861" t="inlineStr">
        <is>
          <t>TORSBY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66785-2019</t>
        </is>
      </c>
      <c r="B1862" s="1" t="n">
        <v>43804</v>
      </c>
      <c r="C1862" s="1" t="n">
        <v>45736</v>
      </c>
      <c r="D1862" t="inlineStr">
        <is>
          <t>VÄRMLANDS LÄN</t>
        </is>
      </c>
      <c r="E1862" t="inlineStr">
        <is>
          <t>HAGFORS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65609-2019</t>
        </is>
      </c>
      <c r="B1863" s="1" t="n">
        <v>43804</v>
      </c>
      <c r="C1863" s="1" t="n">
        <v>45736</v>
      </c>
      <c r="D1863" t="inlineStr">
        <is>
          <t>VÄRMLANDS LÄN</t>
        </is>
      </c>
      <c r="E1863" t="inlineStr">
        <is>
          <t>ÅRJÄNG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66794-2019</t>
        </is>
      </c>
      <c r="B1864" s="1" t="n">
        <v>43804</v>
      </c>
      <c r="C1864" s="1" t="n">
        <v>45736</v>
      </c>
      <c r="D1864" t="inlineStr">
        <is>
          <t>VÄRMLANDS LÄN</t>
        </is>
      </c>
      <c r="E1864" t="inlineStr">
        <is>
          <t>HAGFORS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65914-2019</t>
        </is>
      </c>
      <c r="B1865" s="1" t="n">
        <v>43805</v>
      </c>
      <c r="C1865" s="1" t="n">
        <v>45736</v>
      </c>
      <c r="D1865" t="inlineStr">
        <is>
          <t>VÄRMLANDS LÄN</t>
        </is>
      </c>
      <c r="E1865" t="inlineStr">
        <is>
          <t>TORSBY</t>
        </is>
      </c>
      <c r="F1865" t="inlineStr">
        <is>
          <t>Bergvik skog väst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65839-2019</t>
        </is>
      </c>
      <c r="B1866" s="1" t="n">
        <v>43805</v>
      </c>
      <c r="C1866" s="1" t="n">
        <v>45736</v>
      </c>
      <c r="D1866" t="inlineStr">
        <is>
          <t>VÄRMLANDS LÄN</t>
        </is>
      </c>
      <c r="E1866" t="inlineStr">
        <is>
          <t>FORSHAGA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65788-2019</t>
        </is>
      </c>
      <c r="B1867" s="1" t="n">
        <v>43805</v>
      </c>
      <c r="C1867" s="1" t="n">
        <v>45736</v>
      </c>
      <c r="D1867" t="inlineStr">
        <is>
          <t>VÄRMLANDS LÄN</t>
        </is>
      </c>
      <c r="E1867" t="inlineStr">
        <is>
          <t>SUNNE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65856-2019</t>
        </is>
      </c>
      <c r="B1868" s="1" t="n">
        <v>43805</v>
      </c>
      <c r="C1868" s="1" t="n">
        <v>45736</v>
      </c>
      <c r="D1868" t="inlineStr">
        <is>
          <t>VÄRMLANDS LÄN</t>
        </is>
      </c>
      <c r="E1868" t="inlineStr">
        <is>
          <t>FORSHAGA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67033-2019</t>
        </is>
      </c>
      <c r="B1869" s="1" t="n">
        <v>43805</v>
      </c>
      <c r="C1869" s="1" t="n">
        <v>45736</v>
      </c>
      <c r="D1869" t="inlineStr">
        <is>
          <t>VÄRMLANDS LÄN</t>
        </is>
      </c>
      <c r="E1869" t="inlineStr">
        <is>
          <t>SÄFFLE</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65880-2019</t>
        </is>
      </c>
      <c r="B1870" s="1" t="n">
        <v>43805</v>
      </c>
      <c r="C1870" s="1" t="n">
        <v>45736</v>
      </c>
      <c r="D1870" t="inlineStr">
        <is>
          <t>VÄRMLANDS LÄN</t>
        </is>
      </c>
      <c r="E1870" t="inlineStr">
        <is>
          <t>ARVIKA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65789-2019</t>
        </is>
      </c>
      <c r="B1871" s="1" t="n">
        <v>43805</v>
      </c>
      <c r="C1871" s="1" t="n">
        <v>45736</v>
      </c>
      <c r="D1871" t="inlineStr">
        <is>
          <t>VÄRMLANDS LÄN</t>
        </is>
      </c>
      <c r="E1871" t="inlineStr">
        <is>
          <t>KRISTINEHAMN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66064-2019</t>
        </is>
      </c>
      <c r="B1872" s="1" t="n">
        <v>43806</v>
      </c>
      <c r="C1872" s="1" t="n">
        <v>45736</v>
      </c>
      <c r="D1872" t="inlineStr">
        <is>
          <t>VÄRMLANDS LÄN</t>
        </is>
      </c>
      <c r="E1872" t="inlineStr">
        <is>
          <t>KRISTINEHAMN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66280-2019</t>
        </is>
      </c>
      <c r="B1873" s="1" t="n">
        <v>43808</v>
      </c>
      <c r="C1873" s="1" t="n">
        <v>45736</v>
      </c>
      <c r="D1873" t="inlineStr">
        <is>
          <t>VÄRMLANDS LÄN</t>
        </is>
      </c>
      <c r="E1873" t="inlineStr">
        <is>
          <t>SUNNE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67041-2019</t>
        </is>
      </c>
      <c r="B1874" s="1" t="n">
        <v>43808</v>
      </c>
      <c r="C1874" s="1" t="n">
        <v>45736</v>
      </c>
      <c r="D1874" t="inlineStr">
        <is>
          <t>VÄRMLANDS LÄN</t>
        </is>
      </c>
      <c r="E1874" t="inlineStr">
        <is>
          <t>SÄFFLE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67101-2019</t>
        </is>
      </c>
      <c r="B1875" s="1" t="n">
        <v>43808</v>
      </c>
      <c r="C1875" s="1" t="n">
        <v>45736</v>
      </c>
      <c r="D1875" t="inlineStr">
        <is>
          <t>VÄRMLANDS LÄN</t>
        </is>
      </c>
      <c r="E1875" t="inlineStr">
        <is>
          <t>SÄFFLE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66115-2019</t>
        </is>
      </c>
      <c r="B1876" s="1" t="n">
        <v>43808</v>
      </c>
      <c r="C1876" s="1" t="n">
        <v>45736</v>
      </c>
      <c r="D1876" t="inlineStr">
        <is>
          <t>VÄRMLANDS LÄN</t>
        </is>
      </c>
      <c r="E1876" t="inlineStr">
        <is>
          <t>HAGFORS</t>
        </is>
      </c>
      <c r="F1876" t="inlineStr">
        <is>
          <t>Bergvik skog väst AB</t>
        </is>
      </c>
      <c r="G1876" t="n">
        <v>13.7</v>
      </c>
      <c r="H1876" t="n">
        <v>0</v>
      </c>
      <c r="I1876" t="n">
        <v>0</v>
      </c>
      <c r="J1876" t="n">
        <v>0</v>
      </c>
      <c r="K1876" t="n">
        <v>0</v>
      </c>
      <c r="L1876" t="n">
        <v>0</v>
      </c>
      <c r="M1876" t="n">
        <v>0</v>
      </c>
      <c r="N1876" t="n">
        <v>0</v>
      </c>
      <c r="O1876" t="n">
        <v>0</v>
      </c>
      <c r="P1876" t="n">
        <v>0</v>
      </c>
      <c r="Q1876" t="n">
        <v>0</v>
      </c>
      <c r="R1876" s="2" t="inlineStr"/>
    </row>
    <row r="1877" ht="15" customHeight="1">
      <c r="A1877" t="inlineStr">
        <is>
          <t>A 66166-2019</t>
        </is>
      </c>
      <c r="B1877" s="1" t="n">
        <v>43808</v>
      </c>
      <c r="C1877" s="1" t="n">
        <v>45736</v>
      </c>
      <c r="D1877" t="inlineStr">
        <is>
          <t>VÄRMLANDS LÄN</t>
        </is>
      </c>
      <c r="E1877" t="inlineStr">
        <is>
          <t>STORFORS</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67089-2019</t>
        </is>
      </c>
      <c r="B1878" s="1" t="n">
        <v>43808</v>
      </c>
      <c r="C1878" s="1" t="n">
        <v>45736</v>
      </c>
      <c r="D1878" t="inlineStr">
        <is>
          <t>VÄRMLANDS LÄN</t>
        </is>
      </c>
      <c r="E1878" t="inlineStr">
        <is>
          <t>SÄFFLE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67087-2019</t>
        </is>
      </c>
      <c r="B1879" s="1" t="n">
        <v>43808</v>
      </c>
      <c r="C1879" s="1" t="n">
        <v>45736</v>
      </c>
      <c r="D1879" t="inlineStr">
        <is>
          <t>VÄRMLANDS LÄN</t>
        </is>
      </c>
      <c r="E1879" t="inlineStr">
        <is>
          <t>SÄFFLE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66352-2019</t>
        </is>
      </c>
      <c r="B1880" s="1" t="n">
        <v>43808</v>
      </c>
      <c r="C1880" s="1" t="n">
        <v>45736</v>
      </c>
      <c r="D1880" t="inlineStr">
        <is>
          <t>VÄRMLANDS LÄN</t>
        </is>
      </c>
      <c r="E1880" t="inlineStr">
        <is>
          <t>ARVIKA</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67095-2019</t>
        </is>
      </c>
      <c r="B1881" s="1" t="n">
        <v>43808</v>
      </c>
      <c r="C1881" s="1" t="n">
        <v>45736</v>
      </c>
      <c r="D1881" t="inlineStr">
        <is>
          <t>VÄRMLANDS LÄN</t>
        </is>
      </c>
      <c r="E1881" t="inlineStr">
        <is>
          <t>SÄFFLE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67527-2019</t>
        </is>
      </c>
      <c r="B1882" s="1" t="n">
        <v>43808</v>
      </c>
      <c r="C1882" s="1" t="n">
        <v>45736</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67141-2019</t>
        </is>
      </c>
      <c r="B1883" s="1" t="n">
        <v>43808</v>
      </c>
      <c r="C1883" s="1" t="n">
        <v>45736</v>
      </c>
      <c r="D1883" t="inlineStr">
        <is>
          <t>VÄRMLANDS LÄN</t>
        </is>
      </c>
      <c r="E1883" t="inlineStr">
        <is>
          <t>SÄFFLE</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66690-2019</t>
        </is>
      </c>
      <c r="B1884" s="1" t="n">
        <v>43809</v>
      </c>
      <c r="C1884" s="1" t="n">
        <v>45736</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66689-2019</t>
        </is>
      </c>
      <c r="B1885" s="1" t="n">
        <v>43809</v>
      </c>
      <c r="C1885" s="1" t="n">
        <v>45736</v>
      </c>
      <c r="D1885" t="inlineStr">
        <is>
          <t>VÄRMLANDS LÄN</t>
        </is>
      </c>
      <c r="E1885" t="inlineStr">
        <is>
          <t>TORSBY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67642-2019</t>
        </is>
      </c>
      <c r="B1886" s="1" t="n">
        <v>43809</v>
      </c>
      <c r="C1886" s="1" t="n">
        <v>45736</v>
      </c>
      <c r="D1886" t="inlineStr">
        <is>
          <t>VÄRMLANDS LÄN</t>
        </is>
      </c>
      <c r="E1886" t="inlineStr">
        <is>
          <t>KARLSTAD</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67686-2019</t>
        </is>
      </c>
      <c r="B1887" s="1" t="n">
        <v>43809</v>
      </c>
      <c r="C1887" s="1" t="n">
        <v>45736</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66688-2019</t>
        </is>
      </c>
      <c r="B1888" s="1" t="n">
        <v>43809</v>
      </c>
      <c r="C1888" s="1" t="n">
        <v>45736</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67690-2019</t>
        </is>
      </c>
      <c r="B1889" s="1" t="n">
        <v>43809</v>
      </c>
      <c r="C1889" s="1" t="n">
        <v>45736</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66749-2019</t>
        </is>
      </c>
      <c r="B1890" s="1" t="n">
        <v>43810</v>
      </c>
      <c r="C1890" s="1" t="n">
        <v>45736</v>
      </c>
      <c r="D1890" t="inlineStr">
        <is>
          <t>VÄRMLANDS LÄN</t>
        </is>
      </c>
      <c r="E1890" t="inlineStr">
        <is>
          <t>EDA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66818-2019</t>
        </is>
      </c>
      <c r="B1891" s="1" t="n">
        <v>43810</v>
      </c>
      <c r="C1891" s="1" t="n">
        <v>45736</v>
      </c>
      <c r="D1891" t="inlineStr">
        <is>
          <t>VÄRMLANDS LÄN</t>
        </is>
      </c>
      <c r="E1891" t="inlineStr">
        <is>
          <t>ARVIKA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66877-2019</t>
        </is>
      </c>
      <c r="B1892" s="1" t="n">
        <v>43810</v>
      </c>
      <c r="C1892" s="1" t="n">
        <v>45736</v>
      </c>
      <c r="D1892" t="inlineStr">
        <is>
          <t>VÄRMLANDS LÄN</t>
        </is>
      </c>
      <c r="E1892" t="inlineStr">
        <is>
          <t>FILIPSTAD</t>
        </is>
      </c>
      <c r="F1892" t="inlineStr">
        <is>
          <t>Bergvik skog väst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67671-2019</t>
        </is>
      </c>
      <c r="B1893" s="1" t="n">
        <v>43810</v>
      </c>
      <c r="C1893" s="1" t="n">
        <v>45736</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67763-2019</t>
        </is>
      </c>
      <c r="B1894" s="1" t="n">
        <v>43810</v>
      </c>
      <c r="C1894" s="1" t="n">
        <v>45736</v>
      </c>
      <c r="D1894" t="inlineStr">
        <is>
          <t>VÄRMLANDS LÄN</t>
        </is>
      </c>
      <c r="E1894" t="inlineStr">
        <is>
          <t>SUNNE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66946-2019</t>
        </is>
      </c>
      <c r="B1895" s="1" t="n">
        <v>43810</v>
      </c>
      <c r="C1895" s="1" t="n">
        <v>45736</v>
      </c>
      <c r="D1895" t="inlineStr">
        <is>
          <t>VÄRMLANDS LÄN</t>
        </is>
      </c>
      <c r="E1895" t="inlineStr">
        <is>
          <t>KARLSTAD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67091-2019</t>
        </is>
      </c>
      <c r="B1896" s="1" t="n">
        <v>43811</v>
      </c>
      <c r="C1896" s="1" t="n">
        <v>45736</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67124-2019</t>
        </is>
      </c>
      <c r="B1897" s="1" t="n">
        <v>43811</v>
      </c>
      <c r="C1897" s="1" t="n">
        <v>45736</v>
      </c>
      <c r="D1897" t="inlineStr">
        <is>
          <t>VÄRMLANDS LÄN</t>
        </is>
      </c>
      <c r="E1897" t="inlineStr">
        <is>
          <t>EDA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67045-2019</t>
        </is>
      </c>
      <c r="B1898" s="1" t="n">
        <v>43811</v>
      </c>
      <c r="C1898" s="1" t="n">
        <v>45736</v>
      </c>
      <c r="D1898" t="inlineStr">
        <is>
          <t>VÄRMLANDS LÄN</t>
        </is>
      </c>
      <c r="E1898" t="inlineStr">
        <is>
          <t>EDA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67062-2019</t>
        </is>
      </c>
      <c r="B1899" s="1" t="n">
        <v>43811</v>
      </c>
      <c r="C1899" s="1" t="n">
        <v>45736</v>
      </c>
      <c r="D1899" t="inlineStr">
        <is>
          <t>VÄRMLANDS LÄN</t>
        </is>
      </c>
      <c r="E1899" t="inlineStr">
        <is>
          <t>EDA</t>
        </is>
      </c>
      <c r="G1899" t="n">
        <v>11.1</v>
      </c>
      <c r="H1899" t="n">
        <v>0</v>
      </c>
      <c r="I1899" t="n">
        <v>0</v>
      </c>
      <c r="J1899" t="n">
        <v>0</v>
      </c>
      <c r="K1899" t="n">
        <v>0</v>
      </c>
      <c r="L1899" t="n">
        <v>0</v>
      </c>
      <c r="M1899" t="n">
        <v>0</v>
      </c>
      <c r="N1899" t="n">
        <v>0</v>
      </c>
      <c r="O1899" t="n">
        <v>0</v>
      </c>
      <c r="P1899" t="n">
        <v>0</v>
      </c>
      <c r="Q1899" t="n">
        <v>0</v>
      </c>
      <c r="R1899" s="2" t="inlineStr"/>
    </row>
    <row r="1900" ht="15" customHeight="1">
      <c r="A1900" t="inlineStr">
        <is>
          <t>A 67134-2019</t>
        </is>
      </c>
      <c r="B1900" s="1" t="n">
        <v>43811</v>
      </c>
      <c r="C1900" s="1" t="n">
        <v>45736</v>
      </c>
      <c r="D1900" t="inlineStr">
        <is>
          <t>VÄRMLANDS LÄN</t>
        </is>
      </c>
      <c r="E1900" t="inlineStr">
        <is>
          <t>ARVIKA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67176-2019</t>
        </is>
      </c>
      <c r="B1901" s="1" t="n">
        <v>43811</v>
      </c>
      <c r="C1901" s="1" t="n">
        <v>45736</v>
      </c>
      <c r="D1901" t="inlineStr">
        <is>
          <t>VÄRMLANDS LÄN</t>
        </is>
      </c>
      <c r="E1901" t="inlineStr">
        <is>
          <t>SUNNE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67947-2019</t>
        </is>
      </c>
      <c r="B1902" s="1" t="n">
        <v>43811</v>
      </c>
      <c r="C1902" s="1" t="n">
        <v>45736</v>
      </c>
      <c r="D1902" t="inlineStr">
        <is>
          <t>VÄRMLANDS LÄN</t>
        </is>
      </c>
      <c r="E1902" t="inlineStr">
        <is>
          <t>SÄFFLE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67258-2019</t>
        </is>
      </c>
      <c r="B1903" s="1" t="n">
        <v>43812</v>
      </c>
      <c r="C1903" s="1" t="n">
        <v>45736</v>
      </c>
      <c r="D1903" t="inlineStr">
        <is>
          <t>VÄRMLANDS LÄN</t>
        </is>
      </c>
      <c r="E1903" t="inlineStr">
        <is>
          <t>KARLSTAD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67583-2019</t>
        </is>
      </c>
      <c r="B1904" s="1" t="n">
        <v>43815</v>
      </c>
      <c r="C1904" s="1" t="n">
        <v>45736</v>
      </c>
      <c r="D1904" t="inlineStr">
        <is>
          <t>VÄRMLANDS LÄN</t>
        </is>
      </c>
      <c r="E1904" t="inlineStr">
        <is>
          <t>EDA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67670-2019</t>
        </is>
      </c>
      <c r="B1905" s="1" t="n">
        <v>43815</v>
      </c>
      <c r="C1905" s="1" t="n">
        <v>45736</v>
      </c>
      <c r="D1905" t="inlineStr">
        <is>
          <t>VÄRMLANDS LÄN</t>
        </is>
      </c>
      <c r="E1905" t="inlineStr">
        <is>
          <t>SÄFFLE</t>
        </is>
      </c>
      <c r="F1905" t="inlineStr">
        <is>
          <t>Kyrkan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67728-2019</t>
        </is>
      </c>
      <c r="B1906" s="1" t="n">
        <v>43815</v>
      </c>
      <c r="C1906" s="1" t="n">
        <v>45736</v>
      </c>
      <c r="D1906" t="inlineStr">
        <is>
          <t>VÄRMLANDS LÄN</t>
        </is>
      </c>
      <c r="E1906" t="inlineStr">
        <is>
          <t>TORSBY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68786-2019</t>
        </is>
      </c>
      <c r="B1907" s="1" t="n">
        <v>43815</v>
      </c>
      <c r="C1907" s="1" t="n">
        <v>45736</v>
      </c>
      <c r="D1907" t="inlineStr">
        <is>
          <t>VÄRMLANDS LÄN</t>
        </is>
      </c>
      <c r="E1907" t="inlineStr">
        <is>
          <t>EDA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68960-2019</t>
        </is>
      </c>
      <c r="B1908" s="1" t="n">
        <v>43815</v>
      </c>
      <c r="C1908" s="1" t="n">
        <v>45736</v>
      </c>
      <c r="D1908" t="inlineStr">
        <is>
          <t>VÄRMLANDS LÄN</t>
        </is>
      </c>
      <c r="E1908" t="inlineStr">
        <is>
          <t>KARLSTAD</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68795-2019</t>
        </is>
      </c>
      <c r="B1909" s="1" t="n">
        <v>43815</v>
      </c>
      <c r="C1909" s="1" t="n">
        <v>45736</v>
      </c>
      <c r="D1909" t="inlineStr">
        <is>
          <t>VÄRMLANDS LÄN</t>
        </is>
      </c>
      <c r="E1909" t="inlineStr">
        <is>
          <t>ÅRJÄNG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67700-2019</t>
        </is>
      </c>
      <c r="B1910" s="1" t="n">
        <v>43815</v>
      </c>
      <c r="C1910" s="1" t="n">
        <v>45736</v>
      </c>
      <c r="D1910" t="inlineStr">
        <is>
          <t>VÄRMLANDS LÄN</t>
        </is>
      </c>
      <c r="E1910" t="inlineStr">
        <is>
          <t>ARVIKA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67873-2019</t>
        </is>
      </c>
      <c r="B1911" s="1" t="n">
        <v>43816</v>
      </c>
      <c r="C1911" s="1" t="n">
        <v>45736</v>
      </c>
      <c r="D1911" t="inlineStr">
        <is>
          <t>VÄRMLANDS LÄN</t>
        </is>
      </c>
      <c r="E1911" t="inlineStr">
        <is>
          <t>HAGFORS</t>
        </is>
      </c>
      <c r="F1911" t="inlineStr">
        <is>
          <t>Bergvik skog väst AB</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67904-2019</t>
        </is>
      </c>
      <c r="B1912" s="1" t="n">
        <v>43816</v>
      </c>
      <c r="C1912" s="1" t="n">
        <v>45736</v>
      </c>
      <c r="D1912" t="inlineStr">
        <is>
          <t>VÄRMLANDS LÄN</t>
        </is>
      </c>
      <c r="E1912" t="inlineStr">
        <is>
          <t>FILIPSTAD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68056-2019</t>
        </is>
      </c>
      <c r="B1913" s="1" t="n">
        <v>43816</v>
      </c>
      <c r="C1913" s="1" t="n">
        <v>45736</v>
      </c>
      <c r="D1913" t="inlineStr">
        <is>
          <t>VÄRMLANDS LÄN</t>
        </is>
      </c>
      <c r="E1913" t="inlineStr">
        <is>
          <t>ARVIKA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67903-2019</t>
        </is>
      </c>
      <c r="B1914" s="1" t="n">
        <v>43816</v>
      </c>
      <c r="C1914" s="1" t="n">
        <v>45736</v>
      </c>
      <c r="D1914" t="inlineStr">
        <is>
          <t>VÄRMLANDS LÄN</t>
        </is>
      </c>
      <c r="E1914" t="inlineStr">
        <is>
          <t>ARVIKA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68059-2019</t>
        </is>
      </c>
      <c r="B1915" s="1" t="n">
        <v>43816</v>
      </c>
      <c r="C1915" s="1" t="n">
        <v>45736</v>
      </c>
      <c r="D1915" t="inlineStr">
        <is>
          <t>VÄRMLANDS LÄN</t>
        </is>
      </c>
      <c r="E1915" t="inlineStr">
        <is>
          <t>ARVIKA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68372-2019</t>
        </is>
      </c>
      <c r="B1916" s="1" t="n">
        <v>43817</v>
      </c>
      <c r="C1916" s="1" t="n">
        <v>45736</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68259-2019</t>
        </is>
      </c>
      <c r="B1917" s="1" t="n">
        <v>43817</v>
      </c>
      <c r="C1917" s="1" t="n">
        <v>45736</v>
      </c>
      <c r="D1917" t="inlineStr">
        <is>
          <t>VÄRMLANDS LÄN</t>
        </is>
      </c>
      <c r="E1917" t="inlineStr">
        <is>
          <t>MUNKFORS</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68208-2019</t>
        </is>
      </c>
      <c r="B1918" s="1" t="n">
        <v>43817</v>
      </c>
      <c r="C1918" s="1" t="n">
        <v>45736</v>
      </c>
      <c r="D1918" t="inlineStr">
        <is>
          <t>VÄRMLANDS LÄN</t>
        </is>
      </c>
      <c r="E1918" t="inlineStr">
        <is>
          <t>SUNNE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68418-2019</t>
        </is>
      </c>
      <c r="B1919" s="1" t="n">
        <v>43818</v>
      </c>
      <c r="C1919" s="1" t="n">
        <v>45736</v>
      </c>
      <c r="D1919" t="inlineStr">
        <is>
          <t>VÄRMLANDS LÄN</t>
        </is>
      </c>
      <c r="E1919" t="inlineStr">
        <is>
          <t>SUNNE</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68588-2019</t>
        </is>
      </c>
      <c r="B1920" s="1" t="n">
        <v>43818</v>
      </c>
      <c r="C1920" s="1" t="n">
        <v>45736</v>
      </c>
      <c r="D1920" t="inlineStr">
        <is>
          <t>VÄRMLANDS LÄN</t>
        </is>
      </c>
      <c r="E1920" t="inlineStr">
        <is>
          <t>SÄFFLE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717-2020</t>
        </is>
      </c>
      <c r="B1921" s="1" t="n">
        <v>43818</v>
      </c>
      <c r="C1921" s="1" t="n">
        <v>45736</v>
      </c>
      <c r="D1921" t="inlineStr">
        <is>
          <t>VÄRMLANDS LÄN</t>
        </is>
      </c>
      <c r="E1921" t="inlineStr">
        <is>
          <t>KARLSTAD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753-2020</t>
        </is>
      </c>
      <c r="B1922" s="1" t="n">
        <v>43818</v>
      </c>
      <c r="C1922" s="1" t="n">
        <v>45736</v>
      </c>
      <c r="D1922" t="inlineStr">
        <is>
          <t>VÄRMLANDS LÄN</t>
        </is>
      </c>
      <c r="E1922" t="inlineStr">
        <is>
          <t>KRISTINEHAMN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718-2020</t>
        </is>
      </c>
      <c r="B1923" s="1" t="n">
        <v>43818</v>
      </c>
      <c r="C1923" s="1" t="n">
        <v>45736</v>
      </c>
      <c r="D1923" t="inlineStr">
        <is>
          <t>VÄRMLANDS LÄN</t>
        </is>
      </c>
      <c r="E1923" t="inlineStr">
        <is>
          <t>KARLSTAD</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757-2020</t>
        </is>
      </c>
      <c r="B1924" s="1" t="n">
        <v>43818</v>
      </c>
      <c r="C1924" s="1" t="n">
        <v>45736</v>
      </c>
      <c r="D1924" t="inlineStr">
        <is>
          <t>VÄRMLANDS LÄN</t>
        </is>
      </c>
      <c r="E1924" t="inlineStr">
        <is>
          <t>KRISTINEHAMN</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68354-2019</t>
        </is>
      </c>
      <c r="B1925" s="1" t="n">
        <v>43818</v>
      </c>
      <c r="C1925" s="1" t="n">
        <v>45736</v>
      </c>
      <c r="D1925" t="inlineStr">
        <is>
          <t>VÄRMLANDS LÄN</t>
        </is>
      </c>
      <c r="E1925" t="inlineStr">
        <is>
          <t>TORSBY</t>
        </is>
      </c>
      <c r="G1925" t="n">
        <v>61.1</v>
      </c>
      <c r="H1925" t="n">
        <v>0</v>
      </c>
      <c r="I1925" t="n">
        <v>0</v>
      </c>
      <c r="J1925" t="n">
        <v>0</v>
      </c>
      <c r="K1925" t="n">
        <v>0</v>
      </c>
      <c r="L1925" t="n">
        <v>0</v>
      </c>
      <c r="M1925" t="n">
        <v>0</v>
      </c>
      <c r="N1925" t="n">
        <v>0</v>
      </c>
      <c r="O1925" t="n">
        <v>0</v>
      </c>
      <c r="P1925" t="n">
        <v>0</v>
      </c>
      <c r="Q1925" t="n">
        <v>0</v>
      </c>
      <c r="R1925" s="2" t="inlineStr"/>
    </row>
    <row r="1926" ht="15" customHeight="1">
      <c r="A1926" t="inlineStr">
        <is>
          <t>A 750-2020</t>
        </is>
      </c>
      <c r="B1926" s="1" t="n">
        <v>43818</v>
      </c>
      <c r="C1926" s="1" t="n">
        <v>45736</v>
      </c>
      <c r="D1926" t="inlineStr">
        <is>
          <t>VÄRMLANDS LÄN</t>
        </is>
      </c>
      <c r="E1926" t="inlineStr">
        <is>
          <t>KRISTINEHAMN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68344-2019</t>
        </is>
      </c>
      <c r="B1927" s="1" t="n">
        <v>43818</v>
      </c>
      <c r="C1927" s="1" t="n">
        <v>45736</v>
      </c>
      <c r="D1927" t="inlineStr">
        <is>
          <t>VÄRMLANDS LÄN</t>
        </is>
      </c>
      <c r="E1927" t="inlineStr">
        <is>
          <t>FORSHAGA</t>
        </is>
      </c>
      <c r="F1927" t="inlineStr">
        <is>
          <t>Bergvik skog väst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746-2020</t>
        </is>
      </c>
      <c r="B1928" s="1" t="n">
        <v>43818</v>
      </c>
      <c r="C1928" s="1" t="n">
        <v>45736</v>
      </c>
      <c r="D1928" t="inlineStr">
        <is>
          <t>VÄRMLANDS LÄN</t>
        </is>
      </c>
      <c r="E1928" t="inlineStr">
        <is>
          <t>KARLSTAD</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766-2020</t>
        </is>
      </c>
      <c r="B1929" s="1" t="n">
        <v>43818</v>
      </c>
      <c r="C1929" s="1" t="n">
        <v>45736</v>
      </c>
      <c r="D1929" t="inlineStr">
        <is>
          <t>VÄRMLANDS LÄN</t>
        </is>
      </c>
      <c r="E1929" t="inlineStr">
        <is>
          <t>KRISTINEHAMN</t>
        </is>
      </c>
      <c r="F1929" t="inlineStr">
        <is>
          <t>Kommuner</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68360-2019</t>
        </is>
      </c>
      <c r="B1930" s="1" t="n">
        <v>43818</v>
      </c>
      <c r="C1930" s="1" t="n">
        <v>45736</v>
      </c>
      <c r="D1930" t="inlineStr">
        <is>
          <t>VÄRMLANDS LÄN</t>
        </is>
      </c>
      <c r="E1930" t="inlineStr">
        <is>
          <t>TORSBY</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68495-2019</t>
        </is>
      </c>
      <c r="B1931" s="1" t="n">
        <v>43818</v>
      </c>
      <c r="C1931" s="1" t="n">
        <v>45736</v>
      </c>
      <c r="D1931" t="inlineStr">
        <is>
          <t>VÄRMLANDS LÄN</t>
        </is>
      </c>
      <c r="E1931" t="inlineStr">
        <is>
          <t>FILIPSTAD</t>
        </is>
      </c>
      <c r="F1931" t="inlineStr">
        <is>
          <t>Bergvik skog väst AB</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68553-2019</t>
        </is>
      </c>
      <c r="B1932" s="1" t="n">
        <v>43818</v>
      </c>
      <c r="C1932" s="1" t="n">
        <v>45736</v>
      </c>
      <c r="D1932" t="inlineStr">
        <is>
          <t>VÄRMLANDS LÄN</t>
        </is>
      </c>
      <c r="E1932" t="inlineStr">
        <is>
          <t>TORSBY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68567-2019</t>
        </is>
      </c>
      <c r="B1933" s="1" t="n">
        <v>43818</v>
      </c>
      <c r="C1933" s="1" t="n">
        <v>45736</v>
      </c>
      <c r="D1933" t="inlineStr">
        <is>
          <t>VÄRMLANDS LÄN</t>
        </is>
      </c>
      <c r="E1933" t="inlineStr">
        <is>
          <t>ARVIKA</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68587-2019</t>
        </is>
      </c>
      <c r="B1934" s="1" t="n">
        <v>43818</v>
      </c>
      <c r="C1934" s="1" t="n">
        <v>45736</v>
      </c>
      <c r="D1934" t="inlineStr">
        <is>
          <t>VÄRMLANDS LÄN</t>
        </is>
      </c>
      <c r="E1934" t="inlineStr">
        <is>
          <t>KRISTINEHAMN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68560-2019</t>
        </is>
      </c>
      <c r="B1935" s="1" t="n">
        <v>43818</v>
      </c>
      <c r="C1935" s="1" t="n">
        <v>45736</v>
      </c>
      <c r="D1935" t="inlineStr">
        <is>
          <t>VÄRMLANDS LÄN</t>
        </is>
      </c>
      <c r="E1935" t="inlineStr">
        <is>
          <t>ARVIKA</t>
        </is>
      </c>
      <c r="F1935" t="inlineStr">
        <is>
          <t>Kommuner</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68577-2019</t>
        </is>
      </c>
      <c r="B1936" s="1" t="n">
        <v>43818</v>
      </c>
      <c r="C1936" s="1" t="n">
        <v>45736</v>
      </c>
      <c r="D1936" t="inlineStr">
        <is>
          <t>VÄRMLANDS LÄN</t>
        </is>
      </c>
      <c r="E1936" t="inlineStr">
        <is>
          <t>ARVIKA</t>
        </is>
      </c>
      <c r="F1936" t="inlineStr">
        <is>
          <t>Kommuner</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68589-2019</t>
        </is>
      </c>
      <c r="B1937" s="1" t="n">
        <v>43818</v>
      </c>
      <c r="C1937" s="1" t="n">
        <v>45736</v>
      </c>
      <c r="D1937" t="inlineStr">
        <is>
          <t>VÄRMLANDS LÄN</t>
        </is>
      </c>
      <c r="E1937" t="inlineStr">
        <is>
          <t>KARLSTAD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342-2020</t>
        </is>
      </c>
      <c r="B1938" s="1" t="n">
        <v>43818</v>
      </c>
      <c r="C1938" s="1" t="n">
        <v>45736</v>
      </c>
      <c r="D1938" t="inlineStr">
        <is>
          <t>VÄRMLANDS LÄN</t>
        </is>
      </c>
      <c r="E1938" t="inlineStr">
        <is>
          <t>STORFORS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68573-2019</t>
        </is>
      </c>
      <c r="B1939" s="1" t="n">
        <v>43818</v>
      </c>
      <c r="C1939" s="1" t="n">
        <v>45736</v>
      </c>
      <c r="D1939" t="inlineStr">
        <is>
          <t>VÄRMLANDS LÄN</t>
        </is>
      </c>
      <c r="E1939" t="inlineStr">
        <is>
          <t>ARVIKA</t>
        </is>
      </c>
      <c r="F1939" t="inlineStr">
        <is>
          <t>Kommuner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68820-2019</t>
        </is>
      </c>
      <c r="B1940" s="1" t="n">
        <v>43818</v>
      </c>
      <c r="C1940" s="1" t="n">
        <v>45736</v>
      </c>
      <c r="D1940" t="inlineStr">
        <is>
          <t>VÄRMLANDS LÄN</t>
        </is>
      </c>
      <c r="E1940" t="inlineStr">
        <is>
          <t>SUNNE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68631-2019</t>
        </is>
      </c>
      <c r="B1941" s="1" t="n">
        <v>43819</v>
      </c>
      <c r="C1941" s="1" t="n">
        <v>45736</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68643-2019</t>
        </is>
      </c>
      <c r="B1942" s="1" t="n">
        <v>43819</v>
      </c>
      <c r="C1942" s="1" t="n">
        <v>45736</v>
      </c>
      <c r="D1942" t="inlineStr">
        <is>
          <t>VÄRMLANDS LÄN</t>
        </is>
      </c>
      <c r="E1942" t="inlineStr">
        <is>
          <t>ÅRJÄNG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68639-2019</t>
        </is>
      </c>
      <c r="B1943" s="1" t="n">
        <v>43819</v>
      </c>
      <c r="C1943" s="1" t="n">
        <v>45736</v>
      </c>
      <c r="D1943" t="inlineStr">
        <is>
          <t>VÄRMLANDS LÄN</t>
        </is>
      </c>
      <c r="E1943" t="inlineStr">
        <is>
          <t>ÅRJÄNG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68695-2019</t>
        </is>
      </c>
      <c r="B1944" s="1" t="n">
        <v>43819</v>
      </c>
      <c r="C1944" s="1" t="n">
        <v>45736</v>
      </c>
      <c r="D1944" t="inlineStr">
        <is>
          <t>VÄRMLANDS LÄN</t>
        </is>
      </c>
      <c r="E1944" t="inlineStr">
        <is>
          <t>KARLSTAD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955-2020</t>
        </is>
      </c>
      <c r="B1945" s="1" t="n">
        <v>43819</v>
      </c>
      <c r="C1945" s="1" t="n">
        <v>45736</v>
      </c>
      <c r="D1945" t="inlineStr">
        <is>
          <t>VÄRMLANDS LÄN</t>
        </is>
      </c>
      <c r="E1945" t="inlineStr">
        <is>
          <t>KARLSTAD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68635-2019</t>
        </is>
      </c>
      <c r="B1946" s="1" t="n">
        <v>43819</v>
      </c>
      <c r="C1946" s="1" t="n">
        <v>45736</v>
      </c>
      <c r="D1946" t="inlineStr">
        <is>
          <t>VÄRMLANDS LÄN</t>
        </is>
      </c>
      <c r="E1946" t="inlineStr">
        <is>
          <t>EDA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68898-2019</t>
        </is>
      </c>
      <c r="B1947" s="1" t="n">
        <v>43821</v>
      </c>
      <c r="C1947" s="1" t="n">
        <v>45736</v>
      </c>
      <c r="D1947" t="inlineStr">
        <is>
          <t>VÄRMLANDS LÄN</t>
        </is>
      </c>
      <c r="E1947" t="inlineStr">
        <is>
          <t>KARLSTAD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68895-2019</t>
        </is>
      </c>
      <c r="B1948" s="1" t="n">
        <v>43822</v>
      </c>
      <c r="C1948" s="1" t="n">
        <v>45736</v>
      </c>
      <c r="D1948" t="inlineStr">
        <is>
          <t>VÄRMLANDS LÄN</t>
        </is>
      </c>
      <c r="E1948" t="inlineStr">
        <is>
          <t>ARVIKA</t>
        </is>
      </c>
      <c r="F1948" t="inlineStr">
        <is>
          <t>Bergvik skog väst AB</t>
        </is>
      </c>
      <c r="G1948" t="n">
        <v>25.9</v>
      </c>
      <c r="H1948" t="n">
        <v>0</v>
      </c>
      <c r="I1948" t="n">
        <v>0</v>
      </c>
      <c r="J1948" t="n">
        <v>0</v>
      </c>
      <c r="K1948" t="n">
        <v>0</v>
      </c>
      <c r="L1948" t="n">
        <v>0</v>
      </c>
      <c r="M1948" t="n">
        <v>0</v>
      </c>
      <c r="N1948" t="n">
        <v>0</v>
      </c>
      <c r="O1948" t="n">
        <v>0</v>
      </c>
      <c r="P1948" t="n">
        <v>0</v>
      </c>
      <c r="Q1948" t="n">
        <v>0</v>
      </c>
      <c r="R1948" s="2" t="inlineStr"/>
    </row>
    <row r="1949" ht="15" customHeight="1">
      <c r="A1949" t="inlineStr">
        <is>
          <t>A 1386-2020</t>
        </is>
      </c>
      <c r="B1949" s="1" t="n">
        <v>43822</v>
      </c>
      <c r="C1949" s="1" t="n">
        <v>45736</v>
      </c>
      <c r="D1949" t="inlineStr">
        <is>
          <t>VÄRMLANDS LÄN</t>
        </is>
      </c>
      <c r="E1949" t="inlineStr">
        <is>
          <t>ÅRJÄNG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68975-2019</t>
        </is>
      </c>
      <c r="B1950" s="1" t="n">
        <v>43822</v>
      </c>
      <c r="C1950" s="1" t="n">
        <v>45736</v>
      </c>
      <c r="D1950" t="inlineStr">
        <is>
          <t>VÄRMLANDS LÄN</t>
        </is>
      </c>
      <c r="E1950" t="inlineStr">
        <is>
          <t>SUNNE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1392-2020</t>
        </is>
      </c>
      <c r="B1951" s="1" t="n">
        <v>43822</v>
      </c>
      <c r="C1951" s="1" t="n">
        <v>45736</v>
      </c>
      <c r="D1951" t="inlineStr">
        <is>
          <t>VÄRMLANDS LÄN</t>
        </is>
      </c>
      <c r="E1951" t="inlineStr">
        <is>
          <t>ÅRJÄNG</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69022-2019</t>
        </is>
      </c>
      <c r="B1952" s="1" t="n">
        <v>43826</v>
      </c>
      <c r="C1952" s="1" t="n">
        <v>45736</v>
      </c>
      <c r="D1952" t="inlineStr">
        <is>
          <t>VÄRMLANDS LÄN</t>
        </is>
      </c>
      <c r="E1952" t="inlineStr">
        <is>
          <t>KARLSTAD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69037-2019</t>
        </is>
      </c>
      <c r="B1953" s="1" t="n">
        <v>43826</v>
      </c>
      <c r="C1953" s="1" t="n">
        <v>45736</v>
      </c>
      <c r="D1953" t="inlineStr">
        <is>
          <t>VÄRMLANDS LÄN</t>
        </is>
      </c>
      <c r="E1953" t="inlineStr">
        <is>
          <t>EDA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69036-2019</t>
        </is>
      </c>
      <c r="B1954" s="1" t="n">
        <v>43826</v>
      </c>
      <c r="C1954" s="1" t="n">
        <v>45736</v>
      </c>
      <c r="D1954" t="inlineStr">
        <is>
          <t>VÄRMLANDS LÄN</t>
        </is>
      </c>
      <c r="E1954" t="inlineStr">
        <is>
          <t>EDA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69092-2019</t>
        </is>
      </c>
      <c r="B1955" s="1" t="n">
        <v>43829</v>
      </c>
      <c r="C1955" s="1" t="n">
        <v>45736</v>
      </c>
      <c r="D1955" t="inlineStr">
        <is>
          <t>VÄRMLANDS LÄN</t>
        </is>
      </c>
      <c r="E1955" t="inlineStr">
        <is>
          <t>SUNNE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69138-2019</t>
        </is>
      </c>
      <c r="B1956" s="1" t="n">
        <v>43829</v>
      </c>
      <c r="C1956" s="1" t="n">
        <v>45736</v>
      </c>
      <c r="D1956" t="inlineStr">
        <is>
          <t>VÄRMLANDS LÄN</t>
        </is>
      </c>
      <c r="E1956" t="inlineStr">
        <is>
          <t>FILIPSTAD</t>
        </is>
      </c>
      <c r="F1956" t="inlineStr">
        <is>
          <t>Bergvik skog väst AB</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69113-2019</t>
        </is>
      </c>
      <c r="B1957" s="1" t="n">
        <v>43829</v>
      </c>
      <c r="C1957" s="1" t="n">
        <v>45736</v>
      </c>
      <c r="D1957" t="inlineStr">
        <is>
          <t>VÄRMLANDS LÄN</t>
        </is>
      </c>
      <c r="E1957" t="inlineStr">
        <is>
          <t>FILIPSTAD</t>
        </is>
      </c>
      <c r="F1957" t="inlineStr">
        <is>
          <t>Bergvik skog väst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69089-2019</t>
        </is>
      </c>
      <c r="B1958" s="1" t="n">
        <v>43829</v>
      </c>
      <c r="C1958" s="1" t="n">
        <v>45736</v>
      </c>
      <c r="D1958" t="inlineStr">
        <is>
          <t>VÄRMLANDS LÄN</t>
        </is>
      </c>
      <c r="E1958" t="inlineStr">
        <is>
          <t>SUNNE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1611-2020</t>
        </is>
      </c>
      <c r="B1959" s="1" t="n">
        <v>43829</v>
      </c>
      <c r="C1959" s="1" t="n">
        <v>45736</v>
      </c>
      <c r="D1959" t="inlineStr">
        <is>
          <t>VÄRMLANDS LÄN</t>
        </is>
      </c>
      <c r="E1959" t="inlineStr">
        <is>
          <t>HAGFORS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69090-2019</t>
        </is>
      </c>
      <c r="B1960" s="1" t="n">
        <v>43829</v>
      </c>
      <c r="C1960" s="1" t="n">
        <v>45736</v>
      </c>
      <c r="D1960" t="inlineStr">
        <is>
          <t>VÄRMLANDS LÄN</t>
        </is>
      </c>
      <c r="E1960" t="inlineStr">
        <is>
          <t>KRISTINEHAMN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69086-2019</t>
        </is>
      </c>
      <c r="B1961" s="1" t="n">
        <v>43829</v>
      </c>
      <c r="C1961" s="1" t="n">
        <v>45736</v>
      </c>
      <c r="D1961" t="inlineStr">
        <is>
          <t>VÄRMLANDS LÄN</t>
        </is>
      </c>
      <c r="E1961" t="inlineStr">
        <is>
          <t>ARVIKA</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91-2020</t>
        </is>
      </c>
      <c r="B1962" s="1" t="n">
        <v>43832</v>
      </c>
      <c r="C1962" s="1" t="n">
        <v>45736</v>
      </c>
      <c r="D1962" t="inlineStr">
        <is>
          <t>VÄRMLANDS LÄN</t>
        </is>
      </c>
      <c r="E1962" t="inlineStr">
        <is>
          <t>ARVIKA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14-2020</t>
        </is>
      </c>
      <c r="B1963" s="1" t="n">
        <v>43832</v>
      </c>
      <c r="C1963" s="1" t="n">
        <v>45736</v>
      </c>
      <c r="D1963" t="inlineStr">
        <is>
          <t>VÄRMLANDS LÄN</t>
        </is>
      </c>
      <c r="E1963" t="inlineStr">
        <is>
          <t>ARVIKA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94-2020</t>
        </is>
      </c>
      <c r="B1964" s="1" t="n">
        <v>43832</v>
      </c>
      <c r="C1964" s="1" t="n">
        <v>45736</v>
      </c>
      <c r="D1964" t="inlineStr">
        <is>
          <t>VÄRMLANDS LÄN</t>
        </is>
      </c>
      <c r="E1964" t="inlineStr">
        <is>
          <t>ARVIKA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99-2020</t>
        </is>
      </c>
      <c r="B1965" s="1" t="n">
        <v>43832</v>
      </c>
      <c r="C1965" s="1" t="n">
        <v>45736</v>
      </c>
      <c r="D1965" t="inlineStr">
        <is>
          <t>VÄRMLANDS LÄN</t>
        </is>
      </c>
      <c r="E1965" t="inlineStr">
        <is>
          <t>FORSHAGA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2167-2020</t>
        </is>
      </c>
      <c r="B1966" s="1" t="n">
        <v>43832</v>
      </c>
      <c r="C1966" s="1" t="n">
        <v>45736</v>
      </c>
      <c r="D1966" t="inlineStr">
        <is>
          <t>VÄRMLANDS LÄN</t>
        </is>
      </c>
      <c r="E1966" t="inlineStr">
        <is>
          <t>KARLSTAD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1663-2020</t>
        </is>
      </c>
      <c r="B1967" s="1" t="n">
        <v>43832</v>
      </c>
      <c r="C1967" s="1" t="n">
        <v>45736</v>
      </c>
      <c r="D1967" t="inlineStr">
        <is>
          <t>VÄRMLANDS LÄN</t>
        </is>
      </c>
      <c r="E1967" t="inlineStr">
        <is>
          <t>KARLSTAD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137-2020</t>
        </is>
      </c>
      <c r="B1968" s="1" t="n">
        <v>43833</v>
      </c>
      <c r="C1968" s="1" t="n">
        <v>45736</v>
      </c>
      <c r="D1968" t="inlineStr">
        <is>
          <t>VÄRMLANDS LÄN</t>
        </is>
      </c>
      <c r="E1968" t="inlineStr">
        <is>
          <t>EDA</t>
        </is>
      </c>
      <c r="F1968" t="inlineStr">
        <is>
          <t>Övriga Aktiebolag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170-2020</t>
        </is>
      </c>
      <c r="B1969" s="1" t="n">
        <v>43833</v>
      </c>
      <c r="C1969" s="1" t="n">
        <v>45736</v>
      </c>
      <c r="D1969" t="inlineStr">
        <is>
          <t>VÄRMLANDS LÄN</t>
        </is>
      </c>
      <c r="E1969" t="inlineStr">
        <is>
          <t>MUNKFORS</t>
        </is>
      </c>
      <c r="F1969" t="inlineStr">
        <is>
          <t>Bergvik skog väst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200-2020</t>
        </is>
      </c>
      <c r="B1970" s="1" t="n">
        <v>43833</v>
      </c>
      <c r="C1970" s="1" t="n">
        <v>45736</v>
      </c>
      <c r="D1970" t="inlineStr">
        <is>
          <t>VÄRMLANDS LÄN</t>
        </is>
      </c>
      <c r="E1970" t="inlineStr">
        <is>
          <t>ÅRJÄNG</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140-2020</t>
        </is>
      </c>
      <c r="B1971" s="1" t="n">
        <v>43833</v>
      </c>
      <c r="C1971" s="1" t="n">
        <v>45736</v>
      </c>
      <c r="D1971" t="inlineStr">
        <is>
          <t>VÄRMLANDS LÄN</t>
        </is>
      </c>
      <c r="E1971" t="inlineStr">
        <is>
          <t>TORSBY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197-2020</t>
        </is>
      </c>
      <c r="B1972" s="1" t="n">
        <v>43833</v>
      </c>
      <c r="C1972" s="1" t="n">
        <v>45736</v>
      </c>
      <c r="D1972" t="inlineStr">
        <is>
          <t>VÄRMLANDS LÄN</t>
        </is>
      </c>
      <c r="E1972" t="inlineStr">
        <is>
          <t>ARVIKA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1799-2020</t>
        </is>
      </c>
      <c r="B1973" s="1" t="n">
        <v>43835</v>
      </c>
      <c r="C1973" s="1" t="n">
        <v>45736</v>
      </c>
      <c r="D1973" t="inlineStr">
        <is>
          <t>VÄRMLANDS LÄN</t>
        </is>
      </c>
      <c r="E1973" t="inlineStr">
        <is>
          <t>SÄFFLE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239-2020</t>
        </is>
      </c>
      <c r="B1974" s="1" t="n">
        <v>43835</v>
      </c>
      <c r="C1974" s="1" t="n">
        <v>45736</v>
      </c>
      <c r="D1974" t="inlineStr">
        <is>
          <t>VÄRMLANDS LÄN</t>
        </is>
      </c>
      <c r="E1974" t="inlineStr">
        <is>
          <t>ARVIKA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344-2020</t>
        </is>
      </c>
      <c r="B1975" s="1" t="n">
        <v>43837</v>
      </c>
      <c r="C1975" s="1" t="n">
        <v>45736</v>
      </c>
      <c r="D1975" t="inlineStr">
        <is>
          <t>VÄRMLANDS LÄN</t>
        </is>
      </c>
      <c r="E1975" t="inlineStr">
        <is>
          <t>SÄFFLE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349-2020</t>
        </is>
      </c>
      <c r="B1976" s="1" t="n">
        <v>43837</v>
      </c>
      <c r="C1976" s="1" t="n">
        <v>45736</v>
      </c>
      <c r="D1976" t="inlineStr">
        <is>
          <t>VÄRMLANDS LÄN</t>
        </is>
      </c>
      <c r="E1976" t="inlineStr">
        <is>
          <t>SÄFFLE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266-2020</t>
        </is>
      </c>
      <c r="B1977" s="1" t="n">
        <v>43837</v>
      </c>
      <c r="C1977" s="1" t="n">
        <v>45736</v>
      </c>
      <c r="D1977" t="inlineStr">
        <is>
          <t>VÄRMLANDS LÄN</t>
        </is>
      </c>
      <c r="E1977" t="inlineStr">
        <is>
          <t>STORFORS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323-2020</t>
        </is>
      </c>
      <c r="B1978" s="1" t="n">
        <v>43837</v>
      </c>
      <c r="C1978" s="1" t="n">
        <v>45736</v>
      </c>
      <c r="D1978" t="inlineStr">
        <is>
          <t>VÄRMLANDS LÄN</t>
        </is>
      </c>
      <c r="E1978" t="inlineStr">
        <is>
          <t>ARVIKA</t>
        </is>
      </c>
      <c r="F1978" t="inlineStr">
        <is>
          <t>Övriga Aktiebolag</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338-2020</t>
        </is>
      </c>
      <c r="B1979" s="1" t="n">
        <v>43837</v>
      </c>
      <c r="C1979" s="1" t="n">
        <v>45736</v>
      </c>
      <c r="D1979" t="inlineStr">
        <is>
          <t>VÄRMLANDS LÄN</t>
        </is>
      </c>
      <c r="E1979" t="inlineStr">
        <is>
          <t>TORSBY</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388-2020</t>
        </is>
      </c>
      <c r="B1980" s="1" t="n">
        <v>43837</v>
      </c>
      <c r="C1980" s="1" t="n">
        <v>45736</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351-2020</t>
        </is>
      </c>
      <c r="B1981" s="1" t="n">
        <v>43837</v>
      </c>
      <c r="C1981" s="1" t="n">
        <v>45736</v>
      </c>
      <c r="D1981" t="inlineStr">
        <is>
          <t>VÄRMLANDS LÄN</t>
        </is>
      </c>
      <c r="E1981" t="inlineStr">
        <is>
          <t>ARVIKA</t>
        </is>
      </c>
      <c r="F1981" t="inlineStr">
        <is>
          <t>Kommuner</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372-2020</t>
        </is>
      </c>
      <c r="B1982" s="1" t="n">
        <v>43837</v>
      </c>
      <c r="C1982" s="1" t="n">
        <v>45736</v>
      </c>
      <c r="D1982" t="inlineStr">
        <is>
          <t>VÄRMLANDS LÄN</t>
        </is>
      </c>
      <c r="E1982" t="inlineStr">
        <is>
          <t>MUNKFORS</t>
        </is>
      </c>
      <c r="F1982" t="inlineStr">
        <is>
          <t>Bergvik skog väst AB</t>
        </is>
      </c>
      <c r="G1982" t="n">
        <v>12.6</v>
      </c>
      <c r="H1982" t="n">
        <v>0</v>
      </c>
      <c r="I1982" t="n">
        <v>0</v>
      </c>
      <c r="J1982" t="n">
        <v>0</v>
      </c>
      <c r="K1982" t="n">
        <v>0</v>
      </c>
      <c r="L1982" t="n">
        <v>0</v>
      </c>
      <c r="M1982" t="n">
        <v>0</v>
      </c>
      <c r="N1982" t="n">
        <v>0</v>
      </c>
      <c r="O1982" t="n">
        <v>0</v>
      </c>
      <c r="P1982" t="n">
        <v>0</v>
      </c>
      <c r="Q1982" t="n">
        <v>0</v>
      </c>
      <c r="R1982" s="2" t="inlineStr"/>
    </row>
    <row r="1983" ht="15" customHeight="1">
      <c r="A1983" t="inlineStr">
        <is>
          <t>A 510-2020</t>
        </is>
      </c>
      <c r="B1983" s="1" t="n">
        <v>43837</v>
      </c>
      <c r="C1983" s="1" t="n">
        <v>45736</v>
      </c>
      <c r="D1983" t="inlineStr">
        <is>
          <t>VÄRMLANDS LÄN</t>
        </is>
      </c>
      <c r="E1983" t="inlineStr">
        <is>
          <t>HAGFORS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508-2020</t>
        </is>
      </c>
      <c r="B1984" s="1" t="n">
        <v>43837</v>
      </c>
      <c r="C1984" s="1" t="n">
        <v>45736</v>
      </c>
      <c r="D1984" t="inlineStr">
        <is>
          <t>VÄRMLANDS LÄN</t>
        </is>
      </c>
      <c r="E1984" t="inlineStr">
        <is>
          <t>HAGFORS</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1795-2020</t>
        </is>
      </c>
      <c r="B1985" s="1" t="n">
        <v>43837</v>
      </c>
      <c r="C1985" s="1" t="n">
        <v>45736</v>
      </c>
      <c r="D1985" t="inlineStr">
        <is>
          <t>VÄRMLANDS LÄN</t>
        </is>
      </c>
      <c r="E1985" t="inlineStr">
        <is>
          <t>ARVIKA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1791-2020</t>
        </is>
      </c>
      <c r="B1986" s="1" t="n">
        <v>43837</v>
      </c>
      <c r="C1986" s="1" t="n">
        <v>45736</v>
      </c>
      <c r="D1986" t="inlineStr">
        <is>
          <t>VÄRMLANDS LÄN</t>
        </is>
      </c>
      <c r="E1986" t="inlineStr">
        <is>
          <t>ARVIKA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785-2020</t>
        </is>
      </c>
      <c r="B1987" s="1" t="n">
        <v>43838</v>
      </c>
      <c r="C1987" s="1" t="n">
        <v>45736</v>
      </c>
      <c r="D1987" t="inlineStr">
        <is>
          <t>VÄRMLANDS LÄN</t>
        </is>
      </c>
      <c r="E1987" t="inlineStr">
        <is>
          <t>KRISTINEHAMN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722-2020</t>
        </is>
      </c>
      <c r="B1988" s="1" t="n">
        <v>43838</v>
      </c>
      <c r="C1988" s="1" t="n">
        <v>45736</v>
      </c>
      <c r="D1988" t="inlineStr">
        <is>
          <t>VÄRMLANDS LÄN</t>
        </is>
      </c>
      <c r="E1988" t="inlineStr">
        <is>
          <t>SÄFFLE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732-2020</t>
        </is>
      </c>
      <c r="B1989" s="1" t="n">
        <v>43838</v>
      </c>
      <c r="C1989" s="1" t="n">
        <v>45736</v>
      </c>
      <c r="D1989" t="inlineStr">
        <is>
          <t>VÄRMLANDS LÄN</t>
        </is>
      </c>
      <c r="E1989" t="inlineStr">
        <is>
          <t>SUNNE</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1939-2020</t>
        </is>
      </c>
      <c r="B1990" s="1" t="n">
        <v>43838</v>
      </c>
      <c r="C1990" s="1" t="n">
        <v>45736</v>
      </c>
      <c r="D1990" t="inlineStr">
        <is>
          <t>VÄRMLANDS LÄN</t>
        </is>
      </c>
      <c r="E1990" t="inlineStr">
        <is>
          <t>EDA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1991-2020</t>
        </is>
      </c>
      <c r="B1991" s="1" t="n">
        <v>43838</v>
      </c>
      <c r="C1991" s="1" t="n">
        <v>45736</v>
      </c>
      <c r="D1991" t="inlineStr">
        <is>
          <t>VÄRMLANDS LÄN</t>
        </is>
      </c>
      <c r="E1991" t="inlineStr">
        <is>
          <t>SÄFFLE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677-2020</t>
        </is>
      </c>
      <c r="B1992" s="1" t="n">
        <v>43838</v>
      </c>
      <c r="C1992" s="1" t="n">
        <v>45736</v>
      </c>
      <c r="D1992" t="inlineStr">
        <is>
          <t>VÄRMLANDS LÄN</t>
        </is>
      </c>
      <c r="E1992" t="inlineStr">
        <is>
          <t>FORSHAGA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1990-2020</t>
        </is>
      </c>
      <c r="B1993" s="1" t="n">
        <v>43838</v>
      </c>
      <c r="C1993" s="1" t="n">
        <v>45736</v>
      </c>
      <c r="D1993" t="inlineStr">
        <is>
          <t>VÄRMLANDS LÄN</t>
        </is>
      </c>
      <c r="E1993" t="inlineStr">
        <is>
          <t>SÄFFLE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1033-2020</t>
        </is>
      </c>
      <c r="B1994" s="1" t="n">
        <v>43839</v>
      </c>
      <c r="C1994" s="1" t="n">
        <v>45736</v>
      </c>
      <c r="D1994" t="inlineStr">
        <is>
          <t>VÄRMLANDS LÄN</t>
        </is>
      </c>
      <c r="E1994" t="inlineStr">
        <is>
          <t>KARLSTAD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858-2020</t>
        </is>
      </c>
      <c r="B1995" s="1" t="n">
        <v>43839</v>
      </c>
      <c r="C1995" s="1" t="n">
        <v>45736</v>
      </c>
      <c r="D1995" t="inlineStr">
        <is>
          <t>VÄRMLANDS LÄN</t>
        </is>
      </c>
      <c r="E1995" t="inlineStr">
        <is>
          <t>ARVIKA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953-2020</t>
        </is>
      </c>
      <c r="B1996" s="1" t="n">
        <v>43839</v>
      </c>
      <c r="C1996" s="1" t="n">
        <v>45736</v>
      </c>
      <c r="D1996" t="inlineStr">
        <is>
          <t>VÄRMLANDS LÄN</t>
        </is>
      </c>
      <c r="E1996" t="inlineStr">
        <is>
          <t>KRISTINEHAMN</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996-2020</t>
        </is>
      </c>
      <c r="B1997" s="1" t="n">
        <v>43839</v>
      </c>
      <c r="C1997" s="1" t="n">
        <v>45736</v>
      </c>
      <c r="D1997" t="inlineStr">
        <is>
          <t>VÄRMLANDS LÄN</t>
        </is>
      </c>
      <c r="E1997" t="inlineStr">
        <is>
          <t>ARVIKA</t>
        </is>
      </c>
      <c r="F1997" t="inlineStr">
        <is>
          <t>Övriga Aktiebolag</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854-2020</t>
        </is>
      </c>
      <c r="B1998" s="1" t="n">
        <v>43839</v>
      </c>
      <c r="C1998" s="1" t="n">
        <v>45736</v>
      </c>
      <c r="D1998" t="inlineStr">
        <is>
          <t>VÄRMLANDS LÄN</t>
        </is>
      </c>
      <c r="E1998" t="inlineStr">
        <is>
          <t>ARVIKA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1100-2020</t>
        </is>
      </c>
      <c r="B1999" s="1" t="n">
        <v>43840</v>
      </c>
      <c r="C1999" s="1" t="n">
        <v>45736</v>
      </c>
      <c r="D1999" t="inlineStr">
        <is>
          <t>VÄRMLANDS LÄN</t>
        </is>
      </c>
      <c r="E1999" t="inlineStr">
        <is>
          <t>EDA</t>
        </is>
      </c>
      <c r="F1999" t="inlineStr">
        <is>
          <t>Övriga Aktiebolag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1227-2020</t>
        </is>
      </c>
      <c r="B2000" s="1" t="n">
        <v>43840</v>
      </c>
      <c r="C2000" s="1" t="n">
        <v>45736</v>
      </c>
      <c r="D2000" t="inlineStr">
        <is>
          <t>VÄRMLANDS LÄN</t>
        </is>
      </c>
      <c r="E2000" t="inlineStr">
        <is>
          <t>SÄFFLE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1091-2020</t>
        </is>
      </c>
      <c r="B2001" s="1" t="n">
        <v>43840</v>
      </c>
      <c r="C2001" s="1" t="n">
        <v>45736</v>
      </c>
      <c r="D2001" t="inlineStr">
        <is>
          <t>VÄRMLANDS LÄN</t>
        </is>
      </c>
      <c r="E2001" t="inlineStr">
        <is>
          <t>KIL</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1214-2020</t>
        </is>
      </c>
      <c r="B2002" s="1" t="n">
        <v>43840</v>
      </c>
      <c r="C2002" s="1" t="n">
        <v>45736</v>
      </c>
      <c r="D2002" t="inlineStr">
        <is>
          <t>VÄRMLANDS LÄN</t>
        </is>
      </c>
      <c r="E2002" t="inlineStr">
        <is>
          <t>EDA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1277-2020</t>
        </is>
      </c>
      <c r="B2003" s="1" t="n">
        <v>43841</v>
      </c>
      <c r="C2003" s="1" t="n">
        <v>45736</v>
      </c>
      <c r="D2003" t="inlineStr">
        <is>
          <t>VÄRMLANDS LÄN</t>
        </is>
      </c>
      <c r="E2003" t="inlineStr">
        <is>
          <t>KIL</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1293-2020</t>
        </is>
      </c>
      <c r="B2004" s="1" t="n">
        <v>43842</v>
      </c>
      <c r="C2004" s="1" t="n">
        <v>45736</v>
      </c>
      <c r="D2004" t="inlineStr">
        <is>
          <t>VÄRMLANDS LÄN</t>
        </is>
      </c>
      <c r="E2004" t="inlineStr">
        <is>
          <t>KRISTINEHAMN</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1294-2020</t>
        </is>
      </c>
      <c r="B2005" s="1" t="n">
        <v>43842</v>
      </c>
      <c r="C2005" s="1" t="n">
        <v>45736</v>
      </c>
      <c r="D2005" t="inlineStr">
        <is>
          <t>VÄRMLANDS LÄN</t>
        </is>
      </c>
      <c r="E2005" t="inlineStr">
        <is>
          <t>KRISTINEHAMN</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1284-2020</t>
        </is>
      </c>
      <c r="B2006" s="1" t="n">
        <v>43842</v>
      </c>
      <c r="C2006" s="1" t="n">
        <v>45736</v>
      </c>
      <c r="D2006" t="inlineStr">
        <is>
          <t>VÄRMLANDS LÄN</t>
        </is>
      </c>
      <c r="E2006" t="inlineStr">
        <is>
          <t>MUNKFORS</t>
        </is>
      </c>
      <c r="F2006" t="inlineStr">
        <is>
          <t>Bergvik skog väst AB</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1297-2020</t>
        </is>
      </c>
      <c r="B2007" s="1" t="n">
        <v>43842</v>
      </c>
      <c r="C2007" s="1" t="n">
        <v>45736</v>
      </c>
      <c r="D2007" t="inlineStr">
        <is>
          <t>VÄRMLANDS LÄN</t>
        </is>
      </c>
      <c r="E2007" t="inlineStr">
        <is>
          <t>SUNNE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1460-2020</t>
        </is>
      </c>
      <c r="B2008" s="1" t="n">
        <v>43843</v>
      </c>
      <c r="C2008" s="1" t="n">
        <v>45736</v>
      </c>
      <c r="D2008" t="inlineStr">
        <is>
          <t>VÄRMLANDS LÄN</t>
        </is>
      </c>
      <c r="E2008" t="inlineStr">
        <is>
          <t>ÅRJÄNG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1474-2020</t>
        </is>
      </c>
      <c r="B2009" s="1" t="n">
        <v>43843</v>
      </c>
      <c r="C2009" s="1" t="n">
        <v>45736</v>
      </c>
      <c r="D2009" t="inlineStr">
        <is>
          <t>VÄRMLANDS LÄN</t>
        </is>
      </c>
      <c r="E2009" t="inlineStr">
        <is>
          <t>SÄFFLE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1542-2020</t>
        </is>
      </c>
      <c r="B2010" s="1" t="n">
        <v>43843</v>
      </c>
      <c r="C2010" s="1" t="n">
        <v>45736</v>
      </c>
      <c r="D2010" t="inlineStr">
        <is>
          <t>VÄRMLANDS LÄN</t>
        </is>
      </c>
      <c r="E2010" t="inlineStr">
        <is>
          <t>SUNNE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1322-2020</t>
        </is>
      </c>
      <c r="B2011" s="1" t="n">
        <v>43843</v>
      </c>
      <c r="C2011" s="1" t="n">
        <v>45736</v>
      </c>
      <c r="D2011" t="inlineStr">
        <is>
          <t>VÄRMLANDS LÄN</t>
        </is>
      </c>
      <c r="E2011" t="inlineStr">
        <is>
          <t>EDA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1544-2020</t>
        </is>
      </c>
      <c r="B2012" s="1" t="n">
        <v>43843</v>
      </c>
      <c r="C2012" s="1" t="n">
        <v>45736</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2513-2020</t>
        </is>
      </c>
      <c r="B2013" s="1" t="n">
        <v>43843</v>
      </c>
      <c r="C2013" s="1" t="n">
        <v>45736</v>
      </c>
      <c r="D2013" t="inlineStr">
        <is>
          <t>VÄRMLANDS LÄN</t>
        </is>
      </c>
      <c r="E2013" t="inlineStr">
        <is>
          <t>ARVIKA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2910-2020</t>
        </is>
      </c>
      <c r="B2014" s="1" t="n">
        <v>43843</v>
      </c>
      <c r="C2014" s="1" t="n">
        <v>45736</v>
      </c>
      <c r="D2014" t="inlineStr">
        <is>
          <t>VÄRMLANDS LÄN</t>
        </is>
      </c>
      <c r="E2014" t="inlineStr">
        <is>
          <t>ÅRJÄNG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1449-2020</t>
        </is>
      </c>
      <c r="B2015" s="1" t="n">
        <v>43843</v>
      </c>
      <c r="C2015" s="1" t="n">
        <v>45736</v>
      </c>
      <c r="D2015" t="inlineStr">
        <is>
          <t>VÄRMLANDS LÄN</t>
        </is>
      </c>
      <c r="E2015" t="inlineStr">
        <is>
          <t>SÄFFLE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1546-2020</t>
        </is>
      </c>
      <c r="B2016" s="1" t="n">
        <v>43843</v>
      </c>
      <c r="C2016" s="1" t="n">
        <v>45736</v>
      </c>
      <c r="D2016" t="inlineStr">
        <is>
          <t>VÄRMLANDS LÄN</t>
        </is>
      </c>
      <c r="E2016" t="inlineStr">
        <is>
          <t>SUNNE</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2706-2020</t>
        </is>
      </c>
      <c r="B2017" s="1" t="n">
        <v>43843</v>
      </c>
      <c r="C2017" s="1" t="n">
        <v>45736</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2918-2020</t>
        </is>
      </c>
      <c r="B2018" s="1" t="n">
        <v>43843</v>
      </c>
      <c r="C2018" s="1" t="n">
        <v>45736</v>
      </c>
      <c r="D2018" t="inlineStr">
        <is>
          <t>VÄRMLANDS LÄN</t>
        </is>
      </c>
      <c r="E2018" t="inlineStr">
        <is>
          <t>ÅRJÄNG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2842-2020</t>
        </is>
      </c>
      <c r="B2019" s="1" t="n">
        <v>43843</v>
      </c>
      <c r="C2019" s="1" t="n">
        <v>45736</v>
      </c>
      <c r="D2019" t="inlineStr">
        <is>
          <t>VÄRMLANDS LÄN</t>
        </is>
      </c>
      <c r="E2019" t="inlineStr">
        <is>
          <t>KIL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2544-2020</t>
        </is>
      </c>
      <c r="B2020" s="1" t="n">
        <v>43843</v>
      </c>
      <c r="C2020" s="1" t="n">
        <v>45736</v>
      </c>
      <c r="D2020" t="inlineStr">
        <is>
          <t>VÄRMLANDS LÄN</t>
        </is>
      </c>
      <c r="E2020" t="inlineStr">
        <is>
          <t>KRISTINEHAMN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2709-2020</t>
        </is>
      </c>
      <c r="B2021" s="1" t="n">
        <v>43843</v>
      </c>
      <c r="C2021" s="1" t="n">
        <v>45736</v>
      </c>
      <c r="D2021" t="inlineStr">
        <is>
          <t>VÄRMLANDS LÄN</t>
        </is>
      </c>
      <c r="E2021" t="inlineStr">
        <is>
          <t>ARVIKA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2857-2020</t>
        </is>
      </c>
      <c r="B2022" s="1" t="n">
        <v>43843</v>
      </c>
      <c r="C2022" s="1" t="n">
        <v>45736</v>
      </c>
      <c r="D2022" t="inlineStr">
        <is>
          <t>VÄRMLANDS LÄN</t>
        </is>
      </c>
      <c r="E2022" t="inlineStr">
        <is>
          <t>EDA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2771-2020</t>
        </is>
      </c>
      <c r="B2023" s="1" t="n">
        <v>43843</v>
      </c>
      <c r="C2023" s="1" t="n">
        <v>45736</v>
      </c>
      <c r="D2023" t="inlineStr">
        <is>
          <t>VÄRMLANDS LÄN</t>
        </is>
      </c>
      <c r="E2023" t="inlineStr">
        <is>
          <t>ARVIKA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2873-2020</t>
        </is>
      </c>
      <c r="B2024" s="1" t="n">
        <v>43843</v>
      </c>
      <c r="C2024" s="1" t="n">
        <v>45736</v>
      </c>
      <c r="D2024" t="inlineStr">
        <is>
          <t>VÄRMLANDS LÄN</t>
        </is>
      </c>
      <c r="E2024" t="inlineStr">
        <is>
          <t>EDA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1801-2020</t>
        </is>
      </c>
      <c r="B2025" s="1" t="n">
        <v>43844</v>
      </c>
      <c r="C2025" s="1" t="n">
        <v>45736</v>
      </c>
      <c r="D2025" t="inlineStr">
        <is>
          <t>VÄRMLANDS LÄN</t>
        </is>
      </c>
      <c r="E2025" t="inlineStr">
        <is>
          <t>STORFORS</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1631-2020</t>
        </is>
      </c>
      <c r="B2026" s="1" t="n">
        <v>43844</v>
      </c>
      <c r="C2026" s="1" t="n">
        <v>45736</v>
      </c>
      <c r="D2026" t="inlineStr">
        <is>
          <t>VÄRMLANDS LÄN</t>
        </is>
      </c>
      <c r="E2026" t="inlineStr">
        <is>
          <t>EDA</t>
        </is>
      </c>
      <c r="F2026" t="inlineStr">
        <is>
          <t>Övriga Aktiebolag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1625-2020</t>
        </is>
      </c>
      <c r="B2027" s="1" t="n">
        <v>43844</v>
      </c>
      <c r="C2027" s="1" t="n">
        <v>45736</v>
      </c>
      <c r="D2027" t="inlineStr">
        <is>
          <t>VÄRMLANDS LÄN</t>
        </is>
      </c>
      <c r="E2027" t="inlineStr">
        <is>
          <t>EDA</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3263-2020</t>
        </is>
      </c>
      <c r="B2028" s="1" t="n">
        <v>43844</v>
      </c>
      <c r="C2028" s="1" t="n">
        <v>45736</v>
      </c>
      <c r="D2028" t="inlineStr">
        <is>
          <t>VÄRMLANDS LÄN</t>
        </is>
      </c>
      <c r="E2028" t="inlineStr">
        <is>
          <t>TORSBY</t>
        </is>
      </c>
      <c r="G2028" t="n">
        <v>14.7</v>
      </c>
      <c r="H2028" t="n">
        <v>0</v>
      </c>
      <c r="I2028" t="n">
        <v>0</v>
      </c>
      <c r="J2028" t="n">
        <v>0</v>
      </c>
      <c r="K2028" t="n">
        <v>0</v>
      </c>
      <c r="L2028" t="n">
        <v>0</v>
      </c>
      <c r="M2028" t="n">
        <v>0</v>
      </c>
      <c r="N2028" t="n">
        <v>0</v>
      </c>
      <c r="O2028" t="n">
        <v>0</v>
      </c>
      <c r="P2028" t="n">
        <v>0</v>
      </c>
      <c r="Q2028" t="n">
        <v>0</v>
      </c>
      <c r="R2028" s="2" t="inlineStr"/>
    </row>
    <row r="2029" ht="15" customHeight="1">
      <c r="A2029" t="inlineStr">
        <is>
          <t>A 3172-2020</t>
        </is>
      </c>
      <c r="B2029" s="1" t="n">
        <v>43844</v>
      </c>
      <c r="C2029" s="1" t="n">
        <v>45736</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3419-2020</t>
        </is>
      </c>
      <c r="B2030" s="1" t="n">
        <v>43844</v>
      </c>
      <c r="C2030" s="1" t="n">
        <v>45736</v>
      </c>
      <c r="D2030" t="inlineStr">
        <is>
          <t>VÄRMLANDS LÄN</t>
        </is>
      </c>
      <c r="E2030" t="inlineStr">
        <is>
          <t>SÄFFLE</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1594-2020</t>
        </is>
      </c>
      <c r="B2031" s="1" t="n">
        <v>43844</v>
      </c>
      <c r="C2031" s="1" t="n">
        <v>45736</v>
      </c>
      <c r="D2031" t="inlineStr">
        <is>
          <t>VÄRMLANDS LÄN</t>
        </is>
      </c>
      <c r="E2031" t="inlineStr">
        <is>
          <t>KRISTINEHAMN</t>
        </is>
      </c>
      <c r="F2031" t="inlineStr">
        <is>
          <t>Naturvårdsverket</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1995-2020</t>
        </is>
      </c>
      <c r="B2032" s="1" t="n">
        <v>43845</v>
      </c>
      <c r="C2032" s="1" t="n">
        <v>45736</v>
      </c>
      <c r="D2032" t="inlineStr">
        <is>
          <t>VÄRMLANDS LÄN</t>
        </is>
      </c>
      <c r="E2032" t="inlineStr">
        <is>
          <t>SUNNE</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3364-2020</t>
        </is>
      </c>
      <c r="B2033" s="1" t="n">
        <v>43845</v>
      </c>
      <c r="C2033" s="1" t="n">
        <v>45736</v>
      </c>
      <c r="D2033" t="inlineStr">
        <is>
          <t>VÄRMLANDS LÄN</t>
        </is>
      </c>
      <c r="E2033" t="inlineStr">
        <is>
          <t>SÄFFLE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1964-2020</t>
        </is>
      </c>
      <c r="B2034" s="1" t="n">
        <v>43845</v>
      </c>
      <c r="C2034" s="1" t="n">
        <v>45736</v>
      </c>
      <c r="D2034" t="inlineStr">
        <is>
          <t>VÄRMLANDS LÄN</t>
        </is>
      </c>
      <c r="E2034" t="inlineStr">
        <is>
          <t>HAGFORS</t>
        </is>
      </c>
      <c r="F2034" t="inlineStr">
        <is>
          <t>Bergvik skog väst AB</t>
        </is>
      </c>
      <c r="G2034" t="n">
        <v>51.8</v>
      </c>
      <c r="H2034" t="n">
        <v>0</v>
      </c>
      <c r="I2034" t="n">
        <v>0</v>
      </c>
      <c r="J2034" t="n">
        <v>0</v>
      </c>
      <c r="K2034" t="n">
        <v>0</v>
      </c>
      <c r="L2034" t="n">
        <v>0</v>
      </c>
      <c r="M2034" t="n">
        <v>0</v>
      </c>
      <c r="N2034" t="n">
        <v>0</v>
      </c>
      <c r="O2034" t="n">
        <v>0</v>
      </c>
      <c r="P2034" t="n">
        <v>0</v>
      </c>
      <c r="Q2034" t="n">
        <v>0</v>
      </c>
      <c r="R2034" s="2" t="inlineStr"/>
    </row>
    <row r="2035" ht="15" customHeight="1">
      <c r="A2035" t="inlineStr">
        <is>
          <t>A 2075-2020</t>
        </is>
      </c>
      <c r="B2035" s="1" t="n">
        <v>43845</v>
      </c>
      <c r="C2035" s="1" t="n">
        <v>45736</v>
      </c>
      <c r="D2035" t="inlineStr">
        <is>
          <t>VÄRMLANDS LÄN</t>
        </is>
      </c>
      <c r="E2035" t="inlineStr">
        <is>
          <t>ARVIKA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2082-2020</t>
        </is>
      </c>
      <c r="B2036" s="1" t="n">
        <v>43845</v>
      </c>
      <c r="C2036" s="1" t="n">
        <v>45736</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1875-2020</t>
        </is>
      </c>
      <c r="B2037" s="1" t="n">
        <v>43845</v>
      </c>
      <c r="C2037" s="1" t="n">
        <v>45736</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2068-2020</t>
        </is>
      </c>
      <c r="B2038" s="1" t="n">
        <v>43845</v>
      </c>
      <c r="C2038" s="1" t="n">
        <v>45736</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3564-2020</t>
        </is>
      </c>
      <c r="B2039" s="1" t="n">
        <v>43845</v>
      </c>
      <c r="C2039" s="1" t="n">
        <v>45736</v>
      </c>
      <c r="D2039" t="inlineStr">
        <is>
          <t>VÄRMLANDS LÄN</t>
        </is>
      </c>
      <c r="E2039" t="inlineStr">
        <is>
          <t>STORFORS</t>
        </is>
      </c>
      <c r="F2039" t="inlineStr">
        <is>
          <t>Bergvik skog väst AB</t>
        </is>
      </c>
      <c r="G2039" t="n">
        <v>33.5</v>
      </c>
      <c r="H2039" t="n">
        <v>0</v>
      </c>
      <c r="I2039" t="n">
        <v>0</v>
      </c>
      <c r="J2039" t="n">
        <v>0</v>
      </c>
      <c r="K2039" t="n">
        <v>0</v>
      </c>
      <c r="L2039" t="n">
        <v>0</v>
      </c>
      <c r="M2039" t="n">
        <v>0</v>
      </c>
      <c r="N2039" t="n">
        <v>0</v>
      </c>
      <c r="O2039" t="n">
        <v>0</v>
      </c>
      <c r="P2039" t="n">
        <v>0</v>
      </c>
      <c r="Q2039" t="n">
        <v>0</v>
      </c>
      <c r="R2039" s="2" t="inlineStr"/>
    </row>
    <row r="2040" ht="15" customHeight="1">
      <c r="A2040" t="inlineStr">
        <is>
          <t>A 3541-2020</t>
        </is>
      </c>
      <c r="B2040" s="1" t="n">
        <v>43845</v>
      </c>
      <c r="C2040" s="1" t="n">
        <v>45736</v>
      </c>
      <c r="D2040" t="inlineStr">
        <is>
          <t>VÄRMLANDS LÄN</t>
        </is>
      </c>
      <c r="E2040" t="inlineStr">
        <is>
          <t>SÄFFLE</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2171-2020</t>
        </is>
      </c>
      <c r="B2041" s="1" t="n">
        <v>43846</v>
      </c>
      <c r="C2041" s="1" t="n">
        <v>45736</v>
      </c>
      <c r="D2041" t="inlineStr">
        <is>
          <t>VÄRMLANDS LÄN</t>
        </is>
      </c>
      <c r="E2041" t="inlineStr">
        <is>
          <t>SÄFFLE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2284-2020</t>
        </is>
      </c>
      <c r="B2042" s="1" t="n">
        <v>43846</v>
      </c>
      <c r="C2042" s="1" t="n">
        <v>45736</v>
      </c>
      <c r="D2042" t="inlineStr">
        <is>
          <t>VÄRMLANDS LÄN</t>
        </is>
      </c>
      <c r="E2042" t="inlineStr">
        <is>
          <t>KARLSTAD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3903-2020</t>
        </is>
      </c>
      <c r="B2043" s="1" t="n">
        <v>43846</v>
      </c>
      <c r="C2043" s="1" t="n">
        <v>45736</v>
      </c>
      <c r="D2043" t="inlineStr">
        <is>
          <t>VÄRMLANDS LÄN</t>
        </is>
      </c>
      <c r="E2043" t="inlineStr">
        <is>
          <t>ARVIKA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2120-2020</t>
        </is>
      </c>
      <c r="B2044" s="1" t="n">
        <v>43846</v>
      </c>
      <c r="C2044" s="1" t="n">
        <v>45736</v>
      </c>
      <c r="D2044" t="inlineStr">
        <is>
          <t>VÄRMLANDS LÄN</t>
        </is>
      </c>
      <c r="E2044" t="inlineStr">
        <is>
          <t>KRISTINEHAMN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4017-2020</t>
        </is>
      </c>
      <c r="B2045" s="1" t="n">
        <v>43846</v>
      </c>
      <c r="C2045" s="1" t="n">
        <v>45736</v>
      </c>
      <c r="D2045" t="inlineStr">
        <is>
          <t>VÄRMLANDS LÄN</t>
        </is>
      </c>
      <c r="E2045" t="inlineStr">
        <is>
          <t>TORSBY</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2392-2020</t>
        </is>
      </c>
      <c r="B2046" s="1" t="n">
        <v>43847</v>
      </c>
      <c r="C2046" s="1" t="n">
        <v>45736</v>
      </c>
      <c r="D2046" t="inlineStr">
        <is>
          <t>VÄRMLANDS LÄN</t>
        </is>
      </c>
      <c r="E2046" t="inlineStr">
        <is>
          <t>ÅRJÄNG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2437-2020</t>
        </is>
      </c>
      <c r="B2047" s="1" t="n">
        <v>43847</v>
      </c>
      <c r="C2047" s="1" t="n">
        <v>45736</v>
      </c>
      <c r="D2047" t="inlineStr">
        <is>
          <t>VÄRMLANDS LÄN</t>
        </is>
      </c>
      <c r="E2047" t="inlineStr">
        <is>
          <t>ÅRJÄNG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2389-2020</t>
        </is>
      </c>
      <c r="B2048" s="1" t="n">
        <v>43847</v>
      </c>
      <c r="C2048" s="1" t="n">
        <v>45736</v>
      </c>
      <c r="D2048" t="inlineStr">
        <is>
          <t>VÄRMLANDS LÄN</t>
        </is>
      </c>
      <c r="E2048" t="inlineStr">
        <is>
          <t>ÅRJÄNG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4276-2020</t>
        </is>
      </c>
      <c r="B2049" s="1" t="n">
        <v>43847</v>
      </c>
      <c r="C2049" s="1" t="n">
        <v>45736</v>
      </c>
      <c r="D2049" t="inlineStr">
        <is>
          <t>VÄRMLANDS LÄN</t>
        </is>
      </c>
      <c r="E2049" t="inlineStr">
        <is>
          <t>SÄFFLE</t>
        </is>
      </c>
      <c r="F2049" t="inlineStr">
        <is>
          <t>Bergvik skog väst AB</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2624-2020</t>
        </is>
      </c>
      <c r="B2050" s="1" t="n">
        <v>43847</v>
      </c>
      <c r="C2050" s="1" t="n">
        <v>45736</v>
      </c>
      <c r="D2050" t="inlineStr">
        <is>
          <t>VÄRMLANDS LÄN</t>
        </is>
      </c>
      <c r="E2050" t="inlineStr">
        <is>
          <t>ARVIKA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2388-2020</t>
        </is>
      </c>
      <c r="B2051" s="1" t="n">
        <v>43847</v>
      </c>
      <c r="C2051" s="1" t="n">
        <v>45736</v>
      </c>
      <c r="D2051" t="inlineStr">
        <is>
          <t>VÄRMLANDS LÄN</t>
        </is>
      </c>
      <c r="E2051" t="inlineStr">
        <is>
          <t>ÅRJÄNG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2657-2020</t>
        </is>
      </c>
      <c r="B2052" s="1" t="n">
        <v>43848</v>
      </c>
      <c r="C2052" s="1" t="n">
        <v>45736</v>
      </c>
      <c r="D2052" t="inlineStr">
        <is>
          <t>VÄRMLANDS LÄN</t>
        </is>
      </c>
      <c r="E2052" t="inlineStr">
        <is>
          <t>ÅRJÄNG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2660-2020</t>
        </is>
      </c>
      <c r="B2053" s="1" t="n">
        <v>43848</v>
      </c>
      <c r="C2053" s="1" t="n">
        <v>45736</v>
      </c>
      <c r="D2053" t="inlineStr">
        <is>
          <t>VÄRMLANDS LÄN</t>
        </is>
      </c>
      <c r="E2053" t="inlineStr">
        <is>
          <t>SÄFFLE</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2656-2020</t>
        </is>
      </c>
      <c r="B2054" s="1" t="n">
        <v>43848</v>
      </c>
      <c r="C2054" s="1" t="n">
        <v>45736</v>
      </c>
      <c r="D2054" t="inlineStr">
        <is>
          <t>VÄRMLANDS LÄN</t>
        </is>
      </c>
      <c r="E2054" t="inlineStr">
        <is>
          <t>ÅRJÄNG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2868-2020</t>
        </is>
      </c>
      <c r="B2055" s="1" t="n">
        <v>43850</v>
      </c>
      <c r="C2055" s="1" t="n">
        <v>45736</v>
      </c>
      <c r="D2055" t="inlineStr">
        <is>
          <t>VÄRMLANDS LÄN</t>
        </is>
      </c>
      <c r="E2055" t="inlineStr">
        <is>
          <t>STORFORS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2720-2020</t>
        </is>
      </c>
      <c r="B2056" s="1" t="n">
        <v>43850</v>
      </c>
      <c r="C2056" s="1" t="n">
        <v>45736</v>
      </c>
      <c r="D2056" t="inlineStr">
        <is>
          <t>VÄRMLANDS LÄN</t>
        </is>
      </c>
      <c r="E2056" t="inlineStr">
        <is>
          <t>HAGFORS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2902-2020</t>
        </is>
      </c>
      <c r="B2057" s="1" t="n">
        <v>43850</v>
      </c>
      <c r="C2057" s="1" t="n">
        <v>45736</v>
      </c>
      <c r="D2057" t="inlineStr">
        <is>
          <t>VÄRMLANDS LÄN</t>
        </is>
      </c>
      <c r="E2057" t="inlineStr">
        <is>
          <t>STORFORS</t>
        </is>
      </c>
      <c r="G2057" t="n">
        <v>12.3</v>
      </c>
      <c r="H2057" t="n">
        <v>0</v>
      </c>
      <c r="I2057" t="n">
        <v>0</v>
      </c>
      <c r="J2057" t="n">
        <v>0</v>
      </c>
      <c r="K2057" t="n">
        <v>0</v>
      </c>
      <c r="L2057" t="n">
        <v>0</v>
      </c>
      <c r="M2057" t="n">
        <v>0</v>
      </c>
      <c r="N2057" t="n">
        <v>0</v>
      </c>
      <c r="O2057" t="n">
        <v>0</v>
      </c>
      <c r="P2057" t="n">
        <v>0</v>
      </c>
      <c r="Q2057" t="n">
        <v>0</v>
      </c>
      <c r="R2057" s="2" t="inlineStr"/>
    </row>
    <row r="2058" ht="15" customHeight="1">
      <c r="A2058" t="inlineStr">
        <is>
          <t>A 2717-2020</t>
        </is>
      </c>
      <c r="B2058" s="1" t="n">
        <v>43850</v>
      </c>
      <c r="C2058" s="1" t="n">
        <v>45736</v>
      </c>
      <c r="D2058" t="inlineStr">
        <is>
          <t>VÄRMLANDS LÄN</t>
        </is>
      </c>
      <c r="E2058" t="inlineStr">
        <is>
          <t>EDA</t>
        </is>
      </c>
      <c r="F2058" t="inlineStr">
        <is>
          <t>Övriga Aktiebolag</t>
        </is>
      </c>
      <c r="G2058" t="n">
        <v>10.7</v>
      </c>
      <c r="H2058" t="n">
        <v>0</v>
      </c>
      <c r="I2058" t="n">
        <v>0</v>
      </c>
      <c r="J2058" t="n">
        <v>0</v>
      </c>
      <c r="K2058" t="n">
        <v>0</v>
      </c>
      <c r="L2058" t="n">
        <v>0</v>
      </c>
      <c r="M2058" t="n">
        <v>0</v>
      </c>
      <c r="N2058" t="n">
        <v>0</v>
      </c>
      <c r="O2058" t="n">
        <v>0</v>
      </c>
      <c r="P2058" t="n">
        <v>0</v>
      </c>
      <c r="Q2058" t="n">
        <v>0</v>
      </c>
      <c r="R2058" s="2" t="inlineStr"/>
    </row>
    <row r="2059" ht="15" customHeight="1">
      <c r="A2059" t="inlineStr">
        <is>
          <t>A 2906-2020</t>
        </is>
      </c>
      <c r="B2059" s="1" t="n">
        <v>43850</v>
      </c>
      <c r="C2059" s="1" t="n">
        <v>45736</v>
      </c>
      <c r="D2059" t="inlineStr">
        <is>
          <t>VÄRMLANDS LÄN</t>
        </is>
      </c>
      <c r="E2059" t="inlineStr">
        <is>
          <t>STORFORS</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2927-2020</t>
        </is>
      </c>
      <c r="B2060" s="1" t="n">
        <v>43850</v>
      </c>
      <c r="C2060" s="1" t="n">
        <v>45736</v>
      </c>
      <c r="D2060" t="inlineStr">
        <is>
          <t>VÄRMLANDS LÄN</t>
        </is>
      </c>
      <c r="E2060" t="inlineStr">
        <is>
          <t>SUNNE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4469-2020</t>
        </is>
      </c>
      <c r="B2061" s="1" t="n">
        <v>43850</v>
      </c>
      <c r="C2061" s="1" t="n">
        <v>45736</v>
      </c>
      <c r="D2061" t="inlineStr">
        <is>
          <t>VÄRMLANDS LÄN</t>
        </is>
      </c>
      <c r="E2061" t="inlineStr">
        <is>
          <t>SÄFFLE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4744-2020</t>
        </is>
      </c>
      <c r="B2062" s="1" t="n">
        <v>43850</v>
      </c>
      <c r="C2062" s="1" t="n">
        <v>45736</v>
      </c>
      <c r="D2062" t="inlineStr">
        <is>
          <t>VÄRMLANDS LÄN</t>
        </is>
      </c>
      <c r="E2062" t="inlineStr">
        <is>
          <t>SÄFFLE</t>
        </is>
      </c>
      <c r="F2062" t="inlineStr">
        <is>
          <t>Bergvik skog väst AB</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3016-2020</t>
        </is>
      </c>
      <c r="B2063" s="1" t="n">
        <v>43851</v>
      </c>
      <c r="C2063" s="1" t="n">
        <v>45736</v>
      </c>
      <c r="D2063" t="inlineStr">
        <is>
          <t>VÄRMLANDS LÄN</t>
        </is>
      </c>
      <c r="E2063" t="inlineStr">
        <is>
          <t>KARLSTAD</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4557-2020</t>
        </is>
      </c>
      <c r="B2064" s="1" t="n">
        <v>43851</v>
      </c>
      <c r="C2064" s="1" t="n">
        <v>45736</v>
      </c>
      <c r="D2064" t="inlineStr">
        <is>
          <t>VÄRMLANDS LÄN</t>
        </is>
      </c>
      <c r="E2064" t="inlineStr">
        <is>
          <t>SUNNE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3053-2020</t>
        </is>
      </c>
      <c r="B2065" s="1" t="n">
        <v>43851</v>
      </c>
      <c r="C2065" s="1" t="n">
        <v>45736</v>
      </c>
      <c r="D2065" t="inlineStr">
        <is>
          <t>VÄRMLANDS LÄN</t>
        </is>
      </c>
      <c r="E2065" t="inlineStr">
        <is>
          <t>SUNNE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3140-2020</t>
        </is>
      </c>
      <c r="B2066" s="1" t="n">
        <v>43851</v>
      </c>
      <c r="C2066" s="1" t="n">
        <v>45736</v>
      </c>
      <c r="D2066" t="inlineStr">
        <is>
          <t>VÄRMLANDS LÄN</t>
        </is>
      </c>
      <c r="E2066" t="inlineStr">
        <is>
          <t>SÄFFLE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3149-2020</t>
        </is>
      </c>
      <c r="B2067" s="1" t="n">
        <v>43851</v>
      </c>
      <c r="C2067" s="1" t="n">
        <v>45736</v>
      </c>
      <c r="D2067" t="inlineStr">
        <is>
          <t>VÄRMLANDS LÄN</t>
        </is>
      </c>
      <c r="E2067" t="inlineStr">
        <is>
          <t>SÄFFLE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3091-2020</t>
        </is>
      </c>
      <c r="B2068" s="1" t="n">
        <v>43851</v>
      </c>
      <c r="C2068" s="1" t="n">
        <v>45736</v>
      </c>
      <c r="D2068" t="inlineStr">
        <is>
          <t>VÄRMLANDS LÄN</t>
        </is>
      </c>
      <c r="E2068" t="inlineStr">
        <is>
          <t>HAGFORS</t>
        </is>
      </c>
      <c r="F2068" t="inlineStr">
        <is>
          <t>Bergvik skog väst AB</t>
        </is>
      </c>
      <c r="G2068" t="n">
        <v>29.7</v>
      </c>
      <c r="H2068" t="n">
        <v>0</v>
      </c>
      <c r="I2068" t="n">
        <v>0</v>
      </c>
      <c r="J2068" t="n">
        <v>0</v>
      </c>
      <c r="K2068" t="n">
        <v>0</v>
      </c>
      <c r="L2068" t="n">
        <v>0</v>
      </c>
      <c r="M2068" t="n">
        <v>0</v>
      </c>
      <c r="N2068" t="n">
        <v>0</v>
      </c>
      <c r="O2068" t="n">
        <v>0</v>
      </c>
      <c r="P2068" t="n">
        <v>0</v>
      </c>
      <c r="Q2068" t="n">
        <v>0</v>
      </c>
      <c r="R2068" s="2" t="inlineStr"/>
    </row>
    <row r="2069" ht="15" customHeight="1">
      <c r="A2069" t="inlineStr">
        <is>
          <t>A 3394-2020</t>
        </is>
      </c>
      <c r="B2069" s="1" t="n">
        <v>43852</v>
      </c>
      <c r="C2069" s="1" t="n">
        <v>45736</v>
      </c>
      <c r="D2069" t="inlineStr">
        <is>
          <t>VÄRMLANDS LÄN</t>
        </is>
      </c>
      <c r="E2069" t="inlineStr">
        <is>
          <t>ÅRJÄNG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3420-2020</t>
        </is>
      </c>
      <c r="B2070" s="1" t="n">
        <v>43852</v>
      </c>
      <c r="C2070" s="1" t="n">
        <v>45736</v>
      </c>
      <c r="D2070" t="inlineStr">
        <is>
          <t>VÄRMLANDS LÄN</t>
        </is>
      </c>
      <c r="E2070" t="inlineStr">
        <is>
          <t>ARVIKA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3316-2020</t>
        </is>
      </c>
      <c r="B2071" s="1" t="n">
        <v>43852</v>
      </c>
      <c r="C2071" s="1" t="n">
        <v>45736</v>
      </c>
      <c r="D2071" t="inlineStr">
        <is>
          <t>VÄRMLANDS LÄN</t>
        </is>
      </c>
      <c r="E2071" t="inlineStr">
        <is>
          <t>ÅRJÄNG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3323-2020</t>
        </is>
      </c>
      <c r="B2072" s="1" t="n">
        <v>43852</v>
      </c>
      <c r="C2072" s="1" t="n">
        <v>45736</v>
      </c>
      <c r="D2072" t="inlineStr">
        <is>
          <t>VÄRMLANDS LÄN</t>
        </is>
      </c>
      <c r="E2072" t="inlineStr">
        <is>
          <t>ÅRJÄNG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3351-2020</t>
        </is>
      </c>
      <c r="B2073" s="1" t="n">
        <v>43852</v>
      </c>
      <c r="C2073" s="1" t="n">
        <v>45736</v>
      </c>
      <c r="D2073" t="inlineStr">
        <is>
          <t>VÄRMLANDS LÄN</t>
        </is>
      </c>
      <c r="E2073" t="inlineStr">
        <is>
          <t>ÅRJÄNG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4801-2020</t>
        </is>
      </c>
      <c r="B2074" s="1" t="n">
        <v>43852</v>
      </c>
      <c r="C2074" s="1" t="n">
        <v>45736</v>
      </c>
      <c r="D2074" t="inlineStr">
        <is>
          <t>VÄRMLANDS LÄN</t>
        </is>
      </c>
      <c r="E2074" t="inlineStr">
        <is>
          <t>SÄFFLE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4676-2020</t>
        </is>
      </c>
      <c r="B2075" s="1" t="n">
        <v>43852</v>
      </c>
      <c r="C2075" s="1" t="n">
        <v>45736</v>
      </c>
      <c r="D2075" t="inlineStr">
        <is>
          <t>VÄRMLANDS LÄN</t>
        </is>
      </c>
      <c r="E2075" t="inlineStr">
        <is>
          <t>SUNNE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3388-2020</t>
        </is>
      </c>
      <c r="B2076" s="1" t="n">
        <v>43852</v>
      </c>
      <c r="C2076" s="1" t="n">
        <v>45736</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3245-2020</t>
        </is>
      </c>
      <c r="B2077" s="1" t="n">
        <v>43852</v>
      </c>
      <c r="C2077" s="1" t="n">
        <v>45736</v>
      </c>
      <c r="D2077" t="inlineStr">
        <is>
          <t>VÄRMLANDS LÄN</t>
        </is>
      </c>
      <c r="E2077" t="inlineStr">
        <is>
          <t>FORSHAGA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3665-2020</t>
        </is>
      </c>
      <c r="B2078" s="1" t="n">
        <v>43853</v>
      </c>
      <c r="C2078" s="1" t="n">
        <v>45736</v>
      </c>
      <c r="D2078" t="inlineStr">
        <is>
          <t>VÄRMLANDS LÄN</t>
        </is>
      </c>
      <c r="E2078" t="inlineStr">
        <is>
          <t>KRISTINEHAMN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4930-2020</t>
        </is>
      </c>
      <c r="B2079" s="1" t="n">
        <v>43853</v>
      </c>
      <c r="C2079" s="1" t="n">
        <v>45736</v>
      </c>
      <c r="D2079" t="inlineStr">
        <is>
          <t>VÄRMLANDS LÄN</t>
        </is>
      </c>
      <c r="E2079" t="inlineStr">
        <is>
          <t>SÄFFLE</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5030-2020</t>
        </is>
      </c>
      <c r="B2080" s="1" t="n">
        <v>43853</v>
      </c>
      <c r="C2080" s="1" t="n">
        <v>45736</v>
      </c>
      <c r="D2080" t="inlineStr">
        <is>
          <t>VÄRMLANDS LÄN</t>
        </is>
      </c>
      <c r="E2080" t="inlineStr">
        <is>
          <t>HAGFORS</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3927-2020</t>
        </is>
      </c>
      <c r="B2081" s="1" t="n">
        <v>43854</v>
      </c>
      <c r="C2081" s="1" t="n">
        <v>45736</v>
      </c>
      <c r="D2081" t="inlineStr">
        <is>
          <t>VÄRMLANDS LÄN</t>
        </is>
      </c>
      <c r="E2081" t="inlineStr">
        <is>
          <t>ARVIKA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3748-2020</t>
        </is>
      </c>
      <c r="B2082" s="1" t="n">
        <v>43854</v>
      </c>
      <c r="C2082" s="1" t="n">
        <v>45736</v>
      </c>
      <c r="D2082" t="inlineStr">
        <is>
          <t>VÄRMLANDS LÄN</t>
        </is>
      </c>
      <c r="E2082" t="inlineStr">
        <is>
          <t>HAGFORS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4105-2020</t>
        </is>
      </c>
      <c r="B2083" s="1" t="n">
        <v>43857</v>
      </c>
      <c r="C2083" s="1" t="n">
        <v>45736</v>
      </c>
      <c r="D2083" t="inlineStr">
        <is>
          <t>VÄRMLANDS LÄN</t>
        </is>
      </c>
      <c r="E2083" t="inlineStr">
        <is>
          <t>HAGFORS</t>
        </is>
      </c>
      <c r="F2083" t="inlineStr">
        <is>
          <t>Bergvik skog väst AB</t>
        </is>
      </c>
      <c r="G2083" t="n">
        <v>23.5</v>
      </c>
      <c r="H2083" t="n">
        <v>0</v>
      </c>
      <c r="I2083" t="n">
        <v>0</v>
      </c>
      <c r="J2083" t="n">
        <v>0</v>
      </c>
      <c r="K2083" t="n">
        <v>0</v>
      </c>
      <c r="L2083" t="n">
        <v>0</v>
      </c>
      <c r="M2083" t="n">
        <v>0</v>
      </c>
      <c r="N2083" t="n">
        <v>0</v>
      </c>
      <c r="O2083" t="n">
        <v>0</v>
      </c>
      <c r="P2083" t="n">
        <v>0</v>
      </c>
      <c r="Q2083" t="n">
        <v>0</v>
      </c>
      <c r="R2083" s="2" t="inlineStr"/>
    </row>
    <row r="2084" ht="15" customHeight="1">
      <c r="A2084" t="inlineStr">
        <is>
          <t>A 4215-2020</t>
        </is>
      </c>
      <c r="B2084" s="1" t="n">
        <v>43857</v>
      </c>
      <c r="C2084" s="1" t="n">
        <v>45736</v>
      </c>
      <c r="D2084" t="inlineStr">
        <is>
          <t>VÄRMLANDS LÄN</t>
        </is>
      </c>
      <c r="E2084" t="inlineStr">
        <is>
          <t>SÄFFLE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4114-2020</t>
        </is>
      </c>
      <c r="B2085" s="1" t="n">
        <v>43857</v>
      </c>
      <c r="C2085" s="1" t="n">
        <v>45736</v>
      </c>
      <c r="D2085" t="inlineStr">
        <is>
          <t>VÄRMLANDS LÄN</t>
        </is>
      </c>
      <c r="E2085" t="inlineStr">
        <is>
          <t>EDA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4210-2020</t>
        </is>
      </c>
      <c r="B2086" s="1" t="n">
        <v>43857</v>
      </c>
      <c r="C2086" s="1" t="n">
        <v>45736</v>
      </c>
      <c r="D2086" t="inlineStr">
        <is>
          <t>VÄRMLANDS LÄN</t>
        </is>
      </c>
      <c r="E2086" t="inlineStr">
        <is>
          <t>KRISTINEHAMN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5357-2020</t>
        </is>
      </c>
      <c r="B2087" s="1" t="n">
        <v>43857</v>
      </c>
      <c r="C2087" s="1" t="n">
        <v>45736</v>
      </c>
      <c r="D2087" t="inlineStr">
        <is>
          <t>VÄRMLANDS LÄN</t>
        </is>
      </c>
      <c r="E2087" t="inlineStr">
        <is>
          <t>SÄFFLE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5359-2020</t>
        </is>
      </c>
      <c r="B2088" s="1" t="n">
        <v>43857</v>
      </c>
      <c r="C2088" s="1" t="n">
        <v>45736</v>
      </c>
      <c r="D2088" t="inlineStr">
        <is>
          <t>VÄRMLANDS LÄN</t>
        </is>
      </c>
      <c r="E2088" t="inlineStr">
        <is>
          <t>ARVIKA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4400-2020</t>
        </is>
      </c>
      <c r="B2089" s="1" t="n">
        <v>43858</v>
      </c>
      <c r="C2089" s="1" t="n">
        <v>45736</v>
      </c>
      <c r="D2089" t="inlineStr">
        <is>
          <t>VÄRMLANDS LÄN</t>
        </is>
      </c>
      <c r="E2089" t="inlineStr">
        <is>
          <t>GRUMS</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4661-2020</t>
        </is>
      </c>
      <c r="B2090" s="1" t="n">
        <v>43858</v>
      </c>
      <c r="C2090" s="1" t="n">
        <v>45736</v>
      </c>
      <c r="D2090" t="inlineStr">
        <is>
          <t>VÄRMLANDS LÄN</t>
        </is>
      </c>
      <c r="E2090" t="inlineStr">
        <is>
          <t>EDA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4835-2020</t>
        </is>
      </c>
      <c r="B2091" s="1" t="n">
        <v>43859</v>
      </c>
      <c r="C2091" s="1" t="n">
        <v>45736</v>
      </c>
      <c r="D2091" t="inlineStr">
        <is>
          <t>VÄRMLANDS LÄN</t>
        </is>
      </c>
      <c r="E2091" t="inlineStr">
        <is>
          <t>SUNNE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4753-2020</t>
        </is>
      </c>
      <c r="B2092" s="1" t="n">
        <v>43859</v>
      </c>
      <c r="C2092" s="1" t="n">
        <v>45736</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4841-2020</t>
        </is>
      </c>
      <c r="B2093" s="1" t="n">
        <v>43859</v>
      </c>
      <c r="C2093" s="1" t="n">
        <v>45736</v>
      </c>
      <c r="D2093" t="inlineStr">
        <is>
          <t>VÄRMLANDS LÄN</t>
        </is>
      </c>
      <c r="E2093" t="inlineStr">
        <is>
          <t>GRUMS</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5180-2020</t>
        </is>
      </c>
      <c r="B2094" s="1" t="n">
        <v>43860</v>
      </c>
      <c r="C2094" s="1" t="n">
        <v>45736</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5196-2020</t>
        </is>
      </c>
      <c r="B2095" s="1" t="n">
        <v>43860</v>
      </c>
      <c r="C2095" s="1" t="n">
        <v>45736</v>
      </c>
      <c r="D2095" t="inlineStr">
        <is>
          <t>VÄRMLANDS LÄN</t>
        </is>
      </c>
      <c r="E2095" t="inlineStr">
        <is>
          <t>FILIPSTAD</t>
        </is>
      </c>
      <c r="F2095" t="inlineStr">
        <is>
          <t>Bergvik skog väst AB</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5229-2020</t>
        </is>
      </c>
      <c r="B2096" s="1" t="n">
        <v>43860</v>
      </c>
      <c r="C2096" s="1" t="n">
        <v>45736</v>
      </c>
      <c r="D2096" t="inlineStr">
        <is>
          <t>VÄRMLANDS LÄN</t>
        </is>
      </c>
      <c r="E2096" t="inlineStr">
        <is>
          <t>FILIPSTAD</t>
        </is>
      </c>
      <c r="F2096" t="inlineStr">
        <is>
          <t>Bergvik skog väst AB</t>
        </is>
      </c>
      <c r="G2096" t="n">
        <v>21.9</v>
      </c>
      <c r="H2096" t="n">
        <v>0</v>
      </c>
      <c r="I2096" t="n">
        <v>0</v>
      </c>
      <c r="J2096" t="n">
        <v>0</v>
      </c>
      <c r="K2096" t="n">
        <v>0</v>
      </c>
      <c r="L2096" t="n">
        <v>0</v>
      </c>
      <c r="M2096" t="n">
        <v>0</v>
      </c>
      <c r="N2096" t="n">
        <v>0</v>
      </c>
      <c r="O2096" t="n">
        <v>0</v>
      </c>
      <c r="P2096" t="n">
        <v>0</v>
      </c>
      <c r="Q2096" t="n">
        <v>0</v>
      </c>
      <c r="R2096" s="2" t="inlineStr"/>
    </row>
    <row r="2097" ht="15" customHeight="1">
      <c r="A2097" t="inlineStr">
        <is>
          <t>A 5280-2020</t>
        </is>
      </c>
      <c r="B2097" s="1" t="n">
        <v>43860</v>
      </c>
      <c r="C2097" s="1" t="n">
        <v>45736</v>
      </c>
      <c r="D2097" t="inlineStr">
        <is>
          <t>VÄRMLANDS LÄN</t>
        </is>
      </c>
      <c r="E2097" t="inlineStr">
        <is>
          <t>FILIPSTAD</t>
        </is>
      </c>
      <c r="F2097" t="inlineStr">
        <is>
          <t>Bergvik skog väst AB</t>
        </is>
      </c>
      <c r="G2097" t="n">
        <v>49.8</v>
      </c>
      <c r="H2097" t="n">
        <v>0</v>
      </c>
      <c r="I2097" t="n">
        <v>0</v>
      </c>
      <c r="J2097" t="n">
        <v>0</v>
      </c>
      <c r="K2097" t="n">
        <v>0</v>
      </c>
      <c r="L2097" t="n">
        <v>0</v>
      </c>
      <c r="M2097" t="n">
        <v>0</v>
      </c>
      <c r="N2097" t="n">
        <v>0</v>
      </c>
      <c r="O2097" t="n">
        <v>0</v>
      </c>
      <c r="P2097" t="n">
        <v>0</v>
      </c>
      <c r="Q2097" t="n">
        <v>0</v>
      </c>
      <c r="R2097" s="2" t="inlineStr"/>
    </row>
    <row r="2098" ht="15" customHeight="1">
      <c r="A2098" t="inlineStr">
        <is>
          <t>A 5426-2020</t>
        </is>
      </c>
      <c r="B2098" s="1" t="n">
        <v>43861</v>
      </c>
      <c r="C2098" s="1" t="n">
        <v>45736</v>
      </c>
      <c r="D2098" t="inlineStr">
        <is>
          <t>VÄRMLANDS LÄN</t>
        </is>
      </c>
      <c r="E2098" t="inlineStr">
        <is>
          <t>TORSBY</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5425-2020</t>
        </is>
      </c>
      <c r="B2099" s="1" t="n">
        <v>43861</v>
      </c>
      <c r="C2099" s="1" t="n">
        <v>45736</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5521-2020</t>
        </is>
      </c>
      <c r="B2100" s="1" t="n">
        <v>43861</v>
      </c>
      <c r="C2100" s="1" t="n">
        <v>45736</v>
      </c>
      <c r="D2100" t="inlineStr">
        <is>
          <t>VÄRMLANDS LÄN</t>
        </is>
      </c>
      <c r="E2100" t="inlineStr">
        <is>
          <t>SÄFFLE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5443-2020</t>
        </is>
      </c>
      <c r="B2101" s="1" t="n">
        <v>43861</v>
      </c>
      <c r="C2101" s="1" t="n">
        <v>45736</v>
      </c>
      <c r="D2101" t="inlineStr">
        <is>
          <t>VÄRMLANDS LÄN</t>
        </is>
      </c>
      <c r="E2101" t="inlineStr">
        <is>
          <t>KRISTINEHAMN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5513-2020</t>
        </is>
      </c>
      <c r="B2102" s="1" t="n">
        <v>43861</v>
      </c>
      <c r="C2102" s="1" t="n">
        <v>45736</v>
      </c>
      <c r="D2102" t="inlineStr">
        <is>
          <t>VÄRMLANDS LÄN</t>
        </is>
      </c>
      <c r="E2102" t="inlineStr">
        <is>
          <t>SUNNE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5427-2020</t>
        </is>
      </c>
      <c r="B2103" s="1" t="n">
        <v>43861</v>
      </c>
      <c r="C2103" s="1" t="n">
        <v>45736</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5602-2020</t>
        </is>
      </c>
      <c r="B2104" s="1" t="n">
        <v>43861</v>
      </c>
      <c r="C2104" s="1" t="n">
        <v>45736</v>
      </c>
      <c r="D2104" t="inlineStr">
        <is>
          <t>VÄRMLANDS LÄN</t>
        </is>
      </c>
      <c r="E2104" t="inlineStr">
        <is>
          <t>ARVIKA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5787-2020</t>
        </is>
      </c>
      <c r="B2105" s="1" t="n">
        <v>43861</v>
      </c>
      <c r="C2105" s="1" t="n">
        <v>45736</v>
      </c>
      <c r="D2105" t="inlineStr">
        <is>
          <t>VÄRMLANDS LÄN</t>
        </is>
      </c>
      <c r="E2105" t="inlineStr">
        <is>
          <t>ÅRJÄNG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5797-2020</t>
        </is>
      </c>
      <c r="B2106" s="1" t="n">
        <v>43861</v>
      </c>
      <c r="C2106" s="1" t="n">
        <v>45736</v>
      </c>
      <c r="D2106" t="inlineStr">
        <is>
          <t>VÄRMLANDS LÄN</t>
        </is>
      </c>
      <c r="E2106" t="inlineStr">
        <is>
          <t>ÅRJÄNG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5783-2020</t>
        </is>
      </c>
      <c r="B2107" s="1" t="n">
        <v>43861</v>
      </c>
      <c r="C2107" s="1" t="n">
        <v>45736</v>
      </c>
      <c r="D2107" t="inlineStr">
        <is>
          <t>VÄRMLANDS LÄN</t>
        </is>
      </c>
      <c r="E2107" t="inlineStr">
        <is>
          <t>ÅRJÄNG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5796-2020</t>
        </is>
      </c>
      <c r="B2108" s="1" t="n">
        <v>43861</v>
      </c>
      <c r="C2108" s="1" t="n">
        <v>45736</v>
      </c>
      <c r="D2108" t="inlineStr">
        <is>
          <t>VÄRMLANDS LÄN</t>
        </is>
      </c>
      <c r="E2108" t="inlineStr">
        <is>
          <t>ÅRJÄNG</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5547-2020</t>
        </is>
      </c>
      <c r="B2109" s="1" t="n">
        <v>43861</v>
      </c>
      <c r="C2109" s="1" t="n">
        <v>45736</v>
      </c>
      <c r="D2109" t="inlineStr">
        <is>
          <t>VÄRMLANDS LÄN</t>
        </is>
      </c>
      <c r="E2109" t="inlineStr">
        <is>
          <t>SUNNE</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5794-2020</t>
        </is>
      </c>
      <c r="B2110" s="1" t="n">
        <v>43861</v>
      </c>
      <c r="C2110" s="1" t="n">
        <v>45736</v>
      </c>
      <c r="D2110" t="inlineStr">
        <is>
          <t>VÄRMLANDS LÄN</t>
        </is>
      </c>
      <c r="E2110" t="inlineStr">
        <is>
          <t>ÅRJÄNG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5793-2020</t>
        </is>
      </c>
      <c r="B2111" s="1" t="n">
        <v>43861</v>
      </c>
      <c r="C2111" s="1" t="n">
        <v>45736</v>
      </c>
      <c r="D2111" t="inlineStr">
        <is>
          <t>VÄRMLANDS LÄN</t>
        </is>
      </c>
      <c r="E2111" t="inlineStr">
        <is>
          <t>ÅRJÄNG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5455-2020</t>
        </is>
      </c>
      <c r="B2112" s="1" t="n">
        <v>43861</v>
      </c>
      <c r="C2112" s="1" t="n">
        <v>45736</v>
      </c>
      <c r="D2112" t="inlineStr">
        <is>
          <t>VÄRMLANDS LÄN</t>
        </is>
      </c>
      <c r="E2112" t="inlineStr">
        <is>
          <t>KRISTINEHAMN</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6059-2020</t>
        </is>
      </c>
      <c r="B2113" s="1" t="n">
        <v>43864</v>
      </c>
      <c r="C2113" s="1" t="n">
        <v>45736</v>
      </c>
      <c r="D2113" t="inlineStr">
        <is>
          <t>VÄRMLANDS LÄN</t>
        </is>
      </c>
      <c r="E2113" t="inlineStr">
        <is>
          <t>KRISTINEHAMN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6129-2020</t>
        </is>
      </c>
      <c r="B2114" s="1" t="n">
        <v>43864</v>
      </c>
      <c r="C2114" s="1" t="n">
        <v>45736</v>
      </c>
      <c r="D2114" t="inlineStr">
        <is>
          <t>VÄRMLANDS LÄN</t>
        </is>
      </c>
      <c r="E2114" t="inlineStr">
        <is>
          <t>GRUMS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5949-2020</t>
        </is>
      </c>
      <c r="B2115" s="1" t="n">
        <v>43864</v>
      </c>
      <c r="C2115" s="1" t="n">
        <v>45736</v>
      </c>
      <c r="D2115" t="inlineStr">
        <is>
          <t>VÄRMLANDS LÄN</t>
        </is>
      </c>
      <c r="E2115" t="inlineStr">
        <is>
          <t>KRISTINEHAMN</t>
        </is>
      </c>
      <c r="G2115" t="n">
        <v>17.4</v>
      </c>
      <c r="H2115" t="n">
        <v>0</v>
      </c>
      <c r="I2115" t="n">
        <v>0</v>
      </c>
      <c r="J2115" t="n">
        <v>0</v>
      </c>
      <c r="K2115" t="n">
        <v>0</v>
      </c>
      <c r="L2115" t="n">
        <v>0</v>
      </c>
      <c r="M2115" t="n">
        <v>0</v>
      </c>
      <c r="N2115" t="n">
        <v>0</v>
      </c>
      <c r="O2115" t="n">
        <v>0</v>
      </c>
      <c r="P2115" t="n">
        <v>0</v>
      </c>
      <c r="Q2115" t="n">
        <v>0</v>
      </c>
      <c r="R2115" s="2" t="inlineStr"/>
    </row>
    <row r="2116" ht="15" customHeight="1">
      <c r="A2116" t="inlineStr">
        <is>
          <t>A 6416-2020</t>
        </is>
      </c>
      <c r="B2116" s="1" t="n">
        <v>43864</v>
      </c>
      <c r="C2116" s="1" t="n">
        <v>45736</v>
      </c>
      <c r="D2116" t="inlineStr">
        <is>
          <t>VÄRMLANDS LÄN</t>
        </is>
      </c>
      <c r="E2116" t="inlineStr">
        <is>
          <t>SÄFFLE</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6125-2020</t>
        </is>
      </c>
      <c r="B2117" s="1" t="n">
        <v>43864</v>
      </c>
      <c r="C2117" s="1" t="n">
        <v>45736</v>
      </c>
      <c r="D2117" t="inlineStr">
        <is>
          <t>VÄRMLANDS LÄN</t>
        </is>
      </c>
      <c r="E2117" t="inlineStr">
        <is>
          <t>GRUMS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6410-2020</t>
        </is>
      </c>
      <c r="B2118" s="1" t="n">
        <v>43864</v>
      </c>
      <c r="C2118" s="1" t="n">
        <v>45736</v>
      </c>
      <c r="D2118" t="inlineStr">
        <is>
          <t>VÄRMLANDS LÄN</t>
        </is>
      </c>
      <c r="E2118" t="inlineStr">
        <is>
          <t>GRUMS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6031-2020</t>
        </is>
      </c>
      <c r="B2119" s="1" t="n">
        <v>43865</v>
      </c>
      <c r="C2119" s="1" t="n">
        <v>45736</v>
      </c>
      <c r="D2119" t="inlineStr">
        <is>
          <t>VÄRMLANDS LÄN</t>
        </is>
      </c>
      <c r="E2119" t="inlineStr">
        <is>
          <t>KRISTINEHAMN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6169-2020</t>
        </is>
      </c>
      <c r="B2120" s="1" t="n">
        <v>43865</v>
      </c>
      <c r="C2120" s="1" t="n">
        <v>45736</v>
      </c>
      <c r="D2120" t="inlineStr">
        <is>
          <t>VÄRMLANDS LÄN</t>
        </is>
      </c>
      <c r="E2120" t="inlineStr">
        <is>
          <t>ARVIKA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6069-2020</t>
        </is>
      </c>
      <c r="B2121" s="1" t="n">
        <v>43865</v>
      </c>
      <c r="C2121" s="1" t="n">
        <v>45736</v>
      </c>
      <c r="D2121" t="inlineStr">
        <is>
          <t>VÄRMLANDS LÄN</t>
        </is>
      </c>
      <c r="E2121" t="inlineStr">
        <is>
          <t>HAGFORS</t>
        </is>
      </c>
      <c r="F2121" t="inlineStr">
        <is>
          <t>Bergvik skog väst AB</t>
        </is>
      </c>
      <c r="G2121" t="n">
        <v>10.5</v>
      </c>
      <c r="H2121" t="n">
        <v>0</v>
      </c>
      <c r="I2121" t="n">
        <v>0</v>
      </c>
      <c r="J2121" t="n">
        <v>0</v>
      </c>
      <c r="K2121" t="n">
        <v>0</v>
      </c>
      <c r="L2121" t="n">
        <v>0</v>
      </c>
      <c r="M2121" t="n">
        <v>0</v>
      </c>
      <c r="N2121" t="n">
        <v>0</v>
      </c>
      <c r="O2121" t="n">
        <v>0</v>
      </c>
      <c r="P2121" t="n">
        <v>0</v>
      </c>
      <c r="Q2121" t="n">
        <v>0</v>
      </c>
      <c r="R2121" s="2" t="inlineStr"/>
    </row>
    <row r="2122" ht="15" customHeight="1">
      <c r="A2122" t="inlineStr">
        <is>
          <t>A 6181-2020</t>
        </is>
      </c>
      <c r="B2122" s="1" t="n">
        <v>43865</v>
      </c>
      <c r="C2122" s="1" t="n">
        <v>45736</v>
      </c>
      <c r="D2122" t="inlineStr">
        <is>
          <t>VÄRMLANDS LÄN</t>
        </is>
      </c>
      <c r="E2122" t="inlineStr">
        <is>
          <t>FILIPSTAD</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6288-2020</t>
        </is>
      </c>
      <c r="B2123" s="1" t="n">
        <v>43866</v>
      </c>
      <c r="C2123" s="1" t="n">
        <v>45736</v>
      </c>
      <c r="D2123" t="inlineStr">
        <is>
          <t>VÄRMLANDS LÄN</t>
        </is>
      </c>
      <c r="E2123" t="inlineStr">
        <is>
          <t>KARLSTAD</t>
        </is>
      </c>
      <c r="F2123" t="inlineStr">
        <is>
          <t>Kommuner</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6309-2020</t>
        </is>
      </c>
      <c r="B2124" s="1" t="n">
        <v>43866</v>
      </c>
      <c r="C2124" s="1" t="n">
        <v>45736</v>
      </c>
      <c r="D2124" t="inlineStr">
        <is>
          <t>VÄRMLANDS LÄN</t>
        </is>
      </c>
      <c r="E2124" t="inlineStr">
        <is>
          <t>KARLSTAD</t>
        </is>
      </c>
      <c r="F2124" t="inlineStr">
        <is>
          <t>Kommuner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6426-2020</t>
        </is>
      </c>
      <c r="B2125" s="1" t="n">
        <v>43866</v>
      </c>
      <c r="C2125" s="1" t="n">
        <v>45736</v>
      </c>
      <c r="D2125" t="inlineStr">
        <is>
          <t>VÄRMLANDS LÄN</t>
        </is>
      </c>
      <c r="E2125" t="inlineStr">
        <is>
          <t>ÅRJÄNG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6494-2020</t>
        </is>
      </c>
      <c r="B2126" s="1" t="n">
        <v>43866</v>
      </c>
      <c r="C2126" s="1" t="n">
        <v>45736</v>
      </c>
      <c r="D2126" t="inlineStr">
        <is>
          <t>VÄRMLANDS LÄN</t>
        </is>
      </c>
      <c r="E2126" t="inlineStr">
        <is>
          <t>SUNNE</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6720-2020</t>
        </is>
      </c>
      <c r="B2127" s="1" t="n">
        <v>43866</v>
      </c>
      <c r="C2127" s="1" t="n">
        <v>45736</v>
      </c>
      <c r="D2127" t="inlineStr">
        <is>
          <t>VÄRMLANDS LÄN</t>
        </is>
      </c>
      <c r="E2127" t="inlineStr">
        <is>
          <t>SÄFFLE</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6591-2020</t>
        </is>
      </c>
      <c r="B2128" s="1" t="n">
        <v>43867</v>
      </c>
      <c r="C2128" s="1" t="n">
        <v>45736</v>
      </c>
      <c r="D2128" t="inlineStr">
        <is>
          <t>VÄRMLANDS LÄN</t>
        </is>
      </c>
      <c r="E2128" t="inlineStr">
        <is>
          <t>EDA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6637-2020</t>
        </is>
      </c>
      <c r="B2129" s="1" t="n">
        <v>43867</v>
      </c>
      <c r="C2129" s="1" t="n">
        <v>45736</v>
      </c>
      <c r="D2129" t="inlineStr">
        <is>
          <t>VÄRMLANDS LÄN</t>
        </is>
      </c>
      <c r="E2129" t="inlineStr">
        <is>
          <t>SUNNE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6770-2020</t>
        </is>
      </c>
      <c r="B2130" s="1" t="n">
        <v>43867</v>
      </c>
      <c r="C2130" s="1" t="n">
        <v>45736</v>
      </c>
      <c r="D2130" t="inlineStr">
        <is>
          <t>VÄRMLANDS LÄN</t>
        </is>
      </c>
      <c r="E2130" t="inlineStr">
        <is>
          <t>ARVIKA</t>
        </is>
      </c>
      <c r="F2130" t="inlineStr">
        <is>
          <t>Bergvik skog väst AB</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6587-2020</t>
        </is>
      </c>
      <c r="B2131" s="1" t="n">
        <v>43867</v>
      </c>
      <c r="C2131" s="1" t="n">
        <v>45736</v>
      </c>
      <c r="D2131" t="inlineStr">
        <is>
          <t>VÄRMLANDS LÄN</t>
        </is>
      </c>
      <c r="E2131" t="inlineStr">
        <is>
          <t>EDA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6696-2020</t>
        </is>
      </c>
      <c r="B2132" s="1" t="n">
        <v>43867</v>
      </c>
      <c r="C2132" s="1" t="n">
        <v>45736</v>
      </c>
      <c r="D2132" t="inlineStr">
        <is>
          <t>VÄRMLANDS LÄN</t>
        </is>
      </c>
      <c r="E2132" t="inlineStr">
        <is>
          <t>ARVIKA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6866-2020</t>
        </is>
      </c>
      <c r="B2133" s="1" t="n">
        <v>43867</v>
      </c>
      <c r="C2133" s="1" t="n">
        <v>45736</v>
      </c>
      <c r="D2133" t="inlineStr">
        <is>
          <t>VÄRMLANDS LÄN</t>
        </is>
      </c>
      <c r="E2133" t="inlineStr">
        <is>
          <t>SÄFFLE</t>
        </is>
      </c>
      <c r="G2133" t="n">
        <v>17.9</v>
      </c>
      <c r="H2133" t="n">
        <v>0</v>
      </c>
      <c r="I2133" t="n">
        <v>0</v>
      </c>
      <c r="J2133" t="n">
        <v>0</v>
      </c>
      <c r="K2133" t="n">
        <v>0</v>
      </c>
      <c r="L2133" t="n">
        <v>0</v>
      </c>
      <c r="M2133" t="n">
        <v>0</v>
      </c>
      <c r="N2133" t="n">
        <v>0</v>
      </c>
      <c r="O2133" t="n">
        <v>0</v>
      </c>
      <c r="P2133" t="n">
        <v>0</v>
      </c>
      <c r="Q2133" t="n">
        <v>0</v>
      </c>
      <c r="R2133" s="2" t="inlineStr"/>
    </row>
    <row r="2134" ht="15" customHeight="1">
      <c r="A2134" t="inlineStr">
        <is>
          <t>A 6961-2020</t>
        </is>
      </c>
      <c r="B2134" s="1" t="n">
        <v>43868</v>
      </c>
      <c r="C2134" s="1" t="n">
        <v>45736</v>
      </c>
      <c r="D2134" t="inlineStr">
        <is>
          <t>VÄRMLANDS LÄN</t>
        </is>
      </c>
      <c r="E2134" t="inlineStr">
        <is>
          <t>ÅRJÄNG</t>
        </is>
      </c>
      <c r="G2134" t="n">
        <v>9.9</v>
      </c>
      <c r="H2134" t="n">
        <v>0</v>
      </c>
      <c r="I2134" t="n">
        <v>0</v>
      </c>
      <c r="J2134" t="n">
        <v>0</v>
      </c>
      <c r="K2134" t="n">
        <v>0</v>
      </c>
      <c r="L2134" t="n">
        <v>0</v>
      </c>
      <c r="M2134" t="n">
        <v>0</v>
      </c>
      <c r="N2134" t="n">
        <v>0</v>
      </c>
      <c r="O2134" t="n">
        <v>0</v>
      </c>
      <c r="P2134" t="n">
        <v>0</v>
      </c>
      <c r="Q2134" t="n">
        <v>0</v>
      </c>
      <c r="R2134" s="2" t="inlineStr"/>
    </row>
    <row r="2135" ht="15" customHeight="1">
      <c r="A2135" t="inlineStr">
        <is>
          <t>A 7000-2020</t>
        </is>
      </c>
      <c r="B2135" s="1" t="n">
        <v>43868</v>
      </c>
      <c r="C2135" s="1" t="n">
        <v>45736</v>
      </c>
      <c r="D2135" t="inlineStr">
        <is>
          <t>VÄRMLANDS LÄN</t>
        </is>
      </c>
      <c r="E2135" t="inlineStr">
        <is>
          <t>TORSBY</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7035-2020</t>
        </is>
      </c>
      <c r="B2136" s="1" t="n">
        <v>43868</v>
      </c>
      <c r="C2136" s="1" t="n">
        <v>45736</v>
      </c>
      <c r="D2136" t="inlineStr">
        <is>
          <t>VÄRMLANDS LÄN</t>
        </is>
      </c>
      <c r="E2136" t="inlineStr">
        <is>
          <t>KRISTINEHAMN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7232-2020</t>
        </is>
      </c>
      <c r="B2137" s="1" t="n">
        <v>43868</v>
      </c>
      <c r="C2137" s="1" t="n">
        <v>45736</v>
      </c>
      <c r="D2137" t="inlineStr">
        <is>
          <t>VÄRMLANDS LÄN</t>
        </is>
      </c>
      <c r="E2137" t="inlineStr">
        <is>
          <t>ÅRJÄNG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6862-2020</t>
        </is>
      </c>
      <c r="B2138" s="1" t="n">
        <v>43868</v>
      </c>
      <c r="C2138" s="1" t="n">
        <v>45736</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7142-2020</t>
        </is>
      </c>
      <c r="B2139" s="1" t="n">
        <v>43869</v>
      </c>
      <c r="C2139" s="1" t="n">
        <v>45736</v>
      </c>
      <c r="D2139" t="inlineStr">
        <is>
          <t>VÄRMLANDS LÄN</t>
        </is>
      </c>
      <c r="E2139" t="inlineStr">
        <is>
          <t>HAGFORS</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7141-2020</t>
        </is>
      </c>
      <c r="B2140" s="1" t="n">
        <v>43869</v>
      </c>
      <c r="C2140" s="1" t="n">
        <v>45736</v>
      </c>
      <c r="D2140" t="inlineStr">
        <is>
          <t>VÄRMLANDS LÄN</t>
        </is>
      </c>
      <c r="E2140" t="inlineStr">
        <is>
          <t>HAGFORS</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7163-2020</t>
        </is>
      </c>
      <c r="B2141" s="1" t="n">
        <v>43870</v>
      </c>
      <c r="C2141" s="1" t="n">
        <v>45736</v>
      </c>
      <c r="D2141" t="inlineStr">
        <is>
          <t>VÄRMLANDS LÄN</t>
        </is>
      </c>
      <c r="E2141" t="inlineStr">
        <is>
          <t>SÄFFLE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7153-2020</t>
        </is>
      </c>
      <c r="B2142" s="1" t="n">
        <v>43870</v>
      </c>
      <c r="C2142" s="1" t="n">
        <v>45736</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7279-2020</t>
        </is>
      </c>
      <c r="B2143" s="1" t="n">
        <v>43871</v>
      </c>
      <c r="C2143" s="1" t="n">
        <v>45736</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7248-2020</t>
        </is>
      </c>
      <c r="B2144" s="1" t="n">
        <v>43871</v>
      </c>
      <c r="C2144" s="1" t="n">
        <v>45736</v>
      </c>
      <c r="D2144" t="inlineStr">
        <is>
          <t>VÄRMLANDS LÄN</t>
        </is>
      </c>
      <c r="E2144" t="inlineStr">
        <is>
          <t>SUNNE</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7217-2020</t>
        </is>
      </c>
      <c r="B2145" s="1" t="n">
        <v>43871</v>
      </c>
      <c r="C2145" s="1" t="n">
        <v>45736</v>
      </c>
      <c r="D2145" t="inlineStr">
        <is>
          <t>VÄRMLANDS LÄN</t>
        </is>
      </c>
      <c r="E2145" t="inlineStr">
        <is>
          <t>EDA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7359-2020</t>
        </is>
      </c>
      <c r="B2146" s="1" t="n">
        <v>43871</v>
      </c>
      <c r="C2146" s="1" t="n">
        <v>45736</v>
      </c>
      <c r="D2146" t="inlineStr">
        <is>
          <t>VÄRMLANDS LÄN</t>
        </is>
      </c>
      <c r="E2146" t="inlineStr">
        <is>
          <t>HAGFORS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7377-2020</t>
        </is>
      </c>
      <c r="B2147" s="1" t="n">
        <v>43871</v>
      </c>
      <c r="C2147" s="1" t="n">
        <v>45736</v>
      </c>
      <c r="D2147" t="inlineStr">
        <is>
          <t>VÄRMLANDS LÄN</t>
        </is>
      </c>
      <c r="E2147" t="inlineStr">
        <is>
          <t>SUNNE</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7526-2020</t>
        </is>
      </c>
      <c r="B2148" s="1" t="n">
        <v>43871</v>
      </c>
      <c r="C2148" s="1" t="n">
        <v>45736</v>
      </c>
      <c r="D2148" t="inlineStr">
        <is>
          <t>VÄRMLANDS LÄN</t>
        </is>
      </c>
      <c r="E2148" t="inlineStr">
        <is>
          <t>TORSBY</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7582-2020</t>
        </is>
      </c>
      <c r="B2149" s="1" t="n">
        <v>43871</v>
      </c>
      <c r="C2149" s="1" t="n">
        <v>45736</v>
      </c>
      <c r="D2149" t="inlineStr">
        <is>
          <t>VÄRMLANDS LÄN</t>
        </is>
      </c>
      <c r="E2149" t="inlineStr">
        <is>
          <t>TORSBY</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7677-2020</t>
        </is>
      </c>
      <c r="B2150" s="1" t="n">
        <v>43872</v>
      </c>
      <c r="C2150" s="1" t="n">
        <v>45736</v>
      </c>
      <c r="D2150" t="inlineStr">
        <is>
          <t>VÄRMLANDS LÄN</t>
        </is>
      </c>
      <c r="E2150" t="inlineStr">
        <is>
          <t>EDA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7641-2020</t>
        </is>
      </c>
      <c r="B2151" s="1" t="n">
        <v>43872</v>
      </c>
      <c r="C2151" s="1" t="n">
        <v>45736</v>
      </c>
      <c r="D2151" t="inlineStr">
        <is>
          <t>VÄRMLANDS LÄN</t>
        </is>
      </c>
      <c r="E2151" t="inlineStr">
        <is>
          <t>KRISTINEHAMN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7656-2020</t>
        </is>
      </c>
      <c r="B2152" s="1" t="n">
        <v>43872</v>
      </c>
      <c r="C2152" s="1" t="n">
        <v>45736</v>
      </c>
      <c r="D2152" t="inlineStr">
        <is>
          <t>VÄRMLANDS LÄN</t>
        </is>
      </c>
      <c r="E2152" t="inlineStr">
        <is>
          <t>FILIPSTAD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7524-2020</t>
        </is>
      </c>
      <c r="B2153" s="1" t="n">
        <v>43872</v>
      </c>
      <c r="C2153" s="1" t="n">
        <v>45736</v>
      </c>
      <c r="D2153" t="inlineStr">
        <is>
          <t>VÄRMLANDS LÄN</t>
        </is>
      </c>
      <c r="E2153" t="inlineStr">
        <is>
          <t>ÅRJÄNG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7546-2020</t>
        </is>
      </c>
      <c r="B2154" s="1" t="n">
        <v>43872</v>
      </c>
      <c r="C2154" s="1" t="n">
        <v>45736</v>
      </c>
      <c r="D2154" t="inlineStr">
        <is>
          <t>VÄRMLANDS LÄN</t>
        </is>
      </c>
      <c r="E2154" t="inlineStr">
        <is>
          <t>EDA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7749-2020</t>
        </is>
      </c>
      <c r="B2155" s="1" t="n">
        <v>43872</v>
      </c>
      <c r="C2155" s="1" t="n">
        <v>45736</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7831-2020</t>
        </is>
      </c>
      <c r="B2156" s="1" t="n">
        <v>43872</v>
      </c>
      <c r="C2156" s="1" t="n">
        <v>45736</v>
      </c>
      <c r="D2156" t="inlineStr">
        <is>
          <t>VÄRMLANDS LÄN</t>
        </is>
      </c>
      <c r="E2156" t="inlineStr">
        <is>
          <t>FILIPSTAD</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7859-2020</t>
        </is>
      </c>
      <c r="B2157" s="1" t="n">
        <v>43872</v>
      </c>
      <c r="C2157" s="1" t="n">
        <v>45736</v>
      </c>
      <c r="D2157" t="inlineStr">
        <is>
          <t>VÄRMLANDS LÄN</t>
        </is>
      </c>
      <c r="E2157" t="inlineStr">
        <is>
          <t>FILIPSTAD</t>
        </is>
      </c>
      <c r="F2157" t="inlineStr">
        <is>
          <t>Kommuner</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7667-2020</t>
        </is>
      </c>
      <c r="B2158" s="1" t="n">
        <v>43872</v>
      </c>
      <c r="C2158" s="1" t="n">
        <v>45736</v>
      </c>
      <c r="D2158" t="inlineStr">
        <is>
          <t>VÄRMLANDS LÄN</t>
        </is>
      </c>
      <c r="E2158" t="inlineStr">
        <is>
          <t>EDA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7828-2020</t>
        </is>
      </c>
      <c r="B2159" s="1" t="n">
        <v>43872</v>
      </c>
      <c r="C2159" s="1" t="n">
        <v>45736</v>
      </c>
      <c r="D2159" t="inlineStr">
        <is>
          <t>VÄRMLANDS LÄN</t>
        </is>
      </c>
      <c r="E2159" t="inlineStr">
        <is>
          <t>FILIPSTAD</t>
        </is>
      </c>
      <c r="F2159" t="inlineStr">
        <is>
          <t>Kommuner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7936-2020</t>
        </is>
      </c>
      <c r="B2160" s="1" t="n">
        <v>43873</v>
      </c>
      <c r="C2160" s="1" t="n">
        <v>45736</v>
      </c>
      <c r="D2160" t="inlineStr">
        <is>
          <t>VÄRMLANDS LÄN</t>
        </is>
      </c>
      <c r="E2160" t="inlineStr">
        <is>
          <t>ARVIKA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7816-2020</t>
        </is>
      </c>
      <c r="B2161" s="1" t="n">
        <v>43873</v>
      </c>
      <c r="C2161" s="1" t="n">
        <v>45736</v>
      </c>
      <c r="D2161" t="inlineStr">
        <is>
          <t>VÄRMLANDS LÄN</t>
        </is>
      </c>
      <c r="E2161" t="inlineStr">
        <is>
          <t>KRISTINEHAMN</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7897-2020</t>
        </is>
      </c>
      <c r="B2162" s="1" t="n">
        <v>43873</v>
      </c>
      <c r="C2162" s="1" t="n">
        <v>45736</v>
      </c>
      <c r="D2162" t="inlineStr">
        <is>
          <t>VÄRMLANDS LÄN</t>
        </is>
      </c>
      <c r="E2162" t="inlineStr">
        <is>
          <t>KARLSTAD</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7954-2020</t>
        </is>
      </c>
      <c r="B2163" s="1" t="n">
        <v>43873</v>
      </c>
      <c r="C2163" s="1" t="n">
        <v>45736</v>
      </c>
      <c r="D2163" t="inlineStr">
        <is>
          <t>VÄRMLANDS LÄN</t>
        </is>
      </c>
      <c r="E2163" t="inlineStr">
        <is>
          <t>KARLSTAD</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7980-2020</t>
        </is>
      </c>
      <c r="B2164" s="1" t="n">
        <v>43873</v>
      </c>
      <c r="C2164" s="1" t="n">
        <v>45736</v>
      </c>
      <c r="D2164" t="inlineStr">
        <is>
          <t>VÄRMLANDS LÄN</t>
        </is>
      </c>
      <c r="E2164" t="inlineStr">
        <is>
          <t>KRISTINEHAMN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7986-2020</t>
        </is>
      </c>
      <c r="B2165" s="1" t="n">
        <v>43873</v>
      </c>
      <c r="C2165" s="1" t="n">
        <v>45736</v>
      </c>
      <c r="D2165" t="inlineStr">
        <is>
          <t>VÄRMLANDS LÄN</t>
        </is>
      </c>
      <c r="E2165" t="inlineStr">
        <is>
          <t>SUNNE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7975-2020</t>
        </is>
      </c>
      <c r="B2166" s="1" t="n">
        <v>43873</v>
      </c>
      <c r="C2166" s="1" t="n">
        <v>45736</v>
      </c>
      <c r="D2166" t="inlineStr">
        <is>
          <t>VÄRMLANDS LÄN</t>
        </is>
      </c>
      <c r="E2166" t="inlineStr">
        <is>
          <t>HAGFORS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7981-2020</t>
        </is>
      </c>
      <c r="B2167" s="1" t="n">
        <v>43873</v>
      </c>
      <c r="C2167" s="1" t="n">
        <v>45736</v>
      </c>
      <c r="D2167" t="inlineStr">
        <is>
          <t>VÄRMLANDS LÄN</t>
        </is>
      </c>
      <c r="E2167" t="inlineStr">
        <is>
          <t>KARLSTAD</t>
        </is>
      </c>
      <c r="G2167" t="n">
        <v>12.3</v>
      </c>
      <c r="H2167" t="n">
        <v>0</v>
      </c>
      <c r="I2167" t="n">
        <v>0</v>
      </c>
      <c r="J2167" t="n">
        <v>0</v>
      </c>
      <c r="K2167" t="n">
        <v>0</v>
      </c>
      <c r="L2167" t="n">
        <v>0</v>
      </c>
      <c r="M2167" t="n">
        <v>0</v>
      </c>
      <c r="N2167" t="n">
        <v>0</v>
      </c>
      <c r="O2167" t="n">
        <v>0</v>
      </c>
      <c r="P2167" t="n">
        <v>0</v>
      </c>
      <c r="Q2167" t="n">
        <v>0</v>
      </c>
      <c r="R2167" s="2" t="inlineStr"/>
    </row>
    <row r="2168" ht="15" customHeight="1">
      <c r="A2168" t="inlineStr">
        <is>
          <t>A 7988-2020</t>
        </is>
      </c>
      <c r="B2168" s="1" t="n">
        <v>43873</v>
      </c>
      <c r="C2168" s="1" t="n">
        <v>45736</v>
      </c>
      <c r="D2168" t="inlineStr">
        <is>
          <t>VÄRMLANDS LÄN</t>
        </is>
      </c>
      <c r="E2168" t="inlineStr">
        <is>
          <t>KARLSTAD</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7977-2020</t>
        </is>
      </c>
      <c r="B2169" s="1" t="n">
        <v>43873</v>
      </c>
      <c r="C2169" s="1" t="n">
        <v>45736</v>
      </c>
      <c r="D2169" t="inlineStr">
        <is>
          <t>VÄRMLANDS LÄN</t>
        </is>
      </c>
      <c r="E2169" t="inlineStr">
        <is>
          <t>KRISTINEHAMN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7856-2020</t>
        </is>
      </c>
      <c r="B2170" s="1" t="n">
        <v>43873</v>
      </c>
      <c r="C2170" s="1" t="n">
        <v>45736</v>
      </c>
      <c r="D2170" t="inlineStr">
        <is>
          <t>VÄRMLANDS LÄN</t>
        </is>
      </c>
      <c r="E2170" t="inlineStr">
        <is>
          <t>TORSBY</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7991-2020</t>
        </is>
      </c>
      <c r="B2171" s="1" t="n">
        <v>43873</v>
      </c>
      <c r="C2171" s="1" t="n">
        <v>45736</v>
      </c>
      <c r="D2171" t="inlineStr">
        <is>
          <t>VÄRMLANDS LÄN</t>
        </is>
      </c>
      <c r="E2171" t="inlineStr">
        <is>
          <t>KARLSTAD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7985-2020</t>
        </is>
      </c>
      <c r="B2172" s="1" t="n">
        <v>43873</v>
      </c>
      <c r="C2172" s="1" t="n">
        <v>45736</v>
      </c>
      <c r="D2172" t="inlineStr">
        <is>
          <t>VÄRMLANDS LÄN</t>
        </is>
      </c>
      <c r="E2172" t="inlineStr">
        <is>
          <t>KARLSTAD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7960-2020</t>
        </is>
      </c>
      <c r="B2173" s="1" t="n">
        <v>43873</v>
      </c>
      <c r="C2173" s="1" t="n">
        <v>45736</v>
      </c>
      <c r="D2173" t="inlineStr">
        <is>
          <t>VÄRMLANDS LÄN</t>
        </is>
      </c>
      <c r="E2173" t="inlineStr">
        <is>
          <t>ÅRJÄNG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7904-2020</t>
        </is>
      </c>
      <c r="B2174" s="1" t="n">
        <v>43873</v>
      </c>
      <c r="C2174" s="1" t="n">
        <v>45736</v>
      </c>
      <c r="D2174" t="inlineStr">
        <is>
          <t>VÄRMLANDS LÄN</t>
        </is>
      </c>
      <c r="E2174" t="inlineStr">
        <is>
          <t>GRUMS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8134-2020</t>
        </is>
      </c>
      <c r="B2175" s="1" t="n">
        <v>43874</v>
      </c>
      <c r="C2175" s="1" t="n">
        <v>45736</v>
      </c>
      <c r="D2175" t="inlineStr">
        <is>
          <t>VÄRMLANDS LÄN</t>
        </is>
      </c>
      <c r="E2175" t="inlineStr">
        <is>
          <t>SUNNE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8097-2020</t>
        </is>
      </c>
      <c r="B2176" s="1" t="n">
        <v>43874</v>
      </c>
      <c r="C2176" s="1" t="n">
        <v>45736</v>
      </c>
      <c r="D2176" t="inlineStr">
        <is>
          <t>VÄRMLANDS LÄN</t>
        </is>
      </c>
      <c r="E2176" t="inlineStr">
        <is>
          <t>KARLSTAD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8342-2020</t>
        </is>
      </c>
      <c r="B2177" s="1" t="n">
        <v>43874</v>
      </c>
      <c r="C2177" s="1" t="n">
        <v>45736</v>
      </c>
      <c r="D2177" t="inlineStr">
        <is>
          <t>VÄRMLANDS LÄN</t>
        </is>
      </c>
      <c r="E2177" t="inlineStr">
        <is>
          <t>ARVIKA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8631-2020</t>
        </is>
      </c>
      <c r="B2178" s="1" t="n">
        <v>43874</v>
      </c>
      <c r="C2178" s="1" t="n">
        <v>45736</v>
      </c>
      <c r="D2178" t="inlineStr">
        <is>
          <t>VÄRMLANDS LÄN</t>
        </is>
      </c>
      <c r="E2178" t="inlineStr">
        <is>
          <t>TORSBY</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8208-2020</t>
        </is>
      </c>
      <c r="B2179" s="1" t="n">
        <v>43874</v>
      </c>
      <c r="C2179" s="1" t="n">
        <v>45736</v>
      </c>
      <c r="D2179" t="inlineStr">
        <is>
          <t>VÄRMLANDS LÄN</t>
        </is>
      </c>
      <c r="E2179" t="inlineStr">
        <is>
          <t>KRISTINEHAMN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8288-2020</t>
        </is>
      </c>
      <c r="B2180" s="1" t="n">
        <v>43874</v>
      </c>
      <c r="C2180" s="1" t="n">
        <v>45736</v>
      </c>
      <c r="D2180" t="inlineStr">
        <is>
          <t>VÄRMLANDS LÄN</t>
        </is>
      </c>
      <c r="E2180" t="inlineStr">
        <is>
          <t>ÅRJÄNG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8211-2020</t>
        </is>
      </c>
      <c r="B2181" s="1" t="n">
        <v>43874</v>
      </c>
      <c r="C2181" s="1" t="n">
        <v>45736</v>
      </c>
      <c r="D2181" t="inlineStr">
        <is>
          <t>VÄRMLANDS LÄN</t>
        </is>
      </c>
      <c r="E2181" t="inlineStr">
        <is>
          <t>KRISTINEHAMN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8452-2020</t>
        </is>
      </c>
      <c r="B2182" s="1" t="n">
        <v>43875</v>
      </c>
      <c r="C2182" s="1" t="n">
        <v>45736</v>
      </c>
      <c r="D2182" t="inlineStr">
        <is>
          <t>VÄRMLANDS LÄN</t>
        </is>
      </c>
      <c r="E2182" t="inlineStr">
        <is>
          <t>HAGFORS</t>
        </is>
      </c>
      <c r="F2182" t="inlineStr">
        <is>
          <t>Bergvik skog väst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8434-2020</t>
        </is>
      </c>
      <c r="B2183" s="1" t="n">
        <v>43875</v>
      </c>
      <c r="C2183" s="1" t="n">
        <v>45736</v>
      </c>
      <c r="D2183" t="inlineStr">
        <is>
          <t>VÄRMLANDS LÄN</t>
        </is>
      </c>
      <c r="E2183" t="inlineStr">
        <is>
          <t>SÄFFLE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8474-2020</t>
        </is>
      </c>
      <c r="B2184" s="1" t="n">
        <v>43875</v>
      </c>
      <c r="C2184" s="1" t="n">
        <v>45736</v>
      </c>
      <c r="D2184" t="inlineStr">
        <is>
          <t>VÄRMLANDS LÄN</t>
        </is>
      </c>
      <c r="E2184" t="inlineStr">
        <is>
          <t>SUNNE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8473-2020</t>
        </is>
      </c>
      <c r="B2185" s="1" t="n">
        <v>43875</v>
      </c>
      <c r="C2185" s="1" t="n">
        <v>45736</v>
      </c>
      <c r="D2185" t="inlineStr">
        <is>
          <t>VÄRMLANDS LÄN</t>
        </is>
      </c>
      <c r="E2185" t="inlineStr">
        <is>
          <t>SUNNE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8621-2020</t>
        </is>
      </c>
      <c r="B2186" s="1" t="n">
        <v>43875</v>
      </c>
      <c r="C2186" s="1" t="n">
        <v>45736</v>
      </c>
      <c r="D2186" t="inlineStr">
        <is>
          <t>VÄRMLANDS LÄN</t>
        </is>
      </c>
      <c r="E2186" t="inlineStr">
        <is>
          <t>SUNNE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8469-2020</t>
        </is>
      </c>
      <c r="B2187" s="1" t="n">
        <v>43875</v>
      </c>
      <c r="C2187" s="1" t="n">
        <v>45736</v>
      </c>
      <c r="D2187" t="inlineStr">
        <is>
          <t>VÄRMLANDS LÄN</t>
        </is>
      </c>
      <c r="E2187" t="inlineStr">
        <is>
          <t>SUNNE</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8629-2020</t>
        </is>
      </c>
      <c r="B2188" s="1" t="n">
        <v>43875</v>
      </c>
      <c r="C2188" s="1" t="n">
        <v>45736</v>
      </c>
      <c r="D2188" t="inlineStr">
        <is>
          <t>VÄRMLANDS LÄN</t>
        </is>
      </c>
      <c r="E2188" t="inlineStr">
        <is>
          <t>SUNNE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8551-2020</t>
        </is>
      </c>
      <c r="B2189" s="1" t="n">
        <v>43877</v>
      </c>
      <c r="C2189" s="1" t="n">
        <v>45736</v>
      </c>
      <c r="D2189" t="inlineStr">
        <is>
          <t>VÄRMLANDS LÄN</t>
        </is>
      </c>
      <c r="E2189" t="inlineStr">
        <is>
          <t>KARLSTAD</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8573-2020</t>
        </is>
      </c>
      <c r="B2190" s="1" t="n">
        <v>43878</v>
      </c>
      <c r="C2190" s="1" t="n">
        <v>45736</v>
      </c>
      <c r="D2190" t="inlineStr">
        <is>
          <t>VÄRMLANDS LÄN</t>
        </is>
      </c>
      <c r="E2190" t="inlineStr">
        <is>
          <t>KRISTINEHAMN</t>
        </is>
      </c>
      <c r="F2190" t="inlineStr">
        <is>
          <t>Naturvårdsverket</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8761-2020</t>
        </is>
      </c>
      <c r="B2191" s="1" t="n">
        <v>43878</v>
      </c>
      <c r="C2191" s="1" t="n">
        <v>45736</v>
      </c>
      <c r="D2191" t="inlineStr">
        <is>
          <t>VÄRMLANDS LÄN</t>
        </is>
      </c>
      <c r="E2191" t="inlineStr">
        <is>
          <t>STORFORS</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8845-2020</t>
        </is>
      </c>
      <c r="B2192" s="1" t="n">
        <v>43878</v>
      </c>
      <c r="C2192" s="1" t="n">
        <v>45736</v>
      </c>
      <c r="D2192" t="inlineStr">
        <is>
          <t>VÄRMLANDS LÄN</t>
        </is>
      </c>
      <c r="E2192" t="inlineStr">
        <is>
          <t>SÄFFLE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8652-2020</t>
        </is>
      </c>
      <c r="B2193" s="1" t="n">
        <v>43878</v>
      </c>
      <c r="C2193" s="1" t="n">
        <v>45736</v>
      </c>
      <c r="D2193" t="inlineStr">
        <is>
          <t>VÄRMLANDS LÄN</t>
        </is>
      </c>
      <c r="E2193" t="inlineStr">
        <is>
          <t>ÅRJÄNG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8657-2020</t>
        </is>
      </c>
      <c r="B2194" s="1" t="n">
        <v>43878</v>
      </c>
      <c r="C2194" s="1" t="n">
        <v>45736</v>
      </c>
      <c r="D2194" t="inlineStr">
        <is>
          <t>VÄRMLANDS LÄN</t>
        </is>
      </c>
      <c r="E2194" t="inlineStr">
        <is>
          <t>ÅRJÄNG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8749-2020</t>
        </is>
      </c>
      <c r="B2195" s="1" t="n">
        <v>43878</v>
      </c>
      <c r="C2195" s="1" t="n">
        <v>45736</v>
      </c>
      <c r="D2195" t="inlineStr">
        <is>
          <t>VÄRMLANDS LÄN</t>
        </is>
      </c>
      <c r="E2195" t="inlineStr">
        <is>
          <t>ÅRJÄNG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8899-2020</t>
        </is>
      </c>
      <c r="B2196" s="1" t="n">
        <v>43878</v>
      </c>
      <c r="C2196" s="1" t="n">
        <v>45736</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8912-2020</t>
        </is>
      </c>
      <c r="B2197" s="1" t="n">
        <v>43878</v>
      </c>
      <c r="C2197" s="1" t="n">
        <v>45736</v>
      </c>
      <c r="D2197" t="inlineStr">
        <is>
          <t>VÄRMLANDS LÄN</t>
        </is>
      </c>
      <c r="E2197" t="inlineStr">
        <is>
          <t>HAGFORS</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8952-2020</t>
        </is>
      </c>
      <c r="B2198" s="1" t="n">
        <v>43879</v>
      </c>
      <c r="C2198" s="1" t="n">
        <v>45736</v>
      </c>
      <c r="D2198" t="inlineStr">
        <is>
          <t>VÄRMLANDS LÄN</t>
        </is>
      </c>
      <c r="E2198" t="inlineStr">
        <is>
          <t>SÄFFLE</t>
        </is>
      </c>
      <c r="F2198" t="inlineStr">
        <is>
          <t>Kyrkan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8991-2020</t>
        </is>
      </c>
      <c r="B2199" s="1" t="n">
        <v>43879</v>
      </c>
      <c r="C2199" s="1" t="n">
        <v>45736</v>
      </c>
      <c r="D2199" t="inlineStr">
        <is>
          <t>VÄRMLANDS LÄN</t>
        </is>
      </c>
      <c r="E2199" t="inlineStr">
        <is>
          <t>SUNNE</t>
        </is>
      </c>
      <c r="F2199" t="inlineStr">
        <is>
          <t>Övriga Aktiebolag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9136-2020</t>
        </is>
      </c>
      <c r="B2200" s="1" t="n">
        <v>43879</v>
      </c>
      <c r="C2200" s="1" t="n">
        <v>45736</v>
      </c>
      <c r="D2200" t="inlineStr">
        <is>
          <t>VÄRMLANDS LÄN</t>
        </is>
      </c>
      <c r="E2200" t="inlineStr">
        <is>
          <t>MUNKFORS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9146-2020</t>
        </is>
      </c>
      <c r="B2201" s="1" t="n">
        <v>43879</v>
      </c>
      <c r="C2201" s="1" t="n">
        <v>45736</v>
      </c>
      <c r="D2201" t="inlineStr">
        <is>
          <t>VÄRMLANDS LÄN</t>
        </is>
      </c>
      <c r="E2201" t="inlineStr">
        <is>
          <t>KARLSTAD</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9117-2020</t>
        </is>
      </c>
      <c r="B2202" s="1" t="n">
        <v>43879</v>
      </c>
      <c r="C2202" s="1" t="n">
        <v>45736</v>
      </c>
      <c r="D2202" t="inlineStr">
        <is>
          <t>VÄRMLANDS LÄN</t>
        </is>
      </c>
      <c r="E2202" t="inlineStr">
        <is>
          <t>FILIPSTAD</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9203-2020</t>
        </is>
      </c>
      <c r="B2203" s="1" t="n">
        <v>43879</v>
      </c>
      <c r="C2203" s="1" t="n">
        <v>45736</v>
      </c>
      <c r="D2203" t="inlineStr">
        <is>
          <t>VÄRMLANDS LÄN</t>
        </is>
      </c>
      <c r="E2203" t="inlineStr">
        <is>
          <t>ÅRJÄNG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9192-2020</t>
        </is>
      </c>
      <c r="B2204" s="1" t="n">
        <v>43879</v>
      </c>
      <c r="C2204" s="1" t="n">
        <v>45736</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9242-2020</t>
        </is>
      </c>
      <c r="B2205" s="1" t="n">
        <v>43879</v>
      </c>
      <c r="C2205" s="1" t="n">
        <v>45736</v>
      </c>
      <c r="D2205" t="inlineStr">
        <is>
          <t>VÄRMLANDS LÄN</t>
        </is>
      </c>
      <c r="E2205" t="inlineStr">
        <is>
          <t>ÅRJÄNG</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9766-2020</t>
        </is>
      </c>
      <c r="B2206" s="1" t="n">
        <v>43879</v>
      </c>
      <c r="C2206" s="1" t="n">
        <v>45736</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9760-2020</t>
        </is>
      </c>
      <c r="B2207" s="1" t="n">
        <v>43879</v>
      </c>
      <c r="C2207" s="1" t="n">
        <v>45736</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9385-2020</t>
        </is>
      </c>
      <c r="B2208" s="1" t="n">
        <v>43880</v>
      </c>
      <c r="C2208" s="1" t="n">
        <v>45736</v>
      </c>
      <c r="D2208" t="inlineStr">
        <is>
          <t>VÄRMLANDS LÄN</t>
        </is>
      </c>
      <c r="E2208" t="inlineStr">
        <is>
          <t>EDA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9395-2020</t>
        </is>
      </c>
      <c r="B2209" s="1" t="n">
        <v>43880</v>
      </c>
      <c r="C2209" s="1" t="n">
        <v>45736</v>
      </c>
      <c r="D2209" t="inlineStr">
        <is>
          <t>VÄRMLANDS LÄN</t>
        </is>
      </c>
      <c r="E2209" t="inlineStr">
        <is>
          <t>FILIPSTAD</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9496-2020</t>
        </is>
      </c>
      <c r="B2210" s="1" t="n">
        <v>43880</v>
      </c>
      <c r="C2210" s="1" t="n">
        <v>45736</v>
      </c>
      <c r="D2210" t="inlineStr">
        <is>
          <t>VÄRMLANDS LÄN</t>
        </is>
      </c>
      <c r="E2210" t="inlineStr">
        <is>
          <t>SUNNE</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9600-2020</t>
        </is>
      </c>
      <c r="B2211" s="1" t="n">
        <v>43881</v>
      </c>
      <c r="C2211" s="1" t="n">
        <v>45736</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9862-2020</t>
        </is>
      </c>
      <c r="B2212" s="1" t="n">
        <v>43881</v>
      </c>
      <c r="C2212" s="1" t="n">
        <v>45736</v>
      </c>
      <c r="D2212" t="inlineStr">
        <is>
          <t>VÄRMLANDS LÄN</t>
        </is>
      </c>
      <c r="E2212" t="inlineStr">
        <is>
          <t>SÄFFLE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9702-2020</t>
        </is>
      </c>
      <c r="B2213" s="1" t="n">
        <v>43881</v>
      </c>
      <c r="C2213" s="1" t="n">
        <v>45736</v>
      </c>
      <c r="D2213" t="inlineStr">
        <is>
          <t>VÄRMLANDS LÄN</t>
        </is>
      </c>
      <c r="E2213" t="inlineStr">
        <is>
          <t>KARLSTAD</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9957-2020</t>
        </is>
      </c>
      <c r="B2214" s="1" t="n">
        <v>43882</v>
      </c>
      <c r="C2214" s="1" t="n">
        <v>45736</v>
      </c>
      <c r="D2214" t="inlineStr">
        <is>
          <t>VÄRMLANDS LÄN</t>
        </is>
      </c>
      <c r="E2214" t="inlineStr">
        <is>
          <t>SUNNE</t>
        </is>
      </c>
      <c r="F2214" t="inlineStr">
        <is>
          <t>Övriga Aktiebolag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9923-2020</t>
        </is>
      </c>
      <c r="B2215" s="1" t="n">
        <v>43882</v>
      </c>
      <c r="C2215" s="1" t="n">
        <v>45736</v>
      </c>
      <c r="D2215" t="inlineStr">
        <is>
          <t>VÄRMLANDS LÄN</t>
        </is>
      </c>
      <c r="E2215" t="inlineStr">
        <is>
          <t>KRISTINEHAMN</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9931-2020</t>
        </is>
      </c>
      <c r="B2216" s="1" t="n">
        <v>43882</v>
      </c>
      <c r="C2216" s="1" t="n">
        <v>45736</v>
      </c>
      <c r="D2216" t="inlineStr">
        <is>
          <t>VÄRMLANDS LÄN</t>
        </is>
      </c>
      <c r="E2216" t="inlineStr">
        <is>
          <t>FILIPSTAD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9942-2020</t>
        </is>
      </c>
      <c r="B2217" s="1" t="n">
        <v>43882</v>
      </c>
      <c r="C2217" s="1" t="n">
        <v>45736</v>
      </c>
      <c r="D2217" t="inlineStr">
        <is>
          <t>VÄRMLANDS LÄN</t>
        </is>
      </c>
      <c r="E2217" t="inlineStr">
        <is>
          <t>HAGFORS</t>
        </is>
      </c>
      <c r="F2217" t="inlineStr">
        <is>
          <t>Bergvik skog väst AB</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9939-2020</t>
        </is>
      </c>
      <c r="B2218" s="1" t="n">
        <v>43882</v>
      </c>
      <c r="C2218" s="1" t="n">
        <v>45736</v>
      </c>
      <c r="D2218" t="inlineStr">
        <is>
          <t>VÄRMLANDS LÄN</t>
        </is>
      </c>
      <c r="E2218" t="inlineStr">
        <is>
          <t>FILIPSTAD</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10053-2020</t>
        </is>
      </c>
      <c r="B2219" s="1" t="n">
        <v>43882</v>
      </c>
      <c r="C2219" s="1" t="n">
        <v>45736</v>
      </c>
      <c r="D2219" t="inlineStr">
        <is>
          <t>VÄRMLANDS LÄN</t>
        </is>
      </c>
      <c r="E2219" t="inlineStr">
        <is>
          <t>KIL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10675-2020</t>
        </is>
      </c>
      <c r="B2220" s="1" t="n">
        <v>43883</v>
      </c>
      <c r="C2220" s="1" t="n">
        <v>45736</v>
      </c>
      <c r="D2220" t="inlineStr">
        <is>
          <t>VÄRMLANDS LÄN</t>
        </is>
      </c>
      <c r="E2220" t="inlineStr">
        <is>
          <t>SÄFFLE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10683-2020</t>
        </is>
      </c>
      <c r="B2221" s="1" t="n">
        <v>43883</v>
      </c>
      <c r="C2221" s="1" t="n">
        <v>45736</v>
      </c>
      <c r="D2221" t="inlineStr">
        <is>
          <t>VÄRMLANDS LÄN</t>
        </is>
      </c>
      <c r="E2221" t="inlineStr">
        <is>
          <t>SÄFFLE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10077-2020</t>
        </is>
      </c>
      <c r="B2222" s="1" t="n">
        <v>43884</v>
      </c>
      <c r="C2222" s="1" t="n">
        <v>45736</v>
      </c>
      <c r="D2222" t="inlineStr">
        <is>
          <t>VÄRMLANDS LÄN</t>
        </is>
      </c>
      <c r="E2222" t="inlineStr">
        <is>
          <t>KIL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10183-2020</t>
        </is>
      </c>
      <c r="B2223" s="1" t="n">
        <v>43885</v>
      </c>
      <c r="C2223" s="1" t="n">
        <v>45736</v>
      </c>
      <c r="D2223" t="inlineStr">
        <is>
          <t>VÄRMLANDS LÄN</t>
        </is>
      </c>
      <c r="E2223" t="inlineStr">
        <is>
          <t>ÅRJÄNG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10187-2020</t>
        </is>
      </c>
      <c r="B2224" s="1" t="n">
        <v>43885</v>
      </c>
      <c r="C2224" s="1" t="n">
        <v>45736</v>
      </c>
      <c r="D2224" t="inlineStr">
        <is>
          <t>VÄRMLANDS LÄN</t>
        </is>
      </c>
      <c r="E2224" t="inlineStr">
        <is>
          <t>EDA</t>
        </is>
      </c>
      <c r="F2224" t="inlineStr">
        <is>
          <t>Kommuner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10281-2020</t>
        </is>
      </c>
      <c r="B2225" s="1" t="n">
        <v>43885</v>
      </c>
      <c r="C2225" s="1" t="n">
        <v>45736</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10289-2020</t>
        </is>
      </c>
      <c r="B2226" s="1" t="n">
        <v>43885</v>
      </c>
      <c r="C2226" s="1" t="n">
        <v>45736</v>
      </c>
      <c r="D2226" t="inlineStr">
        <is>
          <t>VÄRMLANDS LÄN</t>
        </is>
      </c>
      <c r="E2226" t="inlineStr">
        <is>
          <t>SUNNE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10184-2020</t>
        </is>
      </c>
      <c r="B2227" s="1" t="n">
        <v>43885</v>
      </c>
      <c r="C2227" s="1" t="n">
        <v>45736</v>
      </c>
      <c r="D2227" t="inlineStr">
        <is>
          <t>VÄRMLANDS LÄN</t>
        </is>
      </c>
      <c r="E2227" t="inlineStr">
        <is>
          <t>ÅRJÄNG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10272-2020</t>
        </is>
      </c>
      <c r="B2228" s="1" t="n">
        <v>43885</v>
      </c>
      <c r="C2228" s="1" t="n">
        <v>45736</v>
      </c>
      <c r="D2228" t="inlineStr">
        <is>
          <t>VÄRMLANDS LÄN</t>
        </is>
      </c>
      <c r="E2228" t="inlineStr">
        <is>
          <t>ÅRJÄNG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10899-2020</t>
        </is>
      </c>
      <c r="B2229" s="1" t="n">
        <v>43885</v>
      </c>
      <c r="C2229" s="1" t="n">
        <v>45736</v>
      </c>
      <c r="D2229" t="inlineStr">
        <is>
          <t>VÄRMLANDS LÄN</t>
        </is>
      </c>
      <c r="E2229" t="inlineStr">
        <is>
          <t>TORSBY</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10392-2020</t>
        </is>
      </c>
      <c r="B2230" s="1" t="n">
        <v>43885</v>
      </c>
      <c r="C2230" s="1" t="n">
        <v>45736</v>
      </c>
      <c r="D2230" t="inlineStr">
        <is>
          <t>VÄRMLANDS LÄN</t>
        </is>
      </c>
      <c r="E2230" t="inlineStr">
        <is>
          <t>SUNNE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10721-2020</t>
        </is>
      </c>
      <c r="B2231" s="1" t="n">
        <v>43885</v>
      </c>
      <c r="C2231" s="1" t="n">
        <v>45736</v>
      </c>
      <c r="D2231" t="inlineStr">
        <is>
          <t>VÄRMLANDS LÄN</t>
        </is>
      </c>
      <c r="E2231" t="inlineStr">
        <is>
          <t>FILIPSTAD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11203-2020</t>
        </is>
      </c>
      <c r="B2232" s="1" t="n">
        <v>43885</v>
      </c>
      <c r="C2232" s="1" t="n">
        <v>45736</v>
      </c>
      <c r="D2232" t="inlineStr">
        <is>
          <t>VÄRMLANDS LÄN</t>
        </is>
      </c>
      <c r="E2232" t="inlineStr">
        <is>
          <t>KRISTINEHAMN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11241-2020</t>
        </is>
      </c>
      <c r="B2233" s="1" t="n">
        <v>43885</v>
      </c>
      <c r="C2233" s="1" t="n">
        <v>45736</v>
      </c>
      <c r="D2233" t="inlineStr">
        <is>
          <t>VÄRMLANDS LÄN</t>
        </is>
      </c>
      <c r="E2233" t="inlineStr">
        <is>
          <t>KRISTINEHAMN</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10306-2020</t>
        </is>
      </c>
      <c r="B2234" s="1" t="n">
        <v>43886</v>
      </c>
      <c r="C2234" s="1" t="n">
        <v>45736</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10483-2020</t>
        </is>
      </c>
      <c r="B2235" s="1" t="n">
        <v>43886</v>
      </c>
      <c r="C2235" s="1" t="n">
        <v>45736</v>
      </c>
      <c r="D2235" t="inlineStr">
        <is>
          <t>VÄRMLANDS LÄN</t>
        </is>
      </c>
      <c r="E2235" t="inlineStr">
        <is>
          <t>ÅRJÄNG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10404-2020</t>
        </is>
      </c>
      <c r="B2236" s="1" t="n">
        <v>43886</v>
      </c>
      <c r="C2236" s="1" t="n">
        <v>45736</v>
      </c>
      <c r="D2236" t="inlineStr">
        <is>
          <t>VÄRMLANDS LÄN</t>
        </is>
      </c>
      <c r="E2236" t="inlineStr">
        <is>
          <t>HAGFORS</t>
        </is>
      </c>
      <c r="F2236" t="inlineStr">
        <is>
          <t>Bergvik skog väst AB</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10422-2020</t>
        </is>
      </c>
      <c r="B2237" s="1" t="n">
        <v>43886</v>
      </c>
      <c r="C2237" s="1" t="n">
        <v>45736</v>
      </c>
      <c r="D2237" t="inlineStr">
        <is>
          <t>VÄRMLANDS LÄN</t>
        </is>
      </c>
      <c r="E2237" t="inlineStr">
        <is>
          <t>TORSBY</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10449-2020</t>
        </is>
      </c>
      <c r="B2238" s="1" t="n">
        <v>43886</v>
      </c>
      <c r="C2238" s="1" t="n">
        <v>45736</v>
      </c>
      <c r="D2238" t="inlineStr">
        <is>
          <t>VÄRMLANDS LÄN</t>
        </is>
      </c>
      <c r="E2238" t="inlineStr">
        <is>
          <t>TORSBY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10514-2020</t>
        </is>
      </c>
      <c r="B2239" s="1" t="n">
        <v>43886</v>
      </c>
      <c r="C2239" s="1" t="n">
        <v>45736</v>
      </c>
      <c r="D2239" t="inlineStr">
        <is>
          <t>VÄRMLANDS LÄN</t>
        </is>
      </c>
      <c r="E2239" t="inlineStr">
        <is>
          <t>SUNNE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10313-2020</t>
        </is>
      </c>
      <c r="B2240" s="1" t="n">
        <v>43886</v>
      </c>
      <c r="C2240" s="1" t="n">
        <v>45736</v>
      </c>
      <c r="D2240" t="inlineStr">
        <is>
          <t>VÄRMLANDS LÄN</t>
        </is>
      </c>
      <c r="E2240" t="inlineStr">
        <is>
          <t>SUNNE</t>
        </is>
      </c>
      <c r="G2240" t="n">
        <v>16.7</v>
      </c>
      <c r="H2240" t="n">
        <v>0</v>
      </c>
      <c r="I2240" t="n">
        <v>0</v>
      </c>
      <c r="J2240" t="n">
        <v>0</v>
      </c>
      <c r="K2240" t="n">
        <v>0</v>
      </c>
      <c r="L2240" t="n">
        <v>0</v>
      </c>
      <c r="M2240" t="n">
        <v>0</v>
      </c>
      <c r="N2240" t="n">
        <v>0</v>
      </c>
      <c r="O2240" t="n">
        <v>0</v>
      </c>
      <c r="P2240" t="n">
        <v>0</v>
      </c>
      <c r="Q2240" t="n">
        <v>0</v>
      </c>
      <c r="R2240" s="2" t="inlineStr"/>
    </row>
    <row r="2241" ht="15" customHeight="1">
      <c r="A2241" t="inlineStr">
        <is>
          <t>A 10420-2020</t>
        </is>
      </c>
      <c r="B2241" s="1" t="n">
        <v>43886</v>
      </c>
      <c r="C2241" s="1" t="n">
        <v>45736</v>
      </c>
      <c r="D2241" t="inlineStr">
        <is>
          <t>VÄRMLANDS LÄN</t>
        </is>
      </c>
      <c r="E2241" t="inlineStr">
        <is>
          <t>ÅRJÄNG</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10424-2020</t>
        </is>
      </c>
      <c r="B2242" s="1" t="n">
        <v>43886</v>
      </c>
      <c r="C2242" s="1" t="n">
        <v>45736</v>
      </c>
      <c r="D2242" t="inlineStr">
        <is>
          <t>VÄRMLANDS LÄN</t>
        </is>
      </c>
      <c r="E2242" t="inlineStr">
        <is>
          <t>ARVIKA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10500-2020</t>
        </is>
      </c>
      <c r="B2243" s="1" t="n">
        <v>43886</v>
      </c>
      <c r="C2243" s="1" t="n">
        <v>45736</v>
      </c>
      <c r="D2243" t="inlineStr">
        <is>
          <t>VÄRMLANDS LÄN</t>
        </is>
      </c>
      <c r="E2243" t="inlineStr">
        <is>
          <t>FORSHAGA</t>
        </is>
      </c>
      <c r="F2243" t="inlineStr">
        <is>
          <t>Bergvik skog väst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10163-2020</t>
        </is>
      </c>
      <c r="B2244" s="1" t="n">
        <v>43886</v>
      </c>
      <c r="C2244" s="1" t="n">
        <v>45736</v>
      </c>
      <c r="D2244" t="inlineStr">
        <is>
          <t>VÄRMLANDS LÄN</t>
        </is>
      </c>
      <c r="E2244" t="inlineStr">
        <is>
          <t>FORSHAGA</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10538-2020</t>
        </is>
      </c>
      <c r="B2245" s="1" t="n">
        <v>43886</v>
      </c>
      <c r="C2245" s="1" t="n">
        <v>45736</v>
      </c>
      <c r="D2245" t="inlineStr">
        <is>
          <t>VÄRMLANDS LÄN</t>
        </is>
      </c>
      <c r="E2245" t="inlineStr">
        <is>
          <t>ÅRJÄNG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11219-2020</t>
        </is>
      </c>
      <c r="B2246" s="1" t="n">
        <v>43886</v>
      </c>
      <c r="C2246" s="1" t="n">
        <v>45736</v>
      </c>
      <c r="D2246" t="inlineStr">
        <is>
          <t>VÄRMLANDS LÄN</t>
        </is>
      </c>
      <c r="E2246" t="inlineStr">
        <is>
          <t>FILIPSTAD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11355-2020</t>
        </is>
      </c>
      <c r="B2247" s="1" t="n">
        <v>43886</v>
      </c>
      <c r="C2247" s="1" t="n">
        <v>45736</v>
      </c>
      <c r="D2247" t="inlineStr">
        <is>
          <t>VÄRMLANDS LÄN</t>
        </is>
      </c>
      <c r="E2247" t="inlineStr">
        <is>
          <t>SUNNE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10139-2020</t>
        </is>
      </c>
      <c r="B2248" s="1" t="n">
        <v>43886</v>
      </c>
      <c r="C2248" s="1" t="n">
        <v>45736</v>
      </c>
      <c r="D2248" t="inlineStr">
        <is>
          <t>VÄRMLANDS LÄN</t>
        </is>
      </c>
      <c r="E2248" t="inlineStr">
        <is>
          <t>STORFORS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10464-2020</t>
        </is>
      </c>
      <c r="B2249" s="1" t="n">
        <v>43886</v>
      </c>
      <c r="C2249" s="1" t="n">
        <v>45736</v>
      </c>
      <c r="D2249" t="inlineStr">
        <is>
          <t>VÄRMLANDS LÄN</t>
        </is>
      </c>
      <c r="E2249" t="inlineStr">
        <is>
          <t>FILIPSTAD</t>
        </is>
      </c>
      <c r="G2249" t="n">
        <v>17.3</v>
      </c>
      <c r="H2249" t="n">
        <v>0</v>
      </c>
      <c r="I2249" t="n">
        <v>0</v>
      </c>
      <c r="J2249" t="n">
        <v>0</v>
      </c>
      <c r="K2249" t="n">
        <v>0</v>
      </c>
      <c r="L2249" t="n">
        <v>0</v>
      </c>
      <c r="M2249" t="n">
        <v>0</v>
      </c>
      <c r="N2249" t="n">
        <v>0</v>
      </c>
      <c r="O2249" t="n">
        <v>0</v>
      </c>
      <c r="P2249" t="n">
        <v>0</v>
      </c>
      <c r="Q2249" t="n">
        <v>0</v>
      </c>
      <c r="R2249" s="2" t="inlineStr"/>
    </row>
    <row r="2250" ht="15" customHeight="1">
      <c r="A2250" t="inlineStr">
        <is>
          <t>A 10497-2020</t>
        </is>
      </c>
      <c r="B2250" s="1" t="n">
        <v>43886</v>
      </c>
      <c r="C2250" s="1" t="n">
        <v>45736</v>
      </c>
      <c r="D2250" t="inlineStr">
        <is>
          <t>VÄRMLANDS LÄN</t>
        </is>
      </c>
      <c r="E2250" t="inlineStr">
        <is>
          <t>FILIPSTAD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10525-2020</t>
        </is>
      </c>
      <c r="B2251" s="1" t="n">
        <v>43886</v>
      </c>
      <c r="C2251" s="1" t="n">
        <v>45736</v>
      </c>
      <c r="D2251" t="inlineStr">
        <is>
          <t>VÄRMLANDS LÄN</t>
        </is>
      </c>
      <c r="E2251" t="inlineStr">
        <is>
          <t>EDA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10319-2020</t>
        </is>
      </c>
      <c r="B2252" s="1" t="n">
        <v>43887</v>
      </c>
      <c r="C2252" s="1" t="n">
        <v>45736</v>
      </c>
      <c r="D2252" t="inlineStr">
        <is>
          <t>VÄRMLANDS LÄN</t>
        </is>
      </c>
      <c r="E2252" t="inlineStr">
        <is>
          <t>FILIPSTAD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10131-2020</t>
        </is>
      </c>
      <c r="B2253" s="1" t="n">
        <v>43887</v>
      </c>
      <c r="C2253" s="1" t="n">
        <v>45736</v>
      </c>
      <c r="D2253" t="inlineStr">
        <is>
          <t>VÄRMLANDS LÄN</t>
        </is>
      </c>
      <c r="E2253" t="inlineStr">
        <is>
          <t>ÅRJÄNG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10560-2020</t>
        </is>
      </c>
      <c r="B2254" s="1" t="n">
        <v>43887</v>
      </c>
      <c r="C2254" s="1" t="n">
        <v>45736</v>
      </c>
      <c r="D2254" t="inlineStr">
        <is>
          <t>VÄRMLANDS LÄN</t>
        </is>
      </c>
      <c r="E2254" t="inlineStr">
        <is>
          <t>FILIPSTAD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10269-2020</t>
        </is>
      </c>
      <c r="B2255" s="1" t="n">
        <v>43887</v>
      </c>
      <c r="C2255" s="1" t="n">
        <v>45736</v>
      </c>
      <c r="D2255" t="inlineStr">
        <is>
          <t>VÄRMLANDS LÄN</t>
        </is>
      </c>
      <c r="E2255" t="inlineStr">
        <is>
          <t>SUNNE</t>
        </is>
      </c>
      <c r="F2255" t="inlineStr">
        <is>
          <t>Övriga Aktiebolag</t>
        </is>
      </c>
      <c r="G2255" t="n">
        <v>14.3</v>
      </c>
      <c r="H2255" t="n">
        <v>0</v>
      </c>
      <c r="I2255" t="n">
        <v>0</v>
      </c>
      <c r="J2255" t="n">
        <v>0</v>
      </c>
      <c r="K2255" t="n">
        <v>0</v>
      </c>
      <c r="L2255" t="n">
        <v>0</v>
      </c>
      <c r="M2255" t="n">
        <v>0</v>
      </c>
      <c r="N2255" t="n">
        <v>0</v>
      </c>
      <c r="O2255" t="n">
        <v>0</v>
      </c>
      <c r="P2255" t="n">
        <v>0</v>
      </c>
      <c r="Q2255" t="n">
        <v>0</v>
      </c>
      <c r="R2255" s="2" t="inlineStr"/>
    </row>
    <row r="2256" ht="15" customHeight="1">
      <c r="A2256" t="inlineStr">
        <is>
          <t>A 11974-2020</t>
        </is>
      </c>
      <c r="B2256" s="1" t="n">
        <v>43887</v>
      </c>
      <c r="C2256" s="1" t="n">
        <v>45736</v>
      </c>
      <c r="D2256" t="inlineStr">
        <is>
          <t>VÄRMLANDS LÄN</t>
        </is>
      </c>
      <c r="E2256" t="inlineStr">
        <is>
          <t>HAGFORS</t>
        </is>
      </c>
      <c r="F2256" t="inlineStr">
        <is>
          <t>Kyrkan</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10333-2020</t>
        </is>
      </c>
      <c r="B2257" s="1" t="n">
        <v>43887</v>
      </c>
      <c r="C2257" s="1" t="n">
        <v>45736</v>
      </c>
      <c r="D2257" t="inlineStr">
        <is>
          <t>VÄRMLANDS LÄN</t>
        </is>
      </c>
      <c r="E2257" t="inlineStr">
        <is>
          <t>HAGFORS</t>
        </is>
      </c>
      <c r="F2257" t="inlineStr">
        <is>
          <t>Bergvik skog väst AB</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10168-2020</t>
        </is>
      </c>
      <c r="B2258" s="1" t="n">
        <v>43887</v>
      </c>
      <c r="C2258" s="1" t="n">
        <v>45736</v>
      </c>
      <c r="D2258" t="inlineStr">
        <is>
          <t>VÄRMLANDS LÄN</t>
        </is>
      </c>
      <c r="E2258" t="inlineStr">
        <is>
          <t>SUNNE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10746-2020</t>
        </is>
      </c>
      <c r="B2259" s="1" t="n">
        <v>43888</v>
      </c>
      <c r="C2259" s="1" t="n">
        <v>45736</v>
      </c>
      <c r="D2259" t="inlineStr">
        <is>
          <t>VÄRMLANDS LÄN</t>
        </is>
      </c>
      <c r="E2259" t="inlineStr">
        <is>
          <t>SUNNE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10812-2020</t>
        </is>
      </c>
      <c r="B2260" s="1" t="n">
        <v>43888</v>
      </c>
      <c r="C2260" s="1" t="n">
        <v>45736</v>
      </c>
      <c r="D2260" t="inlineStr">
        <is>
          <t>VÄRMLANDS LÄN</t>
        </is>
      </c>
      <c r="E2260" t="inlineStr">
        <is>
          <t>SUNNE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10835-2020</t>
        </is>
      </c>
      <c r="B2261" s="1" t="n">
        <v>43888</v>
      </c>
      <c r="C2261" s="1" t="n">
        <v>45736</v>
      </c>
      <c r="D2261" t="inlineStr">
        <is>
          <t>VÄRMLANDS LÄN</t>
        </is>
      </c>
      <c r="E2261" t="inlineStr">
        <is>
          <t>HAGFORS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10818-2020</t>
        </is>
      </c>
      <c r="B2262" s="1" t="n">
        <v>43888</v>
      </c>
      <c r="C2262" s="1" t="n">
        <v>45736</v>
      </c>
      <c r="D2262" t="inlineStr">
        <is>
          <t>VÄRMLANDS LÄN</t>
        </is>
      </c>
      <c r="E2262" t="inlineStr">
        <is>
          <t>SUNNE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10827-2020</t>
        </is>
      </c>
      <c r="B2263" s="1" t="n">
        <v>43888</v>
      </c>
      <c r="C2263" s="1" t="n">
        <v>45736</v>
      </c>
      <c r="D2263" t="inlineStr">
        <is>
          <t>VÄRMLANDS LÄN</t>
        </is>
      </c>
      <c r="E2263" t="inlineStr">
        <is>
          <t>MUNKFORS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11741-2020</t>
        </is>
      </c>
      <c r="B2264" s="1" t="n">
        <v>43888</v>
      </c>
      <c r="C2264" s="1" t="n">
        <v>45736</v>
      </c>
      <c r="D2264" t="inlineStr">
        <is>
          <t>VÄRMLANDS LÄN</t>
        </is>
      </c>
      <c r="E2264" t="inlineStr">
        <is>
          <t>EDA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10658-2020</t>
        </is>
      </c>
      <c r="B2265" s="1" t="n">
        <v>43888</v>
      </c>
      <c r="C2265" s="1" t="n">
        <v>45736</v>
      </c>
      <c r="D2265" t="inlineStr">
        <is>
          <t>VÄRMLANDS LÄN</t>
        </is>
      </c>
      <c r="E2265" t="inlineStr">
        <is>
          <t>ÅRJÄNG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11873-2020</t>
        </is>
      </c>
      <c r="B2266" s="1" t="n">
        <v>43888</v>
      </c>
      <c r="C2266" s="1" t="n">
        <v>45736</v>
      </c>
      <c r="D2266" t="inlineStr">
        <is>
          <t>VÄRMLANDS LÄN</t>
        </is>
      </c>
      <c r="E2266" t="inlineStr">
        <is>
          <t>SÄFFLE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10853-2020</t>
        </is>
      </c>
      <c r="B2267" s="1" t="n">
        <v>43889</v>
      </c>
      <c r="C2267" s="1" t="n">
        <v>45736</v>
      </c>
      <c r="D2267" t="inlineStr">
        <is>
          <t>VÄRMLANDS LÄN</t>
        </is>
      </c>
      <c r="E2267" t="inlineStr">
        <is>
          <t>SÄFFLE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10912-2020</t>
        </is>
      </c>
      <c r="B2268" s="1" t="n">
        <v>43889</v>
      </c>
      <c r="C2268" s="1" t="n">
        <v>45736</v>
      </c>
      <c r="D2268" t="inlineStr">
        <is>
          <t>VÄRMLANDS LÄN</t>
        </is>
      </c>
      <c r="E2268" t="inlineStr">
        <is>
          <t>KARLSTAD</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10937-2020</t>
        </is>
      </c>
      <c r="B2269" s="1" t="n">
        <v>43889</v>
      </c>
      <c r="C2269" s="1" t="n">
        <v>45736</v>
      </c>
      <c r="D2269" t="inlineStr">
        <is>
          <t>VÄRMLANDS LÄN</t>
        </is>
      </c>
      <c r="E2269" t="inlineStr">
        <is>
          <t>ÅRJÄNG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10998-2020</t>
        </is>
      </c>
      <c r="B2270" s="1" t="n">
        <v>43889</v>
      </c>
      <c r="C2270" s="1" t="n">
        <v>45736</v>
      </c>
      <c r="D2270" t="inlineStr">
        <is>
          <t>VÄRMLANDS LÄN</t>
        </is>
      </c>
      <c r="E2270" t="inlineStr">
        <is>
          <t>HAGFORS</t>
        </is>
      </c>
      <c r="F2270" t="inlineStr">
        <is>
          <t>Bergvik skog väst AB</t>
        </is>
      </c>
      <c r="G2270" t="n">
        <v>13.9</v>
      </c>
      <c r="H2270" t="n">
        <v>0</v>
      </c>
      <c r="I2270" t="n">
        <v>0</v>
      </c>
      <c r="J2270" t="n">
        <v>0</v>
      </c>
      <c r="K2270" t="n">
        <v>0</v>
      </c>
      <c r="L2270" t="n">
        <v>0</v>
      </c>
      <c r="M2270" t="n">
        <v>0</v>
      </c>
      <c r="N2270" t="n">
        <v>0</v>
      </c>
      <c r="O2270" t="n">
        <v>0</v>
      </c>
      <c r="P2270" t="n">
        <v>0</v>
      </c>
      <c r="Q2270" t="n">
        <v>0</v>
      </c>
      <c r="R2270" s="2" t="inlineStr"/>
    </row>
    <row r="2271" ht="15" customHeight="1">
      <c r="A2271" t="inlineStr">
        <is>
          <t>A 11100-2020</t>
        </is>
      </c>
      <c r="B2271" s="1" t="n">
        <v>43889</v>
      </c>
      <c r="C2271" s="1" t="n">
        <v>45736</v>
      </c>
      <c r="D2271" t="inlineStr">
        <is>
          <t>VÄRMLANDS LÄN</t>
        </is>
      </c>
      <c r="E2271" t="inlineStr">
        <is>
          <t>KRISTINEHAMN</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11031-2020</t>
        </is>
      </c>
      <c r="B2272" s="1" t="n">
        <v>43889</v>
      </c>
      <c r="C2272" s="1" t="n">
        <v>45736</v>
      </c>
      <c r="D2272" t="inlineStr">
        <is>
          <t>VÄRMLANDS LÄN</t>
        </is>
      </c>
      <c r="E2272" t="inlineStr">
        <is>
          <t>KARLSTAD</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11033-2020</t>
        </is>
      </c>
      <c r="B2273" s="1" t="n">
        <v>43889</v>
      </c>
      <c r="C2273" s="1" t="n">
        <v>45736</v>
      </c>
      <c r="D2273" t="inlineStr">
        <is>
          <t>VÄRMLANDS LÄN</t>
        </is>
      </c>
      <c r="E2273" t="inlineStr">
        <is>
          <t>KARLSTAD</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11944-2020</t>
        </is>
      </c>
      <c r="B2274" s="1" t="n">
        <v>43889</v>
      </c>
      <c r="C2274" s="1" t="n">
        <v>45736</v>
      </c>
      <c r="D2274" t="inlineStr">
        <is>
          <t>VÄRMLANDS LÄN</t>
        </is>
      </c>
      <c r="E2274" t="inlineStr">
        <is>
          <t>FILIPSTAD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11143-2020</t>
        </is>
      </c>
      <c r="B2275" s="1" t="n">
        <v>43891</v>
      </c>
      <c r="C2275" s="1" t="n">
        <v>45736</v>
      </c>
      <c r="D2275" t="inlineStr">
        <is>
          <t>VÄRMLANDS LÄN</t>
        </is>
      </c>
      <c r="E2275" t="inlineStr">
        <is>
          <t>GRUMS</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11169-2020</t>
        </is>
      </c>
      <c r="B2276" s="1" t="n">
        <v>43891</v>
      </c>
      <c r="C2276" s="1" t="n">
        <v>45736</v>
      </c>
      <c r="D2276" t="inlineStr">
        <is>
          <t>VÄRMLANDS LÄN</t>
        </is>
      </c>
      <c r="E2276" t="inlineStr">
        <is>
          <t>SÄFFLE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12152-2020</t>
        </is>
      </c>
      <c r="B2277" s="1" t="n">
        <v>43891</v>
      </c>
      <c r="C2277" s="1" t="n">
        <v>45736</v>
      </c>
      <c r="D2277" t="inlineStr">
        <is>
          <t>VÄRMLANDS LÄN</t>
        </is>
      </c>
      <c r="E2277" t="inlineStr">
        <is>
          <t>GRUMS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11142-2020</t>
        </is>
      </c>
      <c r="B2278" s="1" t="n">
        <v>43891</v>
      </c>
      <c r="C2278" s="1" t="n">
        <v>45736</v>
      </c>
      <c r="D2278" t="inlineStr">
        <is>
          <t>VÄRMLANDS LÄN</t>
        </is>
      </c>
      <c r="E2278" t="inlineStr">
        <is>
          <t>GRUMS</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11168-2020</t>
        </is>
      </c>
      <c r="B2279" s="1" t="n">
        <v>43891</v>
      </c>
      <c r="C2279" s="1" t="n">
        <v>45736</v>
      </c>
      <c r="D2279" t="inlineStr">
        <is>
          <t>VÄRMLANDS LÄN</t>
        </is>
      </c>
      <c r="E2279" t="inlineStr">
        <is>
          <t>SÄFFLE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12149-2020</t>
        </is>
      </c>
      <c r="B2280" s="1" t="n">
        <v>43891</v>
      </c>
      <c r="C2280" s="1" t="n">
        <v>45736</v>
      </c>
      <c r="D2280" t="inlineStr">
        <is>
          <t>VÄRMLANDS LÄN</t>
        </is>
      </c>
      <c r="E2280" t="inlineStr">
        <is>
          <t>GRUMS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11141-2020</t>
        </is>
      </c>
      <c r="B2281" s="1" t="n">
        <v>43891</v>
      </c>
      <c r="C2281" s="1" t="n">
        <v>45736</v>
      </c>
      <c r="D2281" t="inlineStr">
        <is>
          <t>VÄRMLANDS LÄN</t>
        </is>
      </c>
      <c r="E2281" t="inlineStr">
        <is>
          <t>GRUMS</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11160-2020</t>
        </is>
      </c>
      <c r="B2282" s="1" t="n">
        <v>43891</v>
      </c>
      <c r="C2282" s="1" t="n">
        <v>45736</v>
      </c>
      <c r="D2282" t="inlineStr">
        <is>
          <t>VÄRMLANDS LÄN</t>
        </is>
      </c>
      <c r="E2282" t="inlineStr">
        <is>
          <t>FILIPSTAD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11170-2020</t>
        </is>
      </c>
      <c r="B2283" s="1" t="n">
        <v>43891</v>
      </c>
      <c r="C2283" s="1" t="n">
        <v>45736</v>
      </c>
      <c r="D2283" t="inlineStr">
        <is>
          <t>VÄRMLANDS LÄN</t>
        </is>
      </c>
      <c r="E2283" t="inlineStr">
        <is>
          <t>ARVIKA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12155-2020</t>
        </is>
      </c>
      <c r="B2284" s="1" t="n">
        <v>43891</v>
      </c>
      <c r="C2284" s="1" t="n">
        <v>45736</v>
      </c>
      <c r="D2284" t="inlineStr">
        <is>
          <t>VÄRMLANDS LÄN</t>
        </is>
      </c>
      <c r="E2284" t="inlineStr">
        <is>
          <t>KIL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11206-2020</t>
        </is>
      </c>
      <c r="B2285" s="1" t="n">
        <v>43892</v>
      </c>
      <c r="C2285" s="1" t="n">
        <v>45736</v>
      </c>
      <c r="D2285" t="inlineStr">
        <is>
          <t>VÄRMLANDS LÄN</t>
        </is>
      </c>
      <c r="E2285" t="inlineStr">
        <is>
          <t>ÅRJÄNG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11224-2020</t>
        </is>
      </c>
      <c r="B2286" s="1" t="n">
        <v>43892</v>
      </c>
      <c r="C2286" s="1" t="n">
        <v>45736</v>
      </c>
      <c r="D2286" t="inlineStr">
        <is>
          <t>VÄRMLANDS LÄN</t>
        </is>
      </c>
      <c r="E2286" t="inlineStr">
        <is>
          <t>SUNNE</t>
        </is>
      </c>
      <c r="F2286" t="inlineStr">
        <is>
          <t>Bergvik skog väst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12454-2020</t>
        </is>
      </c>
      <c r="B2287" s="1" t="n">
        <v>43892</v>
      </c>
      <c r="C2287" s="1" t="n">
        <v>45736</v>
      </c>
      <c r="D2287" t="inlineStr">
        <is>
          <t>VÄRMLANDS LÄN</t>
        </is>
      </c>
      <c r="E2287" t="inlineStr">
        <is>
          <t>KRISTINEHAMN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11205-2020</t>
        </is>
      </c>
      <c r="B2288" s="1" t="n">
        <v>43892</v>
      </c>
      <c r="C2288" s="1" t="n">
        <v>45736</v>
      </c>
      <c r="D2288" t="inlineStr">
        <is>
          <t>VÄRMLANDS LÄN</t>
        </is>
      </c>
      <c r="E2288" t="inlineStr">
        <is>
          <t>EDA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12575-2020</t>
        </is>
      </c>
      <c r="B2289" s="1" t="n">
        <v>43892</v>
      </c>
      <c r="C2289" s="1" t="n">
        <v>45736</v>
      </c>
      <c r="D2289" t="inlineStr">
        <is>
          <t>VÄRMLANDS LÄN</t>
        </is>
      </c>
      <c r="E2289" t="inlineStr">
        <is>
          <t>ÅRJÄNG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11398-2020</t>
        </is>
      </c>
      <c r="B2290" s="1" t="n">
        <v>43892</v>
      </c>
      <c r="C2290" s="1" t="n">
        <v>45736</v>
      </c>
      <c r="D2290" t="inlineStr">
        <is>
          <t>VÄRMLANDS LÄN</t>
        </is>
      </c>
      <c r="E2290" t="inlineStr">
        <is>
          <t>SUNNE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12573-2020</t>
        </is>
      </c>
      <c r="B2291" s="1" t="n">
        <v>43892</v>
      </c>
      <c r="C2291" s="1" t="n">
        <v>45736</v>
      </c>
      <c r="D2291" t="inlineStr">
        <is>
          <t>VÄRMLANDS LÄN</t>
        </is>
      </c>
      <c r="E2291" t="inlineStr">
        <is>
          <t>ÅRJÄNG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11313-2020</t>
        </is>
      </c>
      <c r="B2292" s="1" t="n">
        <v>43892</v>
      </c>
      <c r="C2292" s="1" t="n">
        <v>45736</v>
      </c>
      <c r="D2292" t="inlineStr">
        <is>
          <t>VÄRMLANDS LÄN</t>
        </is>
      </c>
      <c r="E2292" t="inlineStr">
        <is>
          <t>ARVIKA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11213-2020</t>
        </is>
      </c>
      <c r="B2293" s="1" t="n">
        <v>43892</v>
      </c>
      <c r="C2293" s="1" t="n">
        <v>45736</v>
      </c>
      <c r="D2293" t="inlineStr">
        <is>
          <t>VÄRMLANDS LÄN</t>
        </is>
      </c>
      <c r="E2293" t="inlineStr">
        <is>
          <t>TORSBY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11463-2020</t>
        </is>
      </c>
      <c r="B2294" s="1" t="n">
        <v>43893</v>
      </c>
      <c r="C2294" s="1" t="n">
        <v>45736</v>
      </c>
      <c r="D2294" t="inlineStr">
        <is>
          <t>VÄRMLANDS LÄN</t>
        </is>
      </c>
      <c r="E2294" t="inlineStr">
        <is>
          <t>ÅRJÄNG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11580-2020</t>
        </is>
      </c>
      <c r="B2295" s="1" t="n">
        <v>43893</v>
      </c>
      <c r="C2295" s="1" t="n">
        <v>45736</v>
      </c>
      <c r="D2295" t="inlineStr">
        <is>
          <t>VÄRMLANDS LÄN</t>
        </is>
      </c>
      <c r="E2295" t="inlineStr">
        <is>
          <t>GRUMS</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11660-2020</t>
        </is>
      </c>
      <c r="B2296" s="1" t="n">
        <v>43893</v>
      </c>
      <c r="C2296" s="1" t="n">
        <v>45736</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11949-2020</t>
        </is>
      </c>
      <c r="B2297" s="1" t="n">
        <v>43894</v>
      </c>
      <c r="C2297" s="1" t="n">
        <v>45736</v>
      </c>
      <c r="D2297" t="inlineStr">
        <is>
          <t>VÄRMLANDS LÄN</t>
        </is>
      </c>
      <c r="E2297" t="inlineStr">
        <is>
          <t>SUNNE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11866-2020</t>
        </is>
      </c>
      <c r="B2298" s="1" t="n">
        <v>43894</v>
      </c>
      <c r="C2298" s="1" t="n">
        <v>45736</v>
      </c>
      <c r="D2298" t="inlineStr">
        <is>
          <t>VÄRMLANDS LÄN</t>
        </is>
      </c>
      <c r="E2298" t="inlineStr">
        <is>
          <t>SÄFFLE</t>
        </is>
      </c>
      <c r="F2298" t="inlineStr">
        <is>
          <t>Kyrkan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12022-2020</t>
        </is>
      </c>
      <c r="B2299" s="1" t="n">
        <v>43894</v>
      </c>
      <c r="C2299" s="1" t="n">
        <v>45736</v>
      </c>
      <c r="D2299" t="inlineStr">
        <is>
          <t>VÄRMLANDS LÄN</t>
        </is>
      </c>
      <c r="E2299" t="inlineStr">
        <is>
          <t>GRUMS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12009-2020</t>
        </is>
      </c>
      <c r="B2300" s="1" t="n">
        <v>43894</v>
      </c>
      <c r="C2300" s="1" t="n">
        <v>45736</v>
      </c>
      <c r="D2300" t="inlineStr">
        <is>
          <t>VÄRMLANDS LÄN</t>
        </is>
      </c>
      <c r="E2300" t="inlineStr">
        <is>
          <t>STORFORS</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12053-2020</t>
        </is>
      </c>
      <c r="B2301" s="1" t="n">
        <v>43894</v>
      </c>
      <c r="C2301" s="1" t="n">
        <v>45736</v>
      </c>
      <c r="D2301" t="inlineStr">
        <is>
          <t>VÄRMLANDS LÄN</t>
        </is>
      </c>
      <c r="E2301" t="inlineStr">
        <is>
          <t>KRISTINEHAMN</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12180-2020</t>
        </is>
      </c>
      <c r="B2302" s="1" t="n">
        <v>43895</v>
      </c>
      <c r="C2302" s="1" t="n">
        <v>45736</v>
      </c>
      <c r="D2302" t="inlineStr">
        <is>
          <t>VÄRMLANDS LÄN</t>
        </is>
      </c>
      <c r="E2302" t="inlineStr">
        <is>
          <t>SÄFFLE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12232-2020</t>
        </is>
      </c>
      <c r="B2303" s="1" t="n">
        <v>43895</v>
      </c>
      <c r="C2303" s="1" t="n">
        <v>45736</v>
      </c>
      <c r="D2303" t="inlineStr">
        <is>
          <t>VÄRMLANDS LÄN</t>
        </is>
      </c>
      <c r="E2303" t="inlineStr">
        <is>
          <t>EDA</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12210-2020</t>
        </is>
      </c>
      <c r="B2304" s="1" t="n">
        <v>43895</v>
      </c>
      <c r="C2304" s="1" t="n">
        <v>45736</v>
      </c>
      <c r="D2304" t="inlineStr">
        <is>
          <t>VÄRMLANDS LÄN</t>
        </is>
      </c>
      <c r="E2304" t="inlineStr">
        <is>
          <t>ARVIKA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12234-2020</t>
        </is>
      </c>
      <c r="B2305" s="1" t="n">
        <v>43895</v>
      </c>
      <c r="C2305" s="1" t="n">
        <v>45736</v>
      </c>
      <c r="D2305" t="inlineStr">
        <is>
          <t>VÄRMLANDS LÄN</t>
        </is>
      </c>
      <c r="E2305" t="inlineStr">
        <is>
          <t>SÄFFLE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12363-2020</t>
        </is>
      </c>
      <c r="B2306" s="1" t="n">
        <v>43896</v>
      </c>
      <c r="C2306" s="1" t="n">
        <v>45736</v>
      </c>
      <c r="D2306" t="inlineStr">
        <is>
          <t>VÄRMLANDS LÄN</t>
        </is>
      </c>
      <c r="E2306" t="inlineStr">
        <is>
          <t>EDA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12372-2020</t>
        </is>
      </c>
      <c r="B2307" s="1" t="n">
        <v>43896</v>
      </c>
      <c r="C2307" s="1" t="n">
        <v>45736</v>
      </c>
      <c r="D2307" t="inlineStr">
        <is>
          <t>VÄRMLANDS LÄN</t>
        </is>
      </c>
      <c r="E2307" t="inlineStr">
        <is>
          <t>FILIPSTAD</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12417-2020</t>
        </is>
      </c>
      <c r="B2308" s="1" t="n">
        <v>43896</v>
      </c>
      <c r="C2308" s="1" t="n">
        <v>45736</v>
      </c>
      <c r="D2308" t="inlineStr">
        <is>
          <t>VÄRMLANDS LÄN</t>
        </is>
      </c>
      <c r="E2308" t="inlineStr">
        <is>
          <t>SÄFFLE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12425-2020</t>
        </is>
      </c>
      <c r="B2309" s="1" t="n">
        <v>43896</v>
      </c>
      <c r="C2309" s="1" t="n">
        <v>45736</v>
      </c>
      <c r="D2309" t="inlineStr">
        <is>
          <t>VÄRMLANDS LÄN</t>
        </is>
      </c>
      <c r="E2309" t="inlineStr">
        <is>
          <t>SUNNE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12399-2020</t>
        </is>
      </c>
      <c r="B2310" s="1" t="n">
        <v>43896</v>
      </c>
      <c r="C2310" s="1" t="n">
        <v>45736</v>
      </c>
      <c r="D2310" t="inlineStr">
        <is>
          <t>VÄRMLANDS LÄN</t>
        </is>
      </c>
      <c r="E2310" t="inlineStr">
        <is>
          <t>ARVIKA</t>
        </is>
      </c>
      <c r="F2310" t="inlineStr">
        <is>
          <t>Bergvik skog väst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12428-2020</t>
        </is>
      </c>
      <c r="B2311" s="1" t="n">
        <v>43896</v>
      </c>
      <c r="C2311" s="1" t="n">
        <v>45736</v>
      </c>
      <c r="D2311" t="inlineStr">
        <is>
          <t>VÄRMLANDS LÄN</t>
        </is>
      </c>
      <c r="E2311" t="inlineStr">
        <is>
          <t>TORSBY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12506-2020</t>
        </is>
      </c>
      <c r="B2312" s="1" t="n">
        <v>43896</v>
      </c>
      <c r="C2312" s="1" t="n">
        <v>45736</v>
      </c>
      <c r="D2312" t="inlineStr">
        <is>
          <t>VÄRMLANDS LÄN</t>
        </is>
      </c>
      <c r="E2312" t="inlineStr">
        <is>
          <t>ARVIKA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13849-2020</t>
        </is>
      </c>
      <c r="B2313" s="1" t="n">
        <v>43896</v>
      </c>
      <c r="C2313" s="1" t="n">
        <v>45736</v>
      </c>
      <c r="D2313" t="inlineStr">
        <is>
          <t>VÄRMLANDS LÄN</t>
        </is>
      </c>
      <c r="E2313" t="inlineStr">
        <is>
          <t>SUNNE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12655-2020</t>
        </is>
      </c>
      <c r="B2314" s="1" t="n">
        <v>43897</v>
      </c>
      <c r="C2314" s="1" t="n">
        <v>45736</v>
      </c>
      <c r="D2314" t="inlineStr">
        <is>
          <t>VÄRMLANDS LÄN</t>
        </is>
      </c>
      <c r="E2314" t="inlineStr">
        <is>
          <t>KRISTINEHAMN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12547-2020</t>
        </is>
      </c>
      <c r="B2315" s="1" t="n">
        <v>43897</v>
      </c>
      <c r="C2315" s="1" t="n">
        <v>45736</v>
      </c>
      <c r="D2315" t="inlineStr">
        <is>
          <t>VÄRMLANDS LÄN</t>
        </is>
      </c>
      <c r="E2315" t="inlineStr">
        <is>
          <t>GRUMS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12659-2020</t>
        </is>
      </c>
      <c r="B2316" s="1" t="n">
        <v>43898</v>
      </c>
      <c r="C2316" s="1" t="n">
        <v>45736</v>
      </c>
      <c r="D2316" t="inlineStr">
        <is>
          <t>VÄRMLANDS LÄN</t>
        </is>
      </c>
      <c r="E2316" t="inlineStr">
        <is>
          <t>KRISTINEHAMN</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12559-2020</t>
        </is>
      </c>
      <c r="B2317" s="1" t="n">
        <v>43898</v>
      </c>
      <c r="C2317" s="1" t="n">
        <v>45736</v>
      </c>
      <c r="D2317" t="inlineStr">
        <is>
          <t>VÄRMLANDS LÄN</t>
        </is>
      </c>
      <c r="E2317" t="inlineStr">
        <is>
          <t>ARVIKA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12662-2020</t>
        </is>
      </c>
      <c r="B2318" s="1" t="n">
        <v>43899</v>
      </c>
      <c r="C2318" s="1" t="n">
        <v>45736</v>
      </c>
      <c r="D2318" t="inlineStr">
        <is>
          <t>VÄRMLANDS LÄN</t>
        </is>
      </c>
      <c r="E2318" t="inlineStr">
        <is>
          <t>SÄFFLE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12665-2020</t>
        </is>
      </c>
      <c r="B2319" s="1" t="n">
        <v>43899</v>
      </c>
      <c r="C2319" s="1" t="n">
        <v>45736</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12737-2020</t>
        </is>
      </c>
      <c r="B2320" s="1" t="n">
        <v>43899</v>
      </c>
      <c r="C2320" s="1" t="n">
        <v>45736</v>
      </c>
      <c r="D2320" t="inlineStr">
        <is>
          <t>VÄRMLANDS LÄN</t>
        </is>
      </c>
      <c r="E2320" t="inlineStr">
        <is>
          <t>SÄFFLE</t>
        </is>
      </c>
      <c r="F2320" t="inlineStr">
        <is>
          <t>Kyrkan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12796-2020</t>
        </is>
      </c>
      <c r="B2321" s="1" t="n">
        <v>43899</v>
      </c>
      <c r="C2321" s="1" t="n">
        <v>45736</v>
      </c>
      <c r="D2321" t="inlineStr">
        <is>
          <t>VÄRMLANDS LÄN</t>
        </is>
      </c>
      <c r="E2321" t="inlineStr">
        <is>
          <t>STORFORS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12822-2020</t>
        </is>
      </c>
      <c r="B2322" s="1" t="n">
        <v>43899</v>
      </c>
      <c r="C2322" s="1" t="n">
        <v>45736</v>
      </c>
      <c r="D2322" t="inlineStr">
        <is>
          <t>VÄRMLANDS LÄN</t>
        </is>
      </c>
      <c r="E2322" t="inlineStr">
        <is>
          <t>KARLSTAD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12855-2020</t>
        </is>
      </c>
      <c r="B2323" s="1" t="n">
        <v>43899</v>
      </c>
      <c r="C2323" s="1" t="n">
        <v>45736</v>
      </c>
      <c r="D2323" t="inlineStr">
        <is>
          <t>VÄRMLANDS LÄN</t>
        </is>
      </c>
      <c r="E2323" t="inlineStr">
        <is>
          <t>TORSBY</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14104-2020</t>
        </is>
      </c>
      <c r="B2324" s="1" t="n">
        <v>43899</v>
      </c>
      <c r="C2324" s="1" t="n">
        <v>45736</v>
      </c>
      <c r="D2324" t="inlineStr">
        <is>
          <t>VÄRMLANDS LÄN</t>
        </is>
      </c>
      <c r="E2324" t="inlineStr">
        <is>
          <t>ÅRJÄNG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13968-2020</t>
        </is>
      </c>
      <c r="B2325" s="1" t="n">
        <v>43899</v>
      </c>
      <c r="C2325" s="1" t="n">
        <v>45736</v>
      </c>
      <c r="D2325" t="inlineStr">
        <is>
          <t>VÄRMLANDS LÄN</t>
        </is>
      </c>
      <c r="E2325" t="inlineStr">
        <is>
          <t>SÄFFLE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14013-2020</t>
        </is>
      </c>
      <c r="B2326" s="1" t="n">
        <v>43899</v>
      </c>
      <c r="C2326" s="1" t="n">
        <v>45736</v>
      </c>
      <c r="D2326" t="inlineStr">
        <is>
          <t>VÄRMLANDS LÄN</t>
        </is>
      </c>
      <c r="E2326" t="inlineStr">
        <is>
          <t>KRISTINEHAMN</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18662-2020</t>
        </is>
      </c>
      <c r="B2327" s="1" t="n">
        <v>43899</v>
      </c>
      <c r="C2327" s="1" t="n">
        <v>45736</v>
      </c>
      <c r="D2327" t="inlineStr">
        <is>
          <t>VÄRMLANDS LÄN</t>
        </is>
      </c>
      <c r="E2327" t="inlineStr">
        <is>
          <t>ÅRJÄNG</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12881-2020</t>
        </is>
      </c>
      <c r="B2328" s="1" t="n">
        <v>43900</v>
      </c>
      <c r="C2328" s="1" t="n">
        <v>45736</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12995-2020</t>
        </is>
      </c>
      <c r="B2329" s="1" t="n">
        <v>43900</v>
      </c>
      <c r="C2329" s="1" t="n">
        <v>45736</v>
      </c>
      <c r="D2329" t="inlineStr">
        <is>
          <t>VÄRMLANDS LÄN</t>
        </is>
      </c>
      <c r="E2329" t="inlineStr">
        <is>
          <t>ARVIKA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14246-2020</t>
        </is>
      </c>
      <c r="B2330" s="1" t="n">
        <v>43900</v>
      </c>
      <c r="C2330" s="1" t="n">
        <v>45736</v>
      </c>
      <c r="D2330" t="inlineStr">
        <is>
          <t>VÄRMLANDS LÄN</t>
        </is>
      </c>
      <c r="E2330" t="inlineStr">
        <is>
          <t>TORSBY</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12901-2020</t>
        </is>
      </c>
      <c r="B2331" s="1" t="n">
        <v>43900</v>
      </c>
      <c r="C2331" s="1" t="n">
        <v>45736</v>
      </c>
      <c r="D2331" t="inlineStr">
        <is>
          <t>VÄRMLANDS LÄN</t>
        </is>
      </c>
      <c r="E2331" t="inlineStr">
        <is>
          <t>SUNNE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13060-2020</t>
        </is>
      </c>
      <c r="B2332" s="1" t="n">
        <v>43900</v>
      </c>
      <c r="C2332" s="1" t="n">
        <v>45736</v>
      </c>
      <c r="D2332" t="inlineStr">
        <is>
          <t>VÄRMLANDS LÄN</t>
        </is>
      </c>
      <c r="E2332" t="inlineStr">
        <is>
          <t>ARVIKA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13007-2020</t>
        </is>
      </c>
      <c r="B2333" s="1" t="n">
        <v>43900</v>
      </c>
      <c r="C2333" s="1" t="n">
        <v>45736</v>
      </c>
      <c r="D2333" t="inlineStr">
        <is>
          <t>VÄRMLANDS LÄN</t>
        </is>
      </c>
      <c r="E2333" t="inlineStr">
        <is>
          <t>SUNNE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13091-2020</t>
        </is>
      </c>
      <c r="B2334" s="1" t="n">
        <v>43901</v>
      </c>
      <c r="C2334" s="1" t="n">
        <v>45736</v>
      </c>
      <c r="D2334" t="inlineStr">
        <is>
          <t>VÄRMLANDS LÄN</t>
        </is>
      </c>
      <c r="E2334" t="inlineStr">
        <is>
          <t>ÅRJÄNG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13275-2020</t>
        </is>
      </c>
      <c r="B2335" s="1" t="n">
        <v>43901</v>
      </c>
      <c r="C2335" s="1" t="n">
        <v>45736</v>
      </c>
      <c r="D2335" t="inlineStr">
        <is>
          <t>VÄRMLANDS LÄN</t>
        </is>
      </c>
      <c r="E2335" t="inlineStr">
        <is>
          <t>KRISTINEHAMN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13153-2020</t>
        </is>
      </c>
      <c r="B2336" s="1" t="n">
        <v>43901</v>
      </c>
      <c r="C2336" s="1" t="n">
        <v>45736</v>
      </c>
      <c r="D2336" t="inlineStr">
        <is>
          <t>VÄRMLANDS LÄN</t>
        </is>
      </c>
      <c r="E2336" t="inlineStr">
        <is>
          <t>TORSBY</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13122-2020</t>
        </is>
      </c>
      <c r="B2337" s="1" t="n">
        <v>43901</v>
      </c>
      <c r="C2337" s="1" t="n">
        <v>45736</v>
      </c>
      <c r="D2337" t="inlineStr">
        <is>
          <t>VÄRMLANDS LÄN</t>
        </is>
      </c>
      <c r="E2337" t="inlineStr">
        <is>
          <t>EDA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13250-2020</t>
        </is>
      </c>
      <c r="B2338" s="1" t="n">
        <v>43901</v>
      </c>
      <c r="C2338" s="1" t="n">
        <v>45736</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13206-2020</t>
        </is>
      </c>
      <c r="B2339" s="1" t="n">
        <v>43901</v>
      </c>
      <c r="C2339" s="1" t="n">
        <v>45736</v>
      </c>
      <c r="D2339" t="inlineStr">
        <is>
          <t>VÄRMLANDS LÄN</t>
        </is>
      </c>
      <c r="E2339" t="inlineStr">
        <is>
          <t>SÄFFLE</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13211-2020</t>
        </is>
      </c>
      <c r="B2340" s="1" t="n">
        <v>43901</v>
      </c>
      <c r="C2340" s="1" t="n">
        <v>45736</v>
      </c>
      <c r="D2340" t="inlineStr">
        <is>
          <t>VÄRMLANDS LÄN</t>
        </is>
      </c>
      <c r="E2340" t="inlineStr">
        <is>
          <t>SÄFFLE</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13622-2020</t>
        </is>
      </c>
      <c r="B2341" s="1" t="n">
        <v>43901</v>
      </c>
      <c r="C2341" s="1" t="n">
        <v>45736</v>
      </c>
      <c r="D2341" t="inlineStr">
        <is>
          <t>VÄRMLANDS LÄN</t>
        </is>
      </c>
      <c r="E2341" t="inlineStr">
        <is>
          <t>SÄFFLE</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13094-2020</t>
        </is>
      </c>
      <c r="B2342" s="1" t="n">
        <v>43901</v>
      </c>
      <c r="C2342" s="1" t="n">
        <v>45736</v>
      </c>
      <c r="D2342" t="inlineStr">
        <is>
          <t>VÄRMLANDS LÄN</t>
        </is>
      </c>
      <c r="E2342" t="inlineStr">
        <is>
          <t>ÅRJÄNG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13318-2020</t>
        </is>
      </c>
      <c r="B2343" s="1" t="n">
        <v>43902</v>
      </c>
      <c r="C2343" s="1" t="n">
        <v>45736</v>
      </c>
      <c r="D2343" t="inlineStr">
        <is>
          <t>VÄRMLANDS LÄN</t>
        </is>
      </c>
      <c r="E2343" t="inlineStr">
        <is>
          <t>KARLSTAD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13357-2020</t>
        </is>
      </c>
      <c r="B2344" s="1" t="n">
        <v>43902</v>
      </c>
      <c r="C2344" s="1" t="n">
        <v>45736</v>
      </c>
      <c r="D2344" t="inlineStr">
        <is>
          <t>VÄRMLANDS LÄN</t>
        </is>
      </c>
      <c r="E2344" t="inlineStr">
        <is>
          <t>GRUMS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13369-2020</t>
        </is>
      </c>
      <c r="B2345" s="1" t="n">
        <v>43902</v>
      </c>
      <c r="C2345" s="1" t="n">
        <v>45736</v>
      </c>
      <c r="D2345" t="inlineStr">
        <is>
          <t>VÄRMLANDS LÄN</t>
        </is>
      </c>
      <c r="E2345" t="inlineStr">
        <is>
          <t>HAGFORS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13417-2020</t>
        </is>
      </c>
      <c r="B2346" s="1" t="n">
        <v>43902</v>
      </c>
      <c r="C2346" s="1" t="n">
        <v>45736</v>
      </c>
      <c r="D2346" t="inlineStr">
        <is>
          <t>VÄRMLANDS LÄN</t>
        </is>
      </c>
      <c r="E2346" t="inlineStr">
        <is>
          <t>EDA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13359-2020</t>
        </is>
      </c>
      <c r="B2347" s="1" t="n">
        <v>43902</v>
      </c>
      <c r="C2347" s="1" t="n">
        <v>45736</v>
      </c>
      <c r="D2347" t="inlineStr">
        <is>
          <t>VÄRMLANDS LÄN</t>
        </is>
      </c>
      <c r="E2347" t="inlineStr">
        <is>
          <t>GRUMS</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13549-2020</t>
        </is>
      </c>
      <c r="B2348" s="1" t="n">
        <v>43902</v>
      </c>
      <c r="C2348" s="1" t="n">
        <v>45736</v>
      </c>
      <c r="D2348" t="inlineStr">
        <is>
          <t>VÄRMLANDS LÄN</t>
        </is>
      </c>
      <c r="E2348" t="inlineStr">
        <is>
          <t>ÅRJÄNG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13459-2020</t>
        </is>
      </c>
      <c r="B2349" s="1" t="n">
        <v>43902</v>
      </c>
      <c r="C2349" s="1" t="n">
        <v>45736</v>
      </c>
      <c r="D2349" t="inlineStr">
        <is>
          <t>VÄRMLANDS LÄN</t>
        </is>
      </c>
      <c r="E2349" t="inlineStr">
        <is>
          <t>ARVIKA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13508-2020</t>
        </is>
      </c>
      <c r="B2350" s="1" t="n">
        <v>43902</v>
      </c>
      <c r="C2350" s="1" t="n">
        <v>45736</v>
      </c>
      <c r="D2350" t="inlineStr">
        <is>
          <t>VÄRMLANDS LÄN</t>
        </is>
      </c>
      <c r="E2350" t="inlineStr">
        <is>
          <t>KRISTINEHAMN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13543-2020</t>
        </is>
      </c>
      <c r="B2351" s="1" t="n">
        <v>43902</v>
      </c>
      <c r="C2351" s="1" t="n">
        <v>45736</v>
      </c>
      <c r="D2351" t="inlineStr">
        <is>
          <t>VÄRMLANDS LÄN</t>
        </is>
      </c>
      <c r="E2351" t="inlineStr">
        <is>
          <t>SUNNE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14608-2020</t>
        </is>
      </c>
      <c r="B2352" s="1" t="n">
        <v>43902</v>
      </c>
      <c r="C2352" s="1" t="n">
        <v>45736</v>
      </c>
      <c r="D2352" t="inlineStr">
        <is>
          <t>VÄRMLANDS LÄN</t>
        </is>
      </c>
      <c r="E2352" t="inlineStr">
        <is>
          <t>ÅRJÄNG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14759-2020</t>
        </is>
      </c>
      <c r="B2353" s="1" t="n">
        <v>43902</v>
      </c>
      <c r="C2353" s="1" t="n">
        <v>45736</v>
      </c>
      <c r="D2353" t="inlineStr">
        <is>
          <t>VÄRMLANDS LÄN</t>
        </is>
      </c>
      <c r="E2353" t="inlineStr">
        <is>
          <t>SÄFFLE</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14709-2020</t>
        </is>
      </c>
      <c r="B2354" s="1" t="n">
        <v>43902</v>
      </c>
      <c r="C2354" s="1" t="n">
        <v>45736</v>
      </c>
      <c r="D2354" t="inlineStr">
        <is>
          <t>VÄRMLANDS LÄN</t>
        </is>
      </c>
      <c r="E2354" t="inlineStr">
        <is>
          <t>SUNNE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14605-2020</t>
        </is>
      </c>
      <c r="B2355" s="1" t="n">
        <v>43902</v>
      </c>
      <c r="C2355" s="1" t="n">
        <v>45736</v>
      </c>
      <c r="D2355" t="inlineStr">
        <is>
          <t>VÄRMLANDS LÄN</t>
        </is>
      </c>
      <c r="E2355" t="inlineStr">
        <is>
          <t>ÅRJÄNG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14399-2020</t>
        </is>
      </c>
      <c r="B2356" s="1" t="n">
        <v>43902</v>
      </c>
      <c r="C2356" s="1" t="n">
        <v>45736</v>
      </c>
      <c r="D2356" t="inlineStr">
        <is>
          <t>VÄRMLANDS LÄN</t>
        </is>
      </c>
      <c r="E2356" t="inlineStr">
        <is>
          <t>SÄFFLE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14619-2020</t>
        </is>
      </c>
      <c r="B2357" s="1" t="n">
        <v>43902</v>
      </c>
      <c r="C2357" s="1" t="n">
        <v>45736</v>
      </c>
      <c r="D2357" t="inlineStr">
        <is>
          <t>VÄRMLANDS LÄN</t>
        </is>
      </c>
      <c r="E2357" t="inlineStr">
        <is>
          <t>EDA</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13623-2020</t>
        </is>
      </c>
      <c r="B2358" s="1" t="n">
        <v>43903</v>
      </c>
      <c r="C2358" s="1" t="n">
        <v>45736</v>
      </c>
      <c r="D2358" t="inlineStr">
        <is>
          <t>VÄRMLANDS LÄN</t>
        </is>
      </c>
      <c r="E2358" t="inlineStr">
        <is>
          <t>ARVIKA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13694-2020</t>
        </is>
      </c>
      <c r="B2359" s="1" t="n">
        <v>43903</v>
      </c>
      <c r="C2359" s="1" t="n">
        <v>45736</v>
      </c>
      <c r="D2359" t="inlineStr">
        <is>
          <t>VÄRMLANDS LÄN</t>
        </is>
      </c>
      <c r="E2359" t="inlineStr">
        <is>
          <t>SUNNE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14695-2020</t>
        </is>
      </c>
      <c r="B2360" s="1" t="n">
        <v>43903</v>
      </c>
      <c r="C2360" s="1" t="n">
        <v>45736</v>
      </c>
      <c r="D2360" t="inlineStr">
        <is>
          <t>VÄRMLANDS LÄN</t>
        </is>
      </c>
      <c r="E2360" t="inlineStr">
        <is>
          <t>TORSBY</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14693-2020</t>
        </is>
      </c>
      <c r="B2361" s="1" t="n">
        <v>43903</v>
      </c>
      <c r="C2361" s="1" t="n">
        <v>45736</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13615-2020</t>
        </is>
      </c>
      <c r="B2362" s="1" t="n">
        <v>43903</v>
      </c>
      <c r="C2362" s="1" t="n">
        <v>45736</v>
      </c>
      <c r="D2362" t="inlineStr">
        <is>
          <t>VÄRMLANDS LÄN</t>
        </is>
      </c>
      <c r="E2362" t="inlineStr">
        <is>
          <t>ARVIKA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13630-2020</t>
        </is>
      </c>
      <c r="B2363" s="1" t="n">
        <v>43903</v>
      </c>
      <c r="C2363" s="1" t="n">
        <v>45736</v>
      </c>
      <c r="D2363" t="inlineStr">
        <is>
          <t>VÄRMLANDS LÄN</t>
        </is>
      </c>
      <c r="E2363" t="inlineStr">
        <is>
          <t>ÅRJÄNG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13740-2020</t>
        </is>
      </c>
      <c r="B2364" s="1" t="n">
        <v>43903</v>
      </c>
      <c r="C2364" s="1" t="n">
        <v>45736</v>
      </c>
      <c r="D2364" t="inlineStr">
        <is>
          <t>VÄRMLANDS LÄN</t>
        </is>
      </c>
      <c r="E2364" t="inlineStr">
        <is>
          <t>FILIPSTAD</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13819-2020</t>
        </is>
      </c>
      <c r="B2365" s="1" t="n">
        <v>43905</v>
      </c>
      <c r="C2365" s="1" t="n">
        <v>45736</v>
      </c>
      <c r="D2365" t="inlineStr">
        <is>
          <t>VÄRMLANDS LÄN</t>
        </is>
      </c>
      <c r="E2365" t="inlineStr">
        <is>
          <t>KARLSTAD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13828-2020</t>
        </is>
      </c>
      <c r="B2366" s="1" t="n">
        <v>43905</v>
      </c>
      <c r="C2366" s="1" t="n">
        <v>45736</v>
      </c>
      <c r="D2366" t="inlineStr">
        <is>
          <t>VÄRMLANDS LÄN</t>
        </is>
      </c>
      <c r="E2366" t="inlineStr">
        <is>
          <t>ARVIKA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14879-2020</t>
        </is>
      </c>
      <c r="B2367" s="1" t="n">
        <v>43905</v>
      </c>
      <c r="C2367" s="1" t="n">
        <v>45736</v>
      </c>
      <c r="D2367" t="inlineStr">
        <is>
          <t>VÄRMLANDS LÄN</t>
        </is>
      </c>
      <c r="E2367" t="inlineStr">
        <is>
          <t>SÄFFLE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13818-2020</t>
        </is>
      </c>
      <c r="B2368" s="1" t="n">
        <v>43905</v>
      </c>
      <c r="C2368" s="1" t="n">
        <v>45736</v>
      </c>
      <c r="D2368" t="inlineStr">
        <is>
          <t>VÄRMLANDS LÄN</t>
        </is>
      </c>
      <c r="E2368" t="inlineStr">
        <is>
          <t>KARLSTAD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13824-2020</t>
        </is>
      </c>
      <c r="B2369" s="1" t="n">
        <v>43905</v>
      </c>
      <c r="C2369" s="1" t="n">
        <v>45736</v>
      </c>
      <c r="D2369" t="inlineStr">
        <is>
          <t>VÄRMLANDS LÄN</t>
        </is>
      </c>
      <c r="E2369" t="inlineStr">
        <is>
          <t>KRISTINEHAMN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13904-2020</t>
        </is>
      </c>
      <c r="B2370" s="1" t="n">
        <v>43906</v>
      </c>
      <c r="C2370" s="1" t="n">
        <v>45736</v>
      </c>
      <c r="D2370" t="inlineStr">
        <is>
          <t>VÄRMLANDS LÄN</t>
        </is>
      </c>
      <c r="E2370" t="inlineStr">
        <is>
          <t>SUNNE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13962-2020</t>
        </is>
      </c>
      <c r="B2371" s="1" t="n">
        <v>43906</v>
      </c>
      <c r="C2371" s="1" t="n">
        <v>45736</v>
      </c>
      <c r="D2371" t="inlineStr">
        <is>
          <t>VÄRMLANDS LÄN</t>
        </is>
      </c>
      <c r="E2371" t="inlineStr">
        <is>
          <t>KRISTINEHAMN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13973-2020</t>
        </is>
      </c>
      <c r="B2372" s="1" t="n">
        <v>43906</v>
      </c>
      <c r="C2372" s="1" t="n">
        <v>45736</v>
      </c>
      <c r="D2372" t="inlineStr">
        <is>
          <t>VÄRMLANDS LÄN</t>
        </is>
      </c>
      <c r="E2372" t="inlineStr">
        <is>
          <t>KRISTINEHAMN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13926-2020</t>
        </is>
      </c>
      <c r="B2373" s="1" t="n">
        <v>43906</v>
      </c>
      <c r="C2373" s="1" t="n">
        <v>45736</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13833-2020</t>
        </is>
      </c>
      <c r="B2374" s="1" t="n">
        <v>43906</v>
      </c>
      <c r="C2374" s="1" t="n">
        <v>45736</v>
      </c>
      <c r="D2374" t="inlineStr">
        <is>
          <t>VÄRMLANDS LÄN</t>
        </is>
      </c>
      <c r="E2374" t="inlineStr">
        <is>
          <t>EDA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13903-2020</t>
        </is>
      </c>
      <c r="B2375" s="1" t="n">
        <v>43906</v>
      </c>
      <c r="C2375" s="1" t="n">
        <v>45736</v>
      </c>
      <c r="D2375" t="inlineStr">
        <is>
          <t>VÄRMLANDS LÄN</t>
        </is>
      </c>
      <c r="E2375" t="inlineStr">
        <is>
          <t>SUNNE</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13929-2020</t>
        </is>
      </c>
      <c r="B2376" s="1" t="n">
        <v>43906</v>
      </c>
      <c r="C2376" s="1" t="n">
        <v>45736</v>
      </c>
      <c r="D2376" t="inlineStr">
        <is>
          <t>VÄRMLANDS LÄN</t>
        </is>
      </c>
      <c r="E2376" t="inlineStr">
        <is>
          <t>ÅRJÄNG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13853-2020</t>
        </is>
      </c>
      <c r="B2377" s="1" t="n">
        <v>43906</v>
      </c>
      <c r="C2377" s="1" t="n">
        <v>45736</v>
      </c>
      <c r="D2377" t="inlineStr">
        <is>
          <t>VÄRMLANDS LÄN</t>
        </is>
      </c>
      <c r="E2377" t="inlineStr">
        <is>
          <t>EDA</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14057-2020</t>
        </is>
      </c>
      <c r="B2378" s="1" t="n">
        <v>43906</v>
      </c>
      <c r="C2378" s="1" t="n">
        <v>45736</v>
      </c>
      <c r="D2378" t="inlineStr">
        <is>
          <t>VÄRMLANDS LÄN</t>
        </is>
      </c>
      <c r="E2378" t="inlineStr">
        <is>
          <t>ÅRJÄNG</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14892-2020</t>
        </is>
      </c>
      <c r="B2379" s="1" t="n">
        <v>43906</v>
      </c>
      <c r="C2379" s="1" t="n">
        <v>45736</v>
      </c>
      <c r="D2379" t="inlineStr">
        <is>
          <t>VÄRMLANDS LÄN</t>
        </is>
      </c>
      <c r="E2379" t="inlineStr">
        <is>
          <t>ÅRJÄNG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14943-2020</t>
        </is>
      </c>
      <c r="B2380" s="1" t="n">
        <v>43906</v>
      </c>
      <c r="C2380" s="1" t="n">
        <v>45736</v>
      </c>
      <c r="D2380" t="inlineStr">
        <is>
          <t>VÄRMLANDS LÄN</t>
        </is>
      </c>
      <c r="E2380" t="inlineStr">
        <is>
          <t>FORSHAGA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14015-2020</t>
        </is>
      </c>
      <c r="B2381" s="1" t="n">
        <v>43906</v>
      </c>
      <c r="C2381" s="1" t="n">
        <v>45736</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15011-2020</t>
        </is>
      </c>
      <c r="B2382" s="1" t="n">
        <v>43906</v>
      </c>
      <c r="C2382" s="1" t="n">
        <v>45736</v>
      </c>
      <c r="D2382" t="inlineStr">
        <is>
          <t>VÄRMLANDS LÄN</t>
        </is>
      </c>
      <c r="E2382" t="inlineStr">
        <is>
          <t>GRUMS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14933-2020</t>
        </is>
      </c>
      <c r="B2383" s="1" t="n">
        <v>43906</v>
      </c>
      <c r="C2383" s="1" t="n">
        <v>45736</v>
      </c>
      <c r="D2383" t="inlineStr">
        <is>
          <t>VÄRMLANDS LÄN</t>
        </is>
      </c>
      <c r="E2383" t="inlineStr">
        <is>
          <t>KARLSTAD</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14059-2020</t>
        </is>
      </c>
      <c r="B2384" s="1" t="n">
        <v>43906</v>
      </c>
      <c r="C2384" s="1" t="n">
        <v>45736</v>
      </c>
      <c r="D2384" t="inlineStr">
        <is>
          <t>VÄRMLANDS LÄN</t>
        </is>
      </c>
      <c r="E2384" t="inlineStr">
        <is>
          <t>ÅRJÄNG</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14058-2020</t>
        </is>
      </c>
      <c r="B2385" s="1" t="n">
        <v>43906</v>
      </c>
      <c r="C2385" s="1" t="n">
        <v>45736</v>
      </c>
      <c r="D2385" t="inlineStr">
        <is>
          <t>VÄRMLANDS LÄN</t>
        </is>
      </c>
      <c r="E2385" t="inlineStr">
        <is>
          <t>ÅRJÄNG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13931-2020</t>
        </is>
      </c>
      <c r="B2386" s="1" t="n">
        <v>43906</v>
      </c>
      <c r="C2386" s="1" t="n">
        <v>45736</v>
      </c>
      <c r="D2386" t="inlineStr">
        <is>
          <t>VÄRMLANDS LÄN</t>
        </is>
      </c>
      <c r="E2386" t="inlineStr">
        <is>
          <t>SÄFFLE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14052-2020</t>
        </is>
      </c>
      <c r="B2387" s="1" t="n">
        <v>43906</v>
      </c>
      <c r="C2387" s="1" t="n">
        <v>45736</v>
      </c>
      <c r="D2387" t="inlineStr">
        <is>
          <t>VÄRMLANDS LÄN</t>
        </is>
      </c>
      <c r="E2387" t="inlineStr">
        <is>
          <t>ARVIKA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14061-2020</t>
        </is>
      </c>
      <c r="B2388" s="1" t="n">
        <v>43906</v>
      </c>
      <c r="C2388" s="1" t="n">
        <v>45736</v>
      </c>
      <c r="D2388" t="inlineStr">
        <is>
          <t>VÄRMLANDS LÄN</t>
        </is>
      </c>
      <c r="E2388" t="inlineStr">
        <is>
          <t>ÅRJÄNG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15586-2020</t>
        </is>
      </c>
      <c r="B2389" s="1" t="n">
        <v>43907</v>
      </c>
      <c r="C2389" s="1" t="n">
        <v>45736</v>
      </c>
      <c r="D2389" t="inlineStr">
        <is>
          <t>VÄRMLANDS LÄN</t>
        </is>
      </c>
      <c r="E2389" t="inlineStr">
        <is>
          <t>SÄFFLE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14973-2020</t>
        </is>
      </c>
      <c r="B2390" s="1" t="n">
        <v>43907</v>
      </c>
      <c r="C2390" s="1" t="n">
        <v>45736</v>
      </c>
      <c r="D2390" t="inlineStr">
        <is>
          <t>VÄRMLANDS LÄN</t>
        </is>
      </c>
      <c r="E2390" t="inlineStr">
        <is>
          <t>EDA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15564-2020</t>
        </is>
      </c>
      <c r="B2391" s="1" t="n">
        <v>43907</v>
      </c>
      <c r="C2391" s="1" t="n">
        <v>45736</v>
      </c>
      <c r="D2391" t="inlineStr">
        <is>
          <t>VÄRMLANDS LÄN</t>
        </is>
      </c>
      <c r="E2391" t="inlineStr">
        <is>
          <t>FORSHAGA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14238-2020</t>
        </is>
      </c>
      <c r="B2392" s="1" t="n">
        <v>43907</v>
      </c>
      <c r="C2392" s="1" t="n">
        <v>45736</v>
      </c>
      <c r="D2392" t="inlineStr">
        <is>
          <t>VÄRMLANDS LÄN</t>
        </is>
      </c>
      <c r="E2392" t="inlineStr">
        <is>
          <t>EDA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14962-2020</t>
        </is>
      </c>
      <c r="B2393" s="1" t="n">
        <v>43907</v>
      </c>
      <c r="C2393" s="1" t="n">
        <v>45736</v>
      </c>
      <c r="D2393" t="inlineStr">
        <is>
          <t>VÄRMLANDS LÄN</t>
        </is>
      </c>
      <c r="E2393" t="inlineStr">
        <is>
          <t>TORSBY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15028-2020</t>
        </is>
      </c>
      <c r="B2394" s="1" t="n">
        <v>43907</v>
      </c>
      <c r="C2394" s="1" t="n">
        <v>45736</v>
      </c>
      <c r="D2394" t="inlineStr">
        <is>
          <t>VÄRMLANDS LÄN</t>
        </is>
      </c>
      <c r="E2394" t="inlineStr">
        <is>
          <t>GRUMS</t>
        </is>
      </c>
      <c r="F2394" t="inlineStr">
        <is>
          <t>Bergvik skog väst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15583-2020</t>
        </is>
      </c>
      <c r="B2395" s="1" t="n">
        <v>43907</v>
      </c>
      <c r="C2395" s="1" t="n">
        <v>45736</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16322-2020</t>
        </is>
      </c>
      <c r="B2396" s="1" t="n">
        <v>43907</v>
      </c>
      <c r="C2396" s="1" t="n">
        <v>45736</v>
      </c>
      <c r="D2396" t="inlineStr">
        <is>
          <t>VÄRMLANDS LÄN</t>
        </is>
      </c>
      <c r="E2396" t="inlineStr">
        <is>
          <t>FILIPSTAD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16305-2020</t>
        </is>
      </c>
      <c r="B2397" s="1" t="n">
        <v>43907</v>
      </c>
      <c r="C2397" s="1" t="n">
        <v>45736</v>
      </c>
      <c r="D2397" t="inlineStr">
        <is>
          <t>VÄRMLANDS LÄN</t>
        </is>
      </c>
      <c r="E2397" t="inlineStr">
        <is>
          <t>FILIPSTAD</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14128-2020</t>
        </is>
      </c>
      <c r="B2398" s="1" t="n">
        <v>43907</v>
      </c>
      <c r="C2398" s="1" t="n">
        <v>45736</v>
      </c>
      <c r="D2398" t="inlineStr">
        <is>
          <t>VÄRMLANDS LÄN</t>
        </is>
      </c>
      <c r="E2398" t="inlineStr">
        <is>
          <t>ÅRJÄNG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14222-2020</t>
        </is>
      </c>
      <c r="B2399" s="1" t="n">
        <v>43907</v>
      </c>
      <c r="C2399" s="1" t="n">
        <v>45736</v>
      </c>
      <c r="D2399" t="inlineStr">
        <is>
          <t>VÄRMLANDS LÄN</t>
        </is>
      </c>
      <c r="E2399" t="inlineStr">
        <is>
          <t>EDA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14270-2020</t>
        </is>
      </c>
      <c r="B2400" s="1" t="n">
        <v>43907</v>
      </c>
      <c r="C2400" s="1" t="n">
        <v>45736</v>
      </c>
      <c r="D2400" t="inlineStr">
        <is>
          <t>VÄRMLANDS LÄN</t>
        </is>
      </c>
      <c r="E2400" t="inlineStr">
        <is>
          <t>FORSHAGA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15536-2020</t>
        </is>
      </c>
      <c r="B2401" s="1" t="n">
        <v>43907</v>
      </c>
      <c r="C2401" s="1" t="n">
        <v>45736</v>
      </c>
      <c r="D2401" t="inlineStr">
        <is>
          <t>VÄRMLANDS LÄN</t>
        </is>
      </c>
      <c r="E2401" t="inlineStr">
        <is>
          <t>FORSHAGA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15013-2020</t>
        </is>
      </c>
      <c r="B2402" s="1" t="n">
        <v>43907</v>
      </c>
      <c r="C2402" s="1" t="n">
        <v>45736</v>
      </c>
      <c r="D2402" t="inlineStr">
        <is>
          <t>VÄRMLANDS LÄN</t>
        </is>
      </c>
      <c r="E2402" t="inlineStr">
        <is>
          <t>KRISTINEHAMN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14968-2020</t>
        </is>
      </c>
      <c r="B2403" s="1" t="n">
        <v>43907</v>
      </c>
      <c r="C2403" s="1" t="n">
        <v>45736</v>
      </c>
      <c r="D2403" t="inlineStr">
        <is>
          <t>VÄRMLANDS LÄN</t>
        </is>
      </c>
      <c r="E2403" t="inlineStr">
        <is>
          <t>TORSBY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14132-2020</t>
        </is>
      </c>
      <c r="B2404" s="1" t="n">
        <v>43907</v>
      </c>
      <c r="C2404" s="1" t="n">
        <v>45736</v>
      </c>
      <c r="D2404" t="inlineStr">
        <is>
          <t>VÄRMLANDS LÄN</t>
        </is>
      </c>
      <c r="E2404" t="inlineStr">
        <is>
          <t>ÅRJÄNG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14341-2020</t>
        </is>
      </c>
      <c r="B2405" s="1" t="n">
        <v>43908</v>
      </c>
      <c r="C2405" s="1" t="n">
        <v>45736</v>
      </c>
      <c r="D2405" t="inlineStr">
        <is>
          <t>VÄRMLANDS LÄN</t>
        </is>
      </c>
      <c r="E2405" t="inlineStr">
        <is>
          <t>EDA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14445-2020</t>
        </is>
      </c>
      <c r="B2406" s="1" t="n">
        <v>43908</v>
      </c>
      <c r="C2406" s="1" t="n">
        <v>45736</v>
      </c>
      <c r="D2406" t="inlineStr">
        <is>
          <t>VÄRMLANDS LÄN</t>
        </is>
      </c>
      <c r="E2406" t="inlineStr">
        <is>
          <t>ARVIKA</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14455-2020</t>
        </is>
      </c>
      <c r="B2407" s="1" t="n">
        <v>43908</v>
      </c>
      <c r="C2407" s="1" t="n">
        <v>45736</v>
      </c>
      <c r="D2407" t="inlineStr">
        <is>
          <t>VÄRMLANDS LÄN</t>
        </is>
      </c>
      <c r="E2407" t="inlineStr">
        <is>
          <t>SUNNE</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14353-2020</t>
        </is>
      </c>
      <c r="B2408" s="1" t="n">
        <v>43908</v>
      </c>
      <c r="C2408" s="1" t="n">
        <v>45736</v>
      </c>
      <c r="D2408" t="inlineStr">
        <is>
          <t>VÄRMLANDS LÄN</t>
        </is>
      </c>
      <c r="E2408" t="inlineStr">
        <is>
          <t>ARVIKA</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14501-2020</t>
        </is>
      </c>
      <c r="B2409" s="1" t="n">
        <v>43908</v>
      </c>
      <c r="C2409" s="1" t="n">
        <v>45736</v>
      </c>
      <c r="D2409" t="inlineStr">
        <is>
          <t>VÄRMLANDS LÄN</t>
        </is>
      </c>
      <c r="E2409" t="inlineStr">
        <is>
          <t>FILIPSTAD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16344-2020</t>
        </is>
      </c>
      <c r="B2410" s="1" t="n">
        <v>43908</v>
      </c>
      <c r="C2410" s="1" t="n">
        <v>45736</v>
      </c>
      <c r="D2410" t="inlineStr">
        <is>
          <t>VÄRMLANDS LÄN</t>
        </is>
      </c>
      <c r="E2410" t="inlineStr">
        <is>
          <t>GRUMS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14702-2020</t>
        </is>
      </c>
      <c r="B2411" s="1" t="n">
        <v>43909</v>
      </c>
      <c r="C2411" s="1" t="n">
        <v>45736</v>
      </c>
      <c r="D2411" t="inlineStr">
        <is>
          <t>VÄRMLANDS LÄN</t>
        </is>
      </c>
      <c r="E2411" t="inlineStr">
        <is>
          <t>TORSBY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14798-2020</t>
        </is>
      </c>
      <c r="B2412" s="1" t="n">
        <v>43909</v>
      </c>
      <c r="C2412" s="1" t="n">
        <v>45736</v>
      </c>
      <c r="D2412" t="inlineStr">
        <is>
          <t>VÄRMLANDS LÄN</t>
        </is>
      </c>
      <c r="E2412" t="inlineStr">
        <is>
          <t>FORSHAGA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14593-2020</t>
        </is>
      </c>
      <c r="B2413" s="1" t="n">
        <v>43909</v>
      </c>
      <c r="C2413" s="1" t="n">
        <v>45736</v>
      </c>
      <c r="D2413" t="inlineStr">
        <is>
          <t>VÄRMLANDS LÄN</t>
        </is>
      </c>
      <c r="E2413" t="inlineStr">
        <is>
          <t>KARLSTAD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14661-2020</t>
        </is>
      </c>
      <c r="B2414" s="1" t="n">
        <v>43909</v>
      </c>
      <c r="C2414" s="1" t="n">
        <v>45736</v>
      </c>
      <c r="D2414" t="inlineStr">
        <is>
          <t>VÄRMLANDS LÄN</t>
        </is>
      </c>
      <c r="E2414" t="inlineStr">
        <is>
          <t>ARVIKA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14694-2020</t>
        </is>
      </c>
      <c r="B2415" s="1" t="n">
        <v>43909</v>
      </c>
      <c r="C2415" s="1" t="n">
        <v>45736</v>
      </c>
      <c r="D2415" t="inlineStr">
        <is>
          <t>VÄRMLANDS LÄN</t>
        </is>
      </c>
      <c r="E2415" t="inlineStr">
        <is>
          <t>TORSBY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14851-2020</t>
        </is>
      </c>
      <c r="B2416" s="1" t="n">
        <v>43909</v>
      </c>
      <c r="C2416" s="1" t="n">
        <v>45736</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16457-2020</t>
        </is>
      </c>
      <c r="B2417" s="1" t="n">
        <v>43909</v>
      </c>
      <c r="C2417" s="1" t="n">
        <v>45736</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16455-2020</t>
        </is>
      </c>
      <c r="B2418" s="1" t="n">
        <v>43909</v>
      </c>
      <c r="C2418" s="1" t="n">
        <v>45736</v>
      </c>
      <c r="D2418" t="inlineStr">
        <is>
          <t>VÄRMLANDS LÄN</t>
        </is>
      </c>
      <c r="E2418" t="inlineStr">
        <is>
          <t>KIL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16576-2020</t>
        </is>
      </c>
      <c r="B2419" s="1" t="n">
        <v>43909</v>
      </c>
      <c r="C2419" s="1" t="n">
        <v>45736</v>
      </c>
      <c r="D2419" t="inlineStr">
        <is>
          <t>VÄRMLANDS LÄN</t>
        </is>
      </c>
      <c r="E2419" t="inlineStr">
        <is>
          <t>KARLSTAD</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16512-2020</t>
        </is>
      </c>
      <c r="B2420" s="1" t="n">
        <v>43909</v>
      </c>
      <c r="C2420" s="1" t="n">
        <v>45736</v>
      </c>
      <c r="D2420" t="inlineStr">
        <is>
          <t>VÄRMLANDS LÄN</t>
        </is>
      </c>
      <c r="E2420" t="inlineStr">
        <is>
          <t>SUNNE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14606-2020</t>
        </is>
      </c>
      <c r="B2421" s="1" t="n">
        <v>43909</v>
      </c>
      <c r="C2421" s="1" t="n">
        <v>45736</v>
      </c>
      <c r="D2421" t="inlineStr">
        <is>
          <t>VÄRMLANDS LÄN</t>
        </is>
      </c>
      <c r="E2421" t="inlineStr">
        <is>
          <t>ARVIKA</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16557-2020</t>
        </is>
      </c>
      <c r="B2422" s="1" t="n">
        <v>43909</v>
      </c>
      <c r="C2422" s="1" t="n">
        <v>45736</v>
      </c>
      <c r="D2422" t="inlineStr">
        <is>
          <t>VÄRMLANDS LÄN</t>
        </is>
      </c>
      <c r="E2422" t="inlineStr">
        <is>
          <t>KRISTINEHAMN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16560-2020</t>
        </is>
      </c>
      <c r="B2423" s="1" t="n">
        <v>43909</v>
      </c>
      <c r="C2423" s="1" t="n">
        <v>45736</v>
      </c>
      <c r="D2423" t="inlineStr">
        <is>
          <t>VÄRMLANDS LÄN</t>
        </is>
      </c>
      <c r="E2423" t="inlineStr">
        <is>
          <t>KRISTINEHAMN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16503-2020</t>
        </is>
      </c>
      <c r="B2424" s="1" t="n">
        <v>43909</v>
      </c>
      <c r="C2424" s="1" t="n">
        <v>45736</v>
      </c>
      <c r="D2424" t="inlineStr">
        <is>
          <t>VÄRMLANDS LÄN</t>
        </is>
      </c>
      <c r="E2424" t="inlineStr">
        <is>
          <t>KIL</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14916-2020</t>
        </is>
      </c>
      <c r="B2425" s="1" t="n">
        <v>43910</v>
      </c>
      <c r="C2425" s="1" t="n">
        <v>45736</v>
      </c>
      <c r="D2425" t="inlineStr">
        <is>
          <t>VÄRMLANDS LÄN</t>
        </is>
      </c>
      <c r="E2425" t="inlineStr">
        <is>
          <t>KIL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15019-2020</t>
        </is>
      </c>
      <c r="B2426" s="1" t="n">
        <v>43910</v>
      </c>
      <c r="C2426" s="1" t="n">
        <v>45736</v>
      </c>
      <c r="D2426" t="inlineStr">
        <is>
          <t>VÄRMLANDS LÄN</t>
        </is>
      </c>
      <c r="E2426" t="inlineStr">
        <is>
          <t>SUNNE</t>
        </is>
      </c>
      <c r="F2426" t="inlineStr">
        <is>
          <t>Bergvik skog väst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14928-2020</t>
        </is>
      </c>
      <c r="B2427" s="1" t="n">
        <v>43910</v>
      </c>
      <c r="C2427" s="1" t="n">
        <v>45736</v>
      </c>
      <c r="D2427" t="inlineStr">
        <is>
          <t>VÄRMLANDS LÄN</t>
        </is>
      </c>
      <c r="E2427" t="inlineStr">
        <is>
          <t>ÅRJÄNG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14948-2020</t>
        </is>
      </c>
      <c r="B2428" s="1" t="n">
        <v>43910</v>
      </c>
      <c r="C2428" s="1" t="n">
        <v>45736</v>
      </c>
      <c r="D2428" t="inlineStr">
        <is>
          <t>VÄRMLANDS LÄN</t>
        </is>
      </c>
      <c r="E2428" t="inlineStr">
        <is>
          <t>KARLSTAD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14961-2020</t>
        </is>
      </c>
      <c r="B2429" s="1" t="n">
        <v>43910</v>
      </c>
      <c r="C2429" s="1" t="n">
        <v>45736</v>
      </c>
      <c r="D2429" t="inlineStr">
        <is>
          <t>VÄRMLANDS LÄN</t>
        </is>
      </c>
      <c r="E2429" t="inlineStr">
        <is>
          <t>KARLSTAD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15022-2020</t>
        </is>
      </c>
      <c r="B2430" s="1" t="n">
        <v>43910</v>
      </c>
      <c r="C2430" s="1" t="n">
        <v>45736</v>
      </c>
      <c r="D2430" t="inlineStr">
        <is>
          <t>VÄRMLANDS LÄN</t>
        </is>
      </c>
      <c r="E2430" t="inlineStr">
        <is>
          <t>ARVIKA</t>
        </is>
      </c>
      <c r="G2430" t="n">
        <v>29.3</v>
      </c>
      <c r="H2430" t="n">
        <v>0</v>
      </c>
      <c r="I2430" t="n">
        <v>0</v>
      </c>
      <c r="J2430" t="n">
        <v>0</v>
      </c>
      <c r="K2430" t="n">
        <v>0</v>
      </c>
      <c r="L2430" t="n">
        <v>0</v>
      </c>
      <c r="M2430" t="n">
        <v>0</v>
      </c>
      <c r="N2430" t="n">
        <v>0</v>
      </c>
      <c r="O2430" t="n">
        <v>0</v>
      </c>
      <c r="P2430" t="n">
        <v>0</v>
      </c>
      <c r="Q2430" t="n">
        <v>0</v>
      </c>
      <c r="R2430" s="2" t="inlineStr"/>
    </row>
    <row r="2431" ht="15" customHeight="1">
      <c r="A2431" t="inlineStr">
        <is>
          <t>A 14965-2020</t>
        </is>
      </c>
      <c r="B2431" s="1" t="n">
        <v>43910</v>
      </c>
      <c r="C2431" s="1" t="n">
        <v>45736</v>
      </c>
      <c r="D2431" t="inlineStr">
        <is>
          <t>VÄRMLANDS LÄN</t>
        </is>
      </c>
      <c r="E2431" t="inlineStr">
        <is>
          <t>KARLSTAD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15064-2020</t>
        </is>
      </c>
      <c r="B2432" s="1" t="n">
        <v>43910</v>
      </c>
      <c r="C2432" s="1" t="n">
        <v>45736</v>
      </c>
      <c r="D2432" t="inlineStr">
        <is>
          <t>VÄRMLANDS LÄN</t>
        </is>
      </c>
      <c r="E2432" t="inlineStr">
        <is>
          <t>HAGFORS</t>
        </is>
      </c>
      <c r="F2432" t="inlineStr">
        <is>
          <t>Bergvik skog väst AB</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14955-2020</t>
        </is>
      </c>
      <c r="B2433" s="1" t="n">
        <v>43910</v>
      </c>
      <c r="C2433" s="1" t="n">
        <v>45736</v>
      </c>
      <c r="D2433" t="inlineStr">
        <is>
          <t>VÄRMLANDS LÄN</t>
        </is>
      </c>
      <c r="E2433" t="inlineStr">
        <is>
          <t>SÄFFLE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14964-2020</t>
        </is>
      </c>
      <c r="B2434" s="1" t="n">
        <v>43910</v>
      </c>
      <c r="C2434" s="1" t="n">
        <v>45736</v>
      </c>
      <c r="D2434" t="inlineStr">
        <is>
          <t>VÄRMLANDS LÄN</t>
        </is>
      </c>
      <c r="E2434" t="inlineStr">
        <is>
          <t>KARLSTAD</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15044-2020</t>
        </is>
      </c>
      <c r="B2435" s="1" t="n">
        <v>43910</v>
      </c>
      <c r="C2435" s="1" t="n">
        <v>45736</v>
      </c>
      <c r="D2435" t="inlineStr">
        <is>
          <t>VÄRMLANDS LÄN</t>
        </is>
      </c>
      <c r="E2435" t="inlineStr">
        <is>
          <t>ÅRJÄNG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15046-2020</t>
        </is>
      </c>
      <c r="B2436" s="1" t="n">
        <v>43910</v>
      </c>
      <c r="C2436" s="1" t="n">
        <v>45736</v>
      </c>
      <c r="D2436" t="inlineStr">
        <is>
          <t>VÄRMLANDS LÄN</t>
        </is>
      </c>
      <c r="E2436" t="inlineStr">
        <is>
          <t>HAGFORS</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15144-2020</t>
        </is>
      </c>
      <c r="B2437" s="1" t="n">
        <v>43911</v>
      </c>
      <c r="C2437" s="1" t="n">
        <v>45736</v>
      </c>
      <c r="D2437" t="inlineStr">
        <is>
          <t>VÄRMLANDS LÄN</t>
        </is>
      </c>
      <c r="E2437" t="inlineStr">
        <is>
          <t>KIL</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15143-2020</t>
        </is>
      </c>
      <c r="B2438" s="1" t="n">
        <v>43911</v>
      </c>
      <c r="C2438" s="1" t="n">
        <v>45736</v>
      </c>
      <c r="D2438" t="inlineStr">
        <is>
          <t>VÄRMLANDS LÄN</t>
        </is>
      </c>
      <c r="E2438" t="inlineStr">
        <is>
          <t>KIL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15142-2020</t>
        </is>
      </c>
      <c r="B2439" s="1" t="n">
        <v>43911</v>
      </c>
      <c r="C2439" s="1" t="n">
        <v>45736</v>
      </c>
      <c r="D2439" t="inlineStr">
        <is>
          <t>VÄRMLANDS LÄN</t>
        </is>
      </c>
      <c r="E2439" t="inlineStr">
        <is>
          <t>KIL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15146-2020</t>
        </is>
      </c>
      <c r="B2440" s="1" t="n">
        <v>43911</v>
      </c>
      <c r="C2440" s="1" t="n">
        <v>45736</v>
      </c>
      <c r="D2440" t="inlineStr">
        <is>
          <t>VÄRMLANDS LÄN</t>
        </is>
      </c>
      <c r="E2440" t="inlineStr">
        <is>
          <t>KIL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15140-2020</t>
        </is>
      </c>
      <c r="B2441" s="1" t="n">
        <v>43911</v>
      </c>
      <c r="C2441" s="1" t="n">
        <v>45736</v>
      </c>
      <c r="D2441" t="inlineStr">
        <is>
          <t>VÄRMLANDS LÄN</t>
        </is>
      </c>
      <c r="E2441" t="inlineStr">
        <is>
          <t>KIL</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15145-2020</t>
        </is>
      </c>
      <c r="B2442" s="1" t="n">
        <v>43911</v>
      </c>
      <c r="C2442" s="1" t="n">
        <v>45736</v>
      </c>
      <c r="D2442" t="inlineStr">
        <is>
          <t>VÄRMLANDS LÄN</t>
        </is>
      </c>
      <c r="E2442" t="inlineStr">
        <is>
          <t>KIL</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15162-2020</t>
        </is>
      </c>
      <c r="B2443" s="1" t="n">
        <v>43912</v>
      </c>
      <c r="C2443" s="1" t="n">
        <v>45736</v>
      </c>
      <c r="D2443" t="inlineStr">
        <is>
          <t>VÄRMLANDS LÄN</t>
        </is>
      </c>
      <c r="E2443" t="inlineStr">
        <is>
          <t>SUNNE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15161-2020</t>
        </is>
      </c>
      <c r="B2444" s="1" t="n">
        <v>43912</v>
      </c>
      <c r="C2444" s="1" t="n">
        <v>45736</v>
      </c>
      <c r="D2444" t="inlineStr">
        <is>
          <t>VÄRMLANDS LÄN</t>
        </is>
      </c>
      <c r="E2444" t="inlineStr">
        <is>
          <t>TORSBY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15290-2020</t>
        </is>
      </c>
      <c r="B2445" s="1" t="n">
        <v>43913</v>
      </c>
      <c r="C2445" s="1" t="n">
        <v>45736</v>
      </c>
      <c r="D2445" t="inlineStr">
        <is>
          <t>VÄRMLANDS LÄN</t>
        </is>
      </c>
      <c r="E2445" t="inlineStr">
        <is>
          <t>MUNKFORS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15346-2020</t>
        </is>
      </c>
      <c r="B2446" s="1" t="n">
        <v>43913</v>
      </c>
      <c r="C2446" s="1" t="n">
        <v>45736</v>
      </c>
      <c r="D2446" t="inlineStr">
        <is>
          <t>VÄRMLANDS LÄN</t>
        </is>
      </c>
      <c r="E2446" t="inlineStr">
        <is>
          <t>SUNNE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15256-2020</t>
        </is>
      </c>
      <c r="B2447" s="1" t="n">
        <v>43913</v>
      </c>
      <c r="C2447" s="1" t="n">
        <v>45736</v>
      </c>
      <c r="D2447" t="inlineStr">
        <is>
          <t>VÄRMLANDS LÄN</t>
        </is>
      </c>
      <c r="E2447" t="inlineStr">
        <is>
          <t>ARVIKA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15259-2020</t>
        </is>
      </c>
      <c r="B2448" s="1" t="n">
        <v>43913</v>
      </c>
      <c r="C2448" s="1" t="n">
        <v>45736</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15283-2020</t>
        </is>
      </c>
      <c r="B2449" s="1" t="n">
        <v>43913</v>
      </c>
      <c r="C2449" s="1" t="n">
        <v>45736</v>
      </c>
      <c r="D2449" t="inlineStr">
        <is>
          <t>VÄRMLANDS LÄN</t>
        </is>
      </c>
      <c r="E2449" t="inlineStr">
        <is>
          <t>HAGFORS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15339-2020</t>
        </is>
      </c>
      <c r="B2450" s="1" t="n">
        <v>43913</v>
      </c>
      <c r="C2450" s="1" t="n">
        <v>45736</v>
      </c>
      <c r="D2450" t="inlineStr">
        <is>
          <t>VÄRMLANDS LÄN</t>
        </is>
      </c>
      <c r="E2450" t="inlineStr">
        <is>
          <t>ARVIKA</t>
        </is>
      </c>
      <c r="G2450" t="n">
        <v>21.4</v>
      </c>
      <c r="H2450" t="n">
        <v>0</v>
      </c>
      <c r="I2450" t="n">
        <v>0</v>
      </c>
      <c r="J2450" t="n">
        <v>0</v>
      </c>
      <c r="K2450" t="n">
        <v>0</v>
      </c>
      <c r="L2450" t="n">
        <v>0</v>
      </c>
      <c r="M2450" t="n">
        <v>0</v>
      </c>
      <c r="N2450" t="n">
        <v>0</v>
      </c>
      <c r="O2450" t="n">
        <v>0</v>
      </c>
      <c r="P2450" t="n">
        <v>0</v>
      </c>
      <c r="Q2450" t="n">
        <v>0</v>
      </c>
      <c r="R2450" s="2" t="inlineStr"/>
    </row>
    <row r="2451" ht="15" customHeight="1">
      <c r="A2451" t="inlineStr">
        <is>
          <t>A 15278-2020</t>
        </is>
      </c>
      <c r="B2451" s="1" t="n">
        <v>43913</v>
      </c>
      <c r="C2451" s="1" t="n">
        <v>45736</v>
      </c>
      <c r="D2451" t="inlineStr">
        <is>
          <t>VÄRMLANDS LÄN</t>
        </is>
      </c>
      <c r="E2451" t="inlineStr">
        <is>
          <t>STORFORS</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15280-2020</t>
        </is>
      </c>
      <c r="B2452" s="1" t="n">
        <v>43913</v>
      </c>
      <c r="C2452" s="1" t="n">
        <v>45736</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15316-2020</t>
        </is>
      </c>
      <c r="B2453" s="1" t="n">
        <v>43913</v>
      </c>
      <c r="C2453" s="1" t="n">
        <v>45736</v>
      </c>
      <c r="D2453" t="inlineStr">
        <is>
          <t>VÄRMLANDS LÄN</t>
        </is>
      </c>
      <c r="E2453" t="inlineStr">
        <is>
          <t>KIL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15385-2020</t>
        </is>
      </c>
      <c r="B2454" s="1" t="n">
        <v>43913</v>
      </c>
      <c r="C2454" s="1" t="n">
        <v>45736</v>
      </c>
      <c r="D2454" t="inlineStr">
        <is>
          <t>VÄRMLANDS LÄN</t>
        </is>
      </c>
      <c r="E2454" t="inlineStr">
        <is>
          <t>HAGFORS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16440-2020</t>
        </is>
      </c>
      <c r="B2455" s="1" t="n">
        <v>43913</v>
      </c>
      <c r="C2455" s="1" t="n">
        <v>45736</v>
      </c>
      <c r="D2455" t="inlineStr">
        <is>
          <t>VÄRMLANDS LÄN</t>
        </is>
      </c>
      <c r="E2455" t="inlineStr">
        <is>
          <t>SÄFFLE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16712-2020</t>
        </is>
      </c>
      <c r="B2456" s="1" t="n">
        <v>43913</v>
      </c>
      <c r="C2456" s="1" t="n">
        <v>45736</v>
      </c>
      <c r="D2456" t="inlineStr">
        <is>
          <t>VÄRMLANDS LÄN</t>
        </is>
      </c>
      <c r="E2456" t="inlineStr">
        <is>
          <t>SÄFFLE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16706-2020</t>
        </is>
      </c>
      <c r="B2457" s="1" t="n">
        <v>43913</v>
      </c>
      <c r="C2457" s="1" t="n">
        <v>45736</v>
      </c>
      <c r="D2457" t="inlineStr">
        <is>
          <t>VÄRMLANDS LÄN</t>
        </is>
      </c>
      <c r="E2457" t="inlineStr">
        <is>
          <t>SÄFFLE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16702-2020</t>
        </is>
      </c>
      <c r="B2458" s="1" t="n">
        <v>43913</v>
      </c>
      <c r="C2458" s="1" t="n">
        <v>45736</v>
      </c>
      <c r="D2458" t="inlineStr">
        <is>
          <t>VÄRMLANDS LÄN</t>
        </is>
      </c>
      <c r="E2458" t="inlineStr">
        <is>
          <t>SÄFFLE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16715-2020</t>
        </is>
      </c>
      <c r="B2459" s="1" t="n">
        <v>43913</v>
      </c>
      <c r="C2459" s="1" t="n">
        <v>45736</v>
      </c>
      <c r="D2459" t="inlineStr">
        <is>
          <t>VÄRMLANDS LÄN</t>
        </is>
      </c>
      <c r="E2459" t="inlineStr">
        <is>
          <t>SÄFFLE</t>
        </is>
      </c>
      <c r="G2459" t="n">
        <v>11.7</v>
      </c>
      <c r="H2459" t="n">
        <v>0</v>
      </c>
      <c r="I2459" t="n">
        <v>0</v>
      </c>
      <c r="J2459" t="n">
        <v>0</v>
      </c>
      <c r="K2459" t="n">
        <v>0</v>
      </c>
      <c r="L2459" t="n">
        <v>0</v>
      </c>
      <c r="M2459" t="n">
        <v>0</v>
      </c>
      <c r="N2459" t="n">
        <v>0</v>
      </c>
      <c r="O2459" t="n">
        <v>0</v>
      </c>
      <c r="P2459" t="n">
        <v>0</v>
      </c>
      <c r="Q2459" t="n">
        <v>0</v>
      </c>
      <c r="R2459" s="2" t="inlineStr"/>
    </row>
    <row r="2460" ht="15" customHeight="1">
      <c r="A2460" t="inlineStr">
        <is>
          <t>A 16788-2020</t>
        </is>
      </c>
      <c r="B2460" s="1" t="n">
        <v>43913</v>
      </c>
      <c r="C2460" s="1" t="n">
        <v>45736</v>
      </c>
      <c r="D2460" t="inlineStr">
        <is>
          <t>VÄRMLANDS LÄN</t>
        </is>
      </c>
      <c r="E2460" t="inlineStr">
        <is>
          <t>SÄFFLE</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16708-2020</t>
        </is>
      </c>
      <c r="B2461" s="1" t="n">
        <v>43913</v>
      </c>
      <c r="C2461" s="1" t="n">
        <v>45736</v>
      </c>
      <c r="D2461" t="inlineStr">
        <is>
          <t>VÄRMLANDS LÄN</t>
        </is>
      </c>
      <c r="E2461" t="inlineStr">
        <is>
          <t>SÄFFLE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15569-2020</t>
        </is>
      </c>
      <c r="B2462" s="1" t="n">
        <v>43914</v>
      </c>
      <c r="C2462" s="1" t="n">
        <v>45736</v>
      </c>
      <c r="D2462" t="inlineStr">
        <is>
          <t>VÄRMLANDS LÄN</t>
        </is>
      </c>
      <c r="E2462" t="inlineStr">
        <is>
          <t>KARLSTAD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15578-2020</t>
        </is>
      </c>
      <c r="B2463" s="1" t="n">
        <v>43914</v>
      </c>
      <c r="C2463" s="1" t="n">
        <v>45736</v>
      </c>
      <c r="D2463" t="inlineStr">
        <is>
          <t>VÄRMLANDS LÄN</t>
        </is>
      </c>
      <c r="E2463" t="inlineStr">
        <is>
          <t>KRISTINEHAMN</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15589-2020</t>
        </is>
      </c>
      <c r="B2464" s="1" t="n">
        <v>43914</v>
      </c>
      <c r="C2464" s="1" t="n">
        <v>45736</v>
      </c>
      <c r="D2464" t="inlineStr">
        <is>
          <t>VÄRMLANDS LÄN</t>
        </is>
      </c>
      <c r="E2464" t="inlineStr">
        <is>
          <t>TORSBY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15535-2020</t>
        </is>
      </c>
      <c r="B2465" s="1" t="n">
        <v>43914</v>
      </c>
      <c r="C2465" s="1" t="n">
        <v>45736</v>
      </c>
      <c r="D2465" t="inlineStr">
        <is>
          <t>VÄRMLANDS LÄN</t>
        </is>
      </c>
      <c r="E2465" t="inlineStr">
        <is>
          <t>KARLSTAD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15598-2020</t>
        </is>
      </c>
      <c r="B2466" s="1" t="n">
        <v>43914</v>
      </c>
      <c r="C2466" s="1" t="n">
        <v>45736</v>
      </c>
      <c r="D2466" t="inlineStr">
        <is>
          <t>VÄRMLANDS LÄN</t>
        </is>
      </c>
      <c r="E2466" t="inlineStr">
        <is>
          <t>FILIPSTAD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15426-2020</t>
        </is>
      </c>
      <c r="B2467" s="1" t="n">
        <v>43914</v>
      </c>
      <c r="C2467" s="1" t="n">
        <v>45736</v>
      </c>
      <c r="D2467" t="inlineStr">
        <is>
          <t>VÄRMLANDS LÄN</t>
        </is>
      </c>
      <c r="E2467" t="inlineStr">
        <is>
          <t>EDA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15538-2020</t>
        </is>
      </c>
      <c r="B2468" s="1" t="n">
        <v>43914</v>
      </c>
      <c r="C2468" s="1" t="n">
        <v>45736</v>
      </c>
      <c r="D2468" t="inlineStr">
        <is>
          <t>VÄRMLANDS LÄN</t>
        </is>
      </c>
      <c r="E2468" t="inlineStr">
        <is>
          <t>KARLSTAD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15575-2020</t>
        </is>
      </c>
      <c r="B2469" s="1" t="n">
        <v>43914</v>
      </c>
      <c r="C2469" s="1" t="n">
        <v>45736</v>
      </c>
      <c r="D2469" t="inlineStr">
        <is>
          <t>VÄRMLANDS LÄN</t>
        </is>
      </c>
      <c r="E2469" t="inlineStr">
        <is>
          <t>KRISTINEHAMN</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15539-2020</t>
        </is>
      </c>
      <c r="B2470" s="1" t="n">
        <v>43914</v>
      </c>
      <c r="C2470" s="1" t="n">
        <v>45736</v>
      </c>
      <c r="D2470" t="inlineStr">
        <is>
          <t>VÄRMLANDS LÄN</t>
        </is>
      </c>
      <c r="E2470" t="inlineStr">
        <is>
          <t>SUNNE</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15627-2020</t>
        </is>
      </c>
      <c r="B2471" s="1" t="n">
        <v>43914</v>
      </c>
      <c r="C2471" s="1" t="n">
        <v>45736</v>
      </c>
      <c r="D2471" t="inlineStr">
        <is>
          <t>VÄRMLANDS LÄN</t>
        </is>
      </c>
      <c r="E2471" t="inlineStr">
        <is>
          <t>ARVIKA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15864-2020</t>
        </is>
      </c>
      <c r="B2472" s="1" t="n">
        <v>43915</v>
      </c>
      <c r="C2472" s="1" t="n">
        <v>45736</v>
      </c>
      <c r="D2472" t="inlineStr">
        <is>
          <t>VÄRMLANDS LÄN</t>
        </is>
      </c>
      <c r="E2472" t="inlineStr">
        <is>
          <t>ÅRJÄNG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15657-2020</t>
        </is>
      </c>
      <c r="B2473" s="1" t="n">
        <v>43915</v>
      </c>
      <c r="C2473" s="1" t="n">
        <v>45736</v>
      </c>
      <c r="D2473" t="inlineStr">
        <is>
          <t>VÄRMLANDS LÄN</t>
        </is>
      </c>
      <c r="E2473" t="inlineStr">
        <is>
          <t>ARVIKA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15701-2020</t>
        </is>
      </c>
      <c r="B2474" s="1" t="n">
        <v>43915</v>
      </c>
      <c r="C2474" s="1" t="n">
        <v>45736</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17152-2020</t>
        </is>
      </c>
      <c r="B2475" s="1" t="n">
        <v>43915</v>
      </c>
      <c r="C2475" s="1" t="n">
        <v>45736</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15967-2020</t>
        </is>
      </c>
      <c r="B2476" s="1" t="n">
        <v>43915</v>
      </c>
      <c r="C2476" s="1" t="n">
        <v>45736</v>
      </c>
      <c r="D2476" t="inlineStr">
        <is>
          <t>VÄRMLANDS LÄN</t>
        </is>
      </c>
      <c r="E2476" t="inlineStr">
        <is>
          <t>KRISTINEHAMN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15674-2020</t>
        </is>
      </c>
      <c r="B2477" s="1" t="n">
        <v>43915</v>
      </c>
      <c r="C2477" s="1" t="n">
        <v>45736</v>
      </c>
      <c r="D2477" t="inlineStr">
        <is>
          <t>VÄRMLANDS LÄN</t>
        </is>
      </c>
      <c r="E2477" t="inlineStr">
        <is>
          <t>ÅRJÄNG</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15817-2020</t>
        </is>
      </c>
      <c r="B2478" s="1" t="n">
        <v>43915</v>
      </c>
      <c r="C2478" s="1" t="n">
        <v>45736</v>
      </c>
      <c r="D2478" t="inlineStr">
        <is>
          <t>VÄRMLANDS LÄN</t>
        </is>
      </c>
      <c r="E2478" t="inlineStr">
        <is>
          <t>SUNNE</t>
        </is>
      </c>
      <c r="F2478" t="inlineStr">
        <is>
          <t>Övriga Aktiebolag</t>
        </is>
      </c>
      <c r="G2478" t="n">
        <v>12.3</v>
      </c>
      <c r="H2478" t="n">
        <v>0</v>
      </c>
      <c r="I2478" t="n">
        <v>0</v>
      </c>
      <c r="J2478" t="n">
        <v>0</v>
      </c>
      <c r="K2478" t="n">
        <v>0</v>
      </c>
      <c r="L2478" t="n">
        <v>0</v>
      </c>
      <c r="M2478" t="n">
        <v>0</v>
      </c>
      <c r="N2478" t="n">
        <v>0</v>
      </c>
      <c r="O2478" t="n">
        <v>0</v>
      </c>
      <c r="P2478" t="n">
        <v>0</v>
      </c>
      <c r="Q2478" t="n">
        <v>0</v>
      </c>
      <c r="R2478" s="2" t="inlineStr"/>
    </row>
    <row r="2479" ht="15" customHeight="1">
      <c r="A2479" t="inlineStr">
        <is>
          <t>A 15853-2020</t>
        </is>
      </c>
      <c r="B2479" s="1" t="n">
        <v>43915</v>
      </c>
      <c r="C2479" s="1" t="n">
        <v>45736</v>
      </c>
      <c r="D2479" t="inlineStr">
        <is>
          <t>VÄRMLANDS LÄN</t>
        </is>
      </c>
      <c r="E2479" t="inlineStr">
        <is>
          <t>ARVIKA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15953-2020</t>
        </is>
      </c>
      <c r="B2480" s="1" t="n">
        <v>43915</v>
      </c>
      <c r="C2480" s="1" t="n">
        <v>45736</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15969-2020</t>
        </is>
      </c>
      <c r="B2481" s="1" t="n">
        <v>43915</v>
      </c>
      <c r="C2481" s="1" t="n">
        <v>45736</v>
      </c>
      <c r="D2481" t="inlineStr">
        <is>
          <t>VÄRMLANDS LÄN</t>
        </is>
      </c>
      <c r="E2481" t="inlineStr">
        <is>
          <t>KRISTINEHAMN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15768-2020</t>
        </is>
      </c>
      <c r="B2482" s="1" t="n">
        <v>43915</v>
      </c>
      <c r="C2482" s="1" t="n">
        <v>45736</v>
      </c>
      <c r="D2482" t="inlineStr">
        <is>
          <t>VÄRMLANDS LÄN</t>
        </is>
      </c>
      <c r="E2482" t="inlineStr">
        <is>
          <t>TORSBY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15702-2020</t>
        </is>
      </c>
      <c r="B2483" s="1" t="n">
        <v>43915</v>
      </c>
      <c r="C2483" s="1" t="n">
        <v>45736</v>
      </c>
      <c r="D2483" t="inlineStr">
        <is>
          <t>VÄRMLANDS LÄN</t>
        </is>
      </c>
      <c r="E2483" t="inlineStr">
        <is>
          <t>FILIPSTAD</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15962-2020</t>
        </is>
      </c>
      <c r="B2484" s="1" t="n">
        <v>43915</v>
      </c>
      <c r="C2484" s="1" t="n">
        <v>45736</v>
      </c>
      <c r="D2484" t="inlineStr">
        <is>
          <t>VÄRMLANDS LÄN</t>
        </is>
      </c>
      <c r="E2484" t="inlineStr">
        <is>
          <t>KRISTINEHAMN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17151-2020</t>
        </is>
      </c>
      <c r="B2485" s="1" t="n">
        <v>43915</v>
      </c>
      <c r="C2485" s="1" t="n">
        <v>45736</v>
      </c>
      <c r="D2485" t="inlineStr">
        <is>
          <t>VÄRMLANDS LÄN</t>
        </is>
      </c>
      <c r="E2485" t="inlineStr">
        <is>
          <t>KRISTINEHAMN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17289-2020</t>
        </is>
      </c>
      <c r="B2486" s="1" t="n">
        <v>43915</v>
      </c>
      <c r="C2486" s="1" t="n">
        <v>45736</v>
      </c>
      <c r="D2486" t="inlineStr">
        <is>
          <t>VÄRMLANDS LÄN</t>
        </is>
      </c>
      <c r="E2486" t="inlineStr">
        <is>
          <t>KARLSTAD</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15669-2020</t>
        </is>
      </c>
      <c r="B2487" s="1" t="n">
        <v>43915</v>
      </c>
      <c r="C2487" s="1" t="n">
        <v>45736</v>
      </c>
      <c r="D2487" t="inlineStr">
        <is>
          <t>VÄRMLANDS LÄN</t>
        </is>
      </c>
      <c r="E2487" t="inlineStr">
        <is>
          <t>ÅRJÄNG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15944-2020</t>
        </is>
      </c>
      <c r="B2488" s="1" t="n">
        <v>43916</v>
      </c>
      <c r="C2488" s="1" t="n">
        <v>45736</v>
      </c>
      <c r="D2488" t="inlineStr">
        <is>
          <t>VÄRMLANDS LÄN</t>
        </is>
      </c>
      <c r="E2488" t="inlineStr">
        <is>
          <t>SÄFFLE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16032-2020</t>
        </is>
      </c>
      <c r="B2489" s="1" t="n">
        <v>43916</v>
      </c>
      <c r="C2489" s="1" t="n">
        <v>45736</v>
      </c>
      <c r="D2489" t="inlineStr">
        <is>
          <t>VÄRMLANDS LÄN</t>
        </is>
      </c>
      <c r="E2489" t="inlineStr">
        <is>
          <t>KARLSTAD</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15927-2020</t>
        </is>
      </c>
      <c r="B2490" s="1" t="n">
        <v>43916</v>
      </c>
      <c r="C2490" s="1" t="n">
        <v>45736</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15941-2020</t>
        </is>
      </c>
      <c r="B2491" s="1" t="n">
        <v>43916</v>
      </c>
      <c r="C2491" s="1" t="n">
        <v>45736</v>
      </c>
      <c r="D2491" t="inlineStr">
        <is>
          <t>VÄRMLANDS LÄN</t>
        </is>
      </c>
      <c r="E2491" t="inlineStr">
        <is>
          <t>SÄFFLE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16030-2020</t>
        </is>
      </c>
      <c r="B2492" s="1" t="n">
        <v>43916</v>
      </c>
      <c r="C2492" s="1" t="n">
        <v>45736</v>
      </c>
      <c r="D2492" t="inlineStr">
        <is>
          <t>VÄRMLANDS LÄN</t>
        </is>
      </c>
      <c r="E2492" t="inlineStr">
        <is>
          <t>ARVIKA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16037-2020</t>
        </is>
      </c>
      <c r="B2493" s="1" t="n">
        <v>43916</v>
      </c>
      <c r="C2493" s="1" t="n">
        <v>45736</v>
      </c>
      <c r="D2493" t="inlineStr">
        <is>
          <t>VÄRMLANDS LÄN</t>
        </is>
      </c>
      <c r="E2493" t="inlineStr">
        <is>
          <t>FORSHAGA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16079-2020</t>
        </is>
      </c>
      <c r="B2494" s="1" t="n">
        <v>43916</v>
      </c>
      <c r="C2494" s="1" t="n">
        <v>45736</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15912-2020</t>
        </is>
      </c>
      <c r="B2495" s="1" t="n">
        <v>43916</v>
      </c>
      <c r="C2495" s="1" t="n">
        <v>45736</v>
      </c>
      <c r="D2495" t="inlineStr">
        <is>
          <t>VÄRMLANDS LÄN</t>
        </is>
      </c>
      <c r="E2495" t="inlineStr">
        <is>
          <t>SÄFFLE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16027-2020</t>
        </is>
      </c>
      <c r="B2496" s="1" t="n">
        <v>43916</v>
      </c>
      <c r="C2496" s="1" t="n">
        <v>45736</v>
      </c>
      <c r="D2496" t="inlineStr">
        <is>
          <t>VÄRMLANDS LÄN</t>
        </is>
      </c>
      <c r="E2496" t="inlineStr">
        <is>
          <t>FORSHAGA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16035-2020</t>
        </is>
      </c>
      <c r="B2497" s="1" t="n">
        <v>43916</v>
      </c>
      <c r="C2497" s="1" t="n">
        <v>45736</v>
      </c>
      <c r="D2497" t="inlineStr">
        <is>
          <t>VÄRMLANDS LÄN</t>
        </is>
      </c>
      <c r="E2497" t="inlineStr">
        <is>
          <t>ARVIKA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16064-2020</t>
        </is>
      </c>
      <c r="B2498" s="1" t="n">
        <v>43916</v>
      </c>
      <c r="C2498" s="1" t="n">
        <v>45736</v>
      </c>
      <c r="D2498" t="inlineStr">
        <is>
          <t>VÄRMLANDS LÄN</t>
        </is>
      </c>
      <c r="E2498" t="inlineStr">
        <is>
          <t>ARVIKA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16072-2020</t>
        </is>
      </c>
      <c r="B2499" s="1" t="n">
        <v>43916</v>
      </c>
      <c r="C2499" s="1" t="n">
        <v>45736</v>
      </c>
      <c r="D2499" t="inlineStr">
        <is>
          <t>VÄRMLANDS LÄN</t>
        </is>
      </c>
      <c r="E2499" t="inlineStr">
        <is>
          <t>HAGFORS</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16215-2020</t>
        </is>
      </c>
      <c r="B2500" s="1" t="n">
        <v>43917</v>
      </c>
      <c r="C2500" s="1" t="n">
        <v>45736</v>
      </c>
      <c r="D2500" t="inlineStr">
        <is>
          <t>VÄRMLANDS LÄN</t>
        </is>
      </c>
      <c r="E2500" t="inlineStr">
        <is>
          <t>KRISTINEHAMN</t>
        </is>
      </c>
      <c r="F2500" t="inlineStr">
        <is>
          <t>Bergvik skog väst AB</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16299-2020</t>
        </is>
      </c>
      <c r="B2501" s="1" t="n">
        <v>43917</v>
      </c>
      <c r="C2501" s="1" t="n">
        <v>45736</v>
      </c>
      <c r="D2501" t="inlineStr">
        <is>
          <t>VÄRMLANDS LÄN</t>
        </is>
      </c>
      <c r="E2501" t="inlineStr">
        <is>
          <t>KRISTINEHAMN</t>
        </is>
      </c>
      <c r="F2501" t="inlineStr">
        <is>
          <t>Bergvik skog väst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16239-2020</t>
        </is>
      </c>
      <c r="B2502" s="1" t="n">
        <v>43917</v>
      </c>
      <c r="C2502" s="1" t="n">
        <v>45736</v>
      </c>
      <c r="D2502" t="inlineStr">
        <is>
          <t>VÄRMLANDS LÄN</t>
        </is>
      </c>
      <c r="E2502" t="inlineStr">
        <is>
          <t>HAGFORS</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16329-2020</t>
        </is>
      </c>
      <c r="B2503" s="1" t="n">
        <v>43917</v>
      </c>
      <c r="C2503" s="1" t="n">
        <v>45736</v>
      </c>
      <c r="D2503" t="inlineStr">
        <is>
          <t>VÄRMLANDS LÄN</t>
        </is>
      </c>
      <c r="E2503" t="inlineStr">
        <is>
          <t>ARVIKA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16241-2020</t>
        </is>
      </c>
      <c r="B2504" s="1" t="n">
        <v>43917</v>
      </c>
      <c r="C2504" s="1" t="n">
        <v>45736</v>
      </c>
      <c r="D2504" t="inlineStr">
        <is>
          <t>VÄRMLANDS LÄN</t>
        </is>
      </c>
      <c r="E2504" t="inlineStr">
        <is>
          <t>HAGFORS</t>
        </is>
      </c>
      <c r="F2504" t="inlineStr">
        <is>
          <t>Bergvik skog väst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16280-2020</t>
        </is>
      </c>
      <c r="B2505" s="1" t="n">
        <v>43917</v>
      </c>
      <c r="C2505" s="1" t="n">
        <v>45736</v>
      </c>
      <c r="D2505" t="inlineStr">
        <is>
          <t>VÄRMLANDS LÄN</t>
        </is>
      </c>
      <c r="E2505" t="inlineStr">
        <is>
          <t>KARLSTAD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16244-2020</t>
        </is>
      </c>
      <c r="B2506" s="1" t="n">
        <v>43917</v>
      </c>
      <c r="C2506" s="1" t="n">
        <v>45736</v>
      </c>
      <c r="D2506" t="inlineStr">
        <is>
          <t>VÄRMLANDS LÄN</t>
        </is>
      </c>
      <c r="E2506" t="inlineStr">
        <is>
          <t>STORFORS</t>
        </is>
      </c>
      <c r="F2506" t="inlineStr">
        <is>
          <t>Bergvik skog väst AB</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16364-2020</t>
        </is>
      </c>
      <c r="B2507" s="1" t="n">
        <v>43917</v>
      </c>
      <c r="C2507" s="1" t="n">
        <v>45736</v>
      </c>
      <c r="D2507" t="inlineStr">
        <is>
          <t>VÄRMLANDS LÄN</t>
        </is>
      </c>
      <c r="E2507" t="inlineStr">
        <is>
          <t>TORSBY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17534-2020</t>
        </is>
      </c>
      <c r="B2508" s="1" t="n">
        <v>43917</v>
      </c>
      <c r="C2508" s="1" t="n">
        <v>45736</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17456-2020</t>
        </is>
      </c>
      <c r="B2509" s="1" t="n">
        <v>43918</v>
      </c>
      <c r="C2509" s="1" t="n">
        <v>45736</v>
      </c>
      <c r="D2509" t="inlineStr">
        <is>
          <t>VÄRMLANDS LÄN</t>
        </is>
      </c>
      <c r="E2509" t="inlineStr">
        <is>
          <t>GRUMS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16437-2020</t>
        </is>
      </c>
      <c r="B2510" s="1" t="n">
        <v>43919</v>
      </c>
      <c r="C2510" s="1" t="n">
        <v>45736</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16501-2020</t>
        </is>
      </c>
      <c r="B2511" s="1" t="n">
        <v>43920</v>
      </c>
      <c r="C2511" s="1" t="n">
        <v>45736</v>
      </c>
      <c r="D2511" t="inlineStr">
        <is>
          <t>VÄRMLANDS LÄN</t>
        </is>
      </c>
      <c r="E2511" t="inlineStr">
        <is>
          <t>EDA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16751-2020</t>
        </is>
      </c>
      <c r="B2512" s="1" t="n">
        <v>43920</v>
      </c>
      <c r="C2512" s="1" t="n">
        <v>45736</v>
      </c>
      <c r="D2512" t="inlineStr">
        <is>
          <t>VÄRMLANDS LÄN</t>
        </is>
      </c>
      <c r="E2512" t="inlineStr">
        <is>
          <t>KRISTINEHAMN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16697-2020</t>
        </is>
      </c>
      <c r="B2513" s="1" t="n">
        <v>43920</v>
      </c>
      <c r="C2513" s="1" t="n">
        <v>45736</v>
      </c>
      <c r="D2513" t="inlineStr">
        <is>
          <t>VÄRMLANDS LÄN</t>
        </is>
      </c>
      <c r="E2513" t="inlineStr">
        <is>
          <t>KRISTINEHAMN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16718-2020</t>
        </is>
      </c>
      <c r="B2514" s="1" t="n">
        <v>43920</v>
      </c>
      <c r="C2514" s="1" t="n">
        <v>45736</v>
      </c>
      <c r="D2514" t="inlineStr">
        <is>
          <t>VÄRMLANDS LÄN</t>
        </is>
      </c>
      <c r="E2514" t="inlineStr">
        <is>
          <t>SUNNE</t>
        </is>
      </c>
      <c r="F2514" t="inlineStr">
        <is>
          <t>Övriga statliga verk och myndigheter</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16749-2020</t>
        </is>
      </c>
      <c r="B2515" s="1" t="n">
        <v>43920</v>
      </c>
      <c r="C2515" s="1" t="n">
        <v>45736</v>
      </c>
      <c r="D2515" t="inlineStr">
        <is>
          <t>VÄRMLANDS LÄN</t>
        </is>
      </c>
      <c r="E2515" t="inlineStr">
        <is>
          <t>KRISTINEHAMN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16745-2020</t>
        </is>
      </c>
      <c r="B2516" s="1" t="n">
        <v>43920</v>
      </c>
      <c r="C2516" s="1" t="n">
        <v>45736</v>
      </c>
      <c r="D2516" t="inlineStr">
        <is>
          <t>VÄRMLANDS LÄN</t>
        </is>
      </c>
      <c r="E2516" t="inlineStr">
        <is>
          <t>KRISTINEHAMN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17514-2020</t>
        </is>
      </c>
      <c r="B2517" s="1" t="n">
        <v>43920</v>
      </c>
      <c r="C2517" s="1" t="n">
        <v>45736</v>
      </c>
      <c r="D2517" t="inlineStr">
        <is>
          <t>VÄRMLANDS LÄN</t>
        </is>
      </c>
      <c r="E2517" t="inlineStr">
        <is>
          <t>SÄFFLE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17544-2020</t>
        </is>
      </c>
      <c r="B2518" s="1" t="n">
        <v>43920</v>
      </c>
      <c r="C2518" s="1" t="n">
        <v>45736</v>
      </c>
      <c r="D2518" t="inlineStr">
        <is>
          <t>VÄRMLANDS LÄN</t>
        </is>
      </c>
      <c r="E2518" t="inlineStr">
        <is>
          <t>KRISTINEHAMN</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16454-2020</t>
        </is>
      </c>
      <c r="B2519" s="1" t="n">
        <v>43920</v>
      </c>
      <c r="C2519" s="1" t="n">
        <v>45736</v>
      </c>
      <c r="D2519" t="inlineStr">
        <is>
          <t>VÄRMLANDS LÄN</t>
        </is>
      </c>
      <c r="E2519" t="inlineStr">
        <is>
          <t>ÅRJÄNG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17545-2020</t>
        </is>
      </c>
      <c r="B2520" s="1" t="n">
        <v>43920</v>
      </c>
      <c r="C2520" s="1" t="n">
        <v>45736</v>
      </c>
      <c r="D2520" t="inlineStr">
        <is>
          <t>VÄRMLANDS LÄN</t>
        </is>
      </c>
      <c r="E2520" t="inlineStr">
        <is>
          <t>KARLSTAD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16798-2020</t>
        </is>
      </c>
      <c r="B2521" s="1" t="n">
        <v>43921</v>
      </c>
      <c r="C2521" s="1" t="n">
        <v>45736</v>
      </c>
      <c r="D2521" t="inlineStr">
        <is>
          <t>VÄRMLANDS LÄN</t>
        </is>
      </c>
      <c r="E2521" t="inlineStr">
        <is>
          <t>HAGFORS</t>
        </is>
      </c>
      <c r="F2521" t="inlineStr">
        <is>
          <t>Bergvik skog väst AB</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16833-2020</t>
        </is>
      </c>
      <c r="B2522" s="1" t="n">
        <v>43921</v>
      </c>
      <c r="C2522" s="1" t="n">
        <v>45736</v>
      </c>
      <c r="D2522" t="inlineStr">
        <is>
          <t>VÄRMLANDS LÄN</t>
        </is>
      </c>
      <c r="E2522" t="inlineStr">
        <is>
          <t>MUNKFORS</t>
        </is>
      </c>
      <c r="F2522" t="inlineStr">
        <is>
          <t>Kyrkan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16963-2020</t>
        </is>
      </c>
      <c r="B2523" s="1" t="n">
        <v>43921</v>
      </c>
      <c r="C2523" s="1" t="n">
        <v>45736</v>
      </c>
      <c r="D2523" t="inlineStr">
        <is>
          <t>VÄRMLANDS LÄN</t>
        </is>
      </c>
      <c r="E2523" t="inlineStr">
        <is>
          <t>SÄFFLE</t>
        </is>
      </c>
      <c r="F2523" t="inlineStr">
        <is>
          <t>Bergvik skog väst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17021-2020</t>
        </is>
      </c>
      <c r="B2524" s="1" t="n">
        <v>43921</v>
      </c>
      <c r="C2524" s="1" t="n">
        <v>45736</v>
      </c>
      <c r="D2524" t="inlineStr">
        <is>
          <t>VÄRMLANDS LÄN</t>
        </is>
      </c>
      <c r="E2524" t="inlineStr">
        <is>
          <t>TORSBY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16792-2020</t>
        </is>
      </c>
      <c r="B2525" s="1" t="n">
        <v>43921</v>
      </c>
      <c r="C2525" s="1" t="n">
        <v>45736</v>
      </c>
      <c r="D2525" t="inlineStr">
        <is>
          <t>VÄRMLANDS LÄN</t>
        </is>
      </c>
      <c r="E2525" t="inlineStr">
        <is>
          <t>EDA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16930-2020</t>
        </is>
      </c>
      <c r="B2526" s="1" t="n">
        <v>43921</v>
      </c>
      <c r="C2526" s="1" t="n">
        <v>45736</v>
      </c>
      <c r="D2526" t="inlineStr">
        <is>
          <t>VÄRMLANDS LÄN</t>
        </is>
      </c>
      <c r="E2526" t="inlineStr">
        <is>
          <t>STORFORS</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16999-2020</t>
        </is>
      </c>
      <c r="B2527" s="1" t="n">
        <v>43921</v>
      </c>
      <c r="C2527" s="1" t="n">
        <v>45736</v>
      </c>
      <c r="D2527" t="inlineStr">
        <is>
          <t>VÄRMLANDS LÄN</t>
        </is>
      </c>
      <c r="E2527" t="inlineStr">
        <is>
          <t>TORSBY</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17036-2020</t>
        </is>
      </c>
      <c r="B2528" s="1" t="n">
        <v>43921</v>
      </c>
      <c r="C2528" s="1" t="n">
        <v>45736</v>
      </c>
      <c r="D2528" t="inlineStr">
        <is>
          <t>VÄRMLANDS LÄN</t>
        </is>
      </c>
      <c r="E2528" t="inlineStr">
        <is>
          <t>ARVIKA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17596-2020</t>
        </is>
      </c>
      <c r="B2529" s="1" t="n">
        <v>43921</v>
      </c>
      <c r="C2529" s="1" t="n">
        <v>45736</v>
      </c>
      <c r="D2529" t="inlineStr">
        <is>
          <t>VÄRMLANDS LÄN</t>
        </is>
      </c>
      <c r="E2529" t="inlineStr">
        <is>
          <t>ÅRJÄNG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16799-2020</t>
        </is>
      </c>
      <c r="B2530" s="1" t="n">
        <v>43921</v>
      </c>
      <c r="C2530" s="1" t="n">
        <v>45736</v>
      </c>
      <c r="D2530" t="inlineStr">
        <is>
          <t>VÄRMLANDS LÄN</t>
        </is>
      </c>
      <c r="E2530" t="inlineStr">
        <is>
          <t>EDA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16895-2020</t>
        </is>
      </c>
      <c r="B2531" s="1" t="n">
        <v>43921</v>
      </c>
      <c r="C2531" s="1" t="n">
        <v>45736</v>
      </c>
      <c r="D2531" t="inlineStr">
        <is>
          <t>VÄRMLANDS LÄN</t>
        </is>
      </c>
      <c r="E2531" t="inlineStr">
        <is>
          <t>STORFORS</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17009-2020</t>
        </is>
      </c>
      <c r="B2532" s="1" t="n">
        <v>43921</v>
      </c>
      <c r="C2532" s="1" t="n">
        <v>45736</v>
      </c>
      <c r="D2532" t="inlineStr">
        <is>
          <t>VÄRMLANDS LÄN</t>
        </is>
      </c>
      <c r="E2532" t="inlineStr">
        <is>
          <t>TORSBY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17627-2020</t>
        </is>
      </c>
      <c r="B2533" s="1" t="n">
        <v>43921</v>
      </c>
      <c r="C2533" s="1" t="n">
        <v>45736</v>
      </c>
      <c r="D2533" t="inlineStr">
        <is>
          <t>VÄRMLANDS LÄN</t>
        </is>
      </c>
      <c r="E2533" t="inlineStr">
        <is>
          <t>KRISTINEHAMN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17553-2020</t>
        </is>
      </c>
      <c r="B2534" s="1" t="n">
        <v>43921</v>
      </c>
      <c r="C2534" s="1" t="n">
        <v>45736</v>
      </c>
      <c r="D2534" t="inlineStr">
        <is>
          <t>VÄRMLANDS LÄN</t>
        </is>
      </c>
      <c r="E2534" t="inlineStr">
        <is>
          <t>HAGFORS</t>
        </is>
      </c>
      <c r="G2534" t="n">
        <v>13.1</v>
      </c>
      <c r="H2534" t="n">
        <v>0</v>
      </c>
      <c r="I2534" t="n">
        <v>0</v>
      </c>
      <c r="J2534" t="n">
        <v>0</v>
      </c>
      <c r="K2534" t="n">
        <v>0</v>
      </c>
      <c r="L2534" t="n">
        <v>0</v>
      </c>
      <c r="M2534" t="n">
        <v>0</v>
      </c>
      <c r="N2534" t="n">
        <v>0</v>
      </c>
      <c r="O2534" t="n">
        <v>0</v>
      </c>
      <c r="P2534" t="n">
        <v>0</v>
      </c>
      <c r="Q2534" t="n">
        <v>0</v>
      </c>
      <c r="R2534" s="2" t="inlineStr"/>
    </row>
    <row r="2535" ht="15" customHeight="1">
      <c r="A2535" t="inlineStr">
        <is>
          <t>A 17158-2020</t>
        </is>
      </c>
      <c r="B2535" s="1" t="n">
        <v>43922</v>
      </c>
      <c r="C2535" s="1" t="n">
        <v>45736</v>
      </c>
      <c r="D2535" t="inlineStr">
        <is>
          <t>VÄRMLANDS LÄN</t>
        </is>
      </c>
      <c r="E2535" t="inlineStr">
        <is>
          <t>SUNNE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17249-2020</t>
        </is>
      </c>
      <c r="B2536" s="1" t="n">
        <v>43922</v>
      </c>
      <c r="C2536" s="1" t="n">
        <v>45736</v>
      </c>
      <c r="D2536" t="inlineStr">
        <is>
          <t>VÄRMLANDS LÄN</t>
        </is>
      </c>
      <c r="E2536" t="inlineStr">
        <is>
          <t>SÄFFLE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17320-2020</t>
        </is>
      </c>
      <c r="B2537" s="1" t="n">
        <v>43922</v>
      </c>
      <c r="C2537" s="1" t="n">
        <v>45736</v>
      </c>
      <c r="D2537" t="inlineStr">
        <is>
          <t>VÄRMLANDS LÄN</t>
        </is>
      </c>
      <c r="E2537" t="inlineStr">
        <is>
          <t>SUNNE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17475-2020</t>
        </is>
      </c>
      <c r="B2538" s="1" t="n">
        <v>43923</v>
      </c>
      <c r="C2538" s="1" t="n">
        <v>45736</v>
      </c>
      <c r="D2538" t="inlineStr">
        <is>
          <t>VÄRMLANDS LÄN</t>
        </is>
      </c>
      <c r="E2538" t="inlineStr">
        <is>
          <t>ÅRJÄNG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17525-2020</t>
        </is>
      </c>
      <c r="B2539" s="1" t="n">
        <v>43923</v>
      </c>
      <c r="C2539" s="1" t="n">
        <v>45736</v>
      </c>
      <c r="D2539" t="inlineStr">
        <is>
          <t>VÄRMLANDS LÄN</t>
        </is>
      </c>
      <c r="E2539" t="inlineStr">
        <is>
          <t>SUNNE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17573-2020</t>
        </is>
      </c>
      <c r="B2540" s="1" t="n">
        <v>43923</v>
      </c>
      <c r="C2540" s="1" t="n">
        <v>45736</v>
      </c>
      <c r="D2540" t="inlineStr">
        <is>
          <t>VÄRMLANDS LÄN</t>
        </is>
      </c>
      <c r="E2540" t="inlineStr">
        <is>
          <t>SÄFFLE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17543-2020</t>
        </is>
      </c>
      <c r="B2541" s="1" t="n">
        <v>43923</v>
      </c>
      <c r="C2541" s="1" t="n">
        <v>45736</v>
      </c>
      <c r="D2541" t="inlineStr">
        <is>
          <t>VÄRMLANDS LÄN</t>
        </is>
      </c>
      <c r="E2541" t="inlineStr">
        <is>
          <t>SUNNE</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17519-2020</t>
        </is>
      </c>
      <c r="B2542" s="1" t="n">
        <v>43923</v>
      </c>
      <c r="C2542" s="1" t="n">
        <v>45736</v>
      </c>
      <c r="D2542" t="inlineStr">
        <is>
          <t>VÄRMLANDS LÄN</t>
        </is>
      </c>
      <c r="E2542" t="inlineStr">
        <is>
          <t>SÄFFLE</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17842-2020</t>
        </is>
      </c>
      <c r="B2543" s="1" t="n">
        <v>43923</v>
      </c>
      <c r="C2543" s="1" t="n">
        <v>45736</v>
      </c>
      <c r="D2543" t="inlineStr">
        <is>
          <t>VÄRMLANDS LÄN</t>
        </is>
      </c>
      <c r="E2543" t="inlineStr">
        <is>
          <t>GRUMS</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17908-2020</t>
        </is>
      </c>
      <c r="B2544" s="1" t="n">
        <v>43924</v>
      </c>
      <c r="C2544" s="1" t="n">
        <v>45736</v>
      </c>
      <c r="D2544" t="inlineStr">
        <is>
          <t>VÄRMLANDS LÄN</t>
        </is>
      </c>
      <c r="E2544" t="inlineStr">
        <is>
          <t>EDA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17915-2020</t>
        </is>
      </c>
      <c r="B2545" s="1" t="n">
        <v>43924</v>
      </c>
      <c r="C2545" s="1" t="n">
        <v>45736</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17732-2020</t>
        </is>
      </c>
      <c r="B2546" s="1" t="n">
        <v>43924</v>
      </c>
      <c r="C2546" s="1" t="n">
        <v>45736</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17751-2020</t>
        </is>
      </c>
      <c r="B2547" s="1" t="n">
        <v>43924</v>
      </c>
      <c r="C2547" s="1" t="n">
        <v>45736</v>
      </c>
      <c r="D2547" t="inlineStr">
        <is>
          <t>VÄRMLANDS LÄN</t>
        </is>
      </c>
      <c r="E2547" t="inlineStr">
        <is>
          <t>ÅRJÄNG</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17922-2020</t>
        </is>
      </c>
      <c r="B2548" s="1" t="n">
        <v>43924</v>
      </c>
      <c r="C2548" s="1" t="n">
        <v>45736</v>
      </c>
      <c r="D2548" t="inlineStr">
        <is>
          <t>VÄRMLANDS LÄN</t>
        </is>
      </c>
      <c r="E2548" t="inlineStr">
        <is>
          <t>ÅRJÄNG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17892-2020</t>
        </is>
      </c>
      <c r="B2549" s="1" t="n">
        <v>43924</v>
      </c>
      <c r="C2549" s="1" t="n">
        <v>45736</v>
      </c>
      <c r="D2549" t="inlineStr">
        <is>
          <t>VÄRMLANDS LÄN</t>
        </is>
      </c>
      <c r="E2549" t="inlineStr">
        <is>
          <t>FILIPSTAD</t>
        </is>
      </c>
      <c r="F2549" t="inlineStr">
        <is>
          <t>Bergvik skog väst AB</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17879-2020</t>
        </is>
      </c>
      <c r="B2550" s="1" t="n">
        <v>43924</v>
      </c>
      <c r="C2550" s="1" t="n">
        <v>45736</v>
      </c>
      <c r="D2550" t="inlineStr">
        <is>
          <t>VÄRMLANDS LÄN</t>
        </is>
      </c>
      <c r="E2550" t="inlineStr">
        <is>
          <t>FILIPSTAD</t>
        </is>
      </c>
      <c r="F2550" t="inlineStr">
        <is>
          <t>Bergvik skog väst AB</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17970-2020</t>
        </is>
      </c>
      <c r="B2551" s="1" t="n">
        <v>43925</v>
      </c>
      <c r="C2551" s="1" t="n">
        <v>45736</v>
      </c>
      <c r="D2551" t="inlineStr">
        <is>
          <t>VÄRMLANDS LÄN</t>
        </is>
      </c>
      <c r="E2551" t="inlineStr">
        <is>
          <t>ARVIKA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17958-2020</t>
        </is>
      </c>
      <c r="B2552" s="1" t="n">
        <v>43925</v>
      </c>
      <c r="C2552" s="1" t="n">
        <v>45736</v>
      </c>
      <c r="D2552" t="inlineStr">
        <is>
          <t>VÄRMLANDS LÄN</t>
        </is>
      </c>
      <c r="E2552" t="inlineStr">
        <is>
          <t>KARLSTAD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17964-2020</t>
        </is>
      </c>
      <c r="B2553" s="1" t="n">
        <v>43925</v>
      </c>
      <c r="C2553" s="1" t="n">
        <v>45736</v>
      </c>
      <c r="D2553" t="inlineStr">
        <is>
          <t>VÄRMLANDS LÄN</t>
        </is>
      </c>
      <c r="E2553" t="inlineStr">
        <is>
          <t>KRISTINEHAMN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17997-2020</t>
        </is>
      </c>
      <c r="B2554" s="1" t="n">
        <v>43926</v>
      </c>
      <c r="C2554" s="1" t="n">
        <v>45736</v>
      </c>
      <c r="D2554" t="inlineStr">
        <is>
          <t>VÄRMLANDS LÄN</t>
        </is>
      </c>
      <c r="E2554" t="inlineStr">
        <is>
          <t>SUNNE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17999-2020</t>
        </is>
      </c>
      <c r="B2555" s="1" t="n">
        <v>43927</v>
      </c>
      <c r="C2555" s="1" t="n">
        <v>45736</v>
      </c>
      <c r="D2555" t="inlineStr">
        <is>
          <t>VÄRMLANDS LÄN</t>
        </is>
      </c>
      <c r="E2555" t="inlineStr">
        <is>
          <t>SUNNE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18025-2020</t>
        </is>
      </c>
      <c r="B2556" s="1" t="n">
        <v>43927</v>
      </c>
      <c r="C2556" s="1" t="n">
        <v>45736</v>
      </c>
      <c r="D2556" t="inlineStr">
        <is>
          <t>VÄRMLANDS LÄN</t>
        </is>
      </c>
      <c r="E2556" t="inlineStr">
        <is>
          <t>FORSHAGA</t>
        </is>
      </c>
      <c r="F2556" t="inlineStr">
        <is>
          <t>Bergvik skog väst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18157-2020</t>
        </is>
      </c>
      <c r="B2557" s="1" t="n">
        <v>43927</v>
      </c>
      <c r="C2557" s="1" t="n">
        <v>45736</v>
      </c>
      <c r="D2557" t="inlineStr">
        <is>
          <t>VÄRMLANDS LÄN</t>
        </is>
      </c>
      <c r="E2557" t="inlineStr">
        <is>
          <t>KARLSTAD</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18155-2020</t>
        </is>
      </c>
      <c r="B2558" s="1" t="n">
        <v>43927</v>
      </c>
      <c r="C2558" s="1" t="n">
        <v>45736</v>
      </c>
      <c r="D2558" t="inlineStr">
        <is>
          <t>VÄRMLANDS LÄN</t>
        </is>
      </c>
      <c r="E2558" t="inlineStr">
        <is>
          <t>TORSBY</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18070-2020</t>
        </is>
      </c>
      <c r="B2559" s="1" t="n">
        <v>43927</v>
      </c>
      <c r="C2559" s="1" t="n">
        <v>45736</v>
      </c>
      <c r="D2559" t="inlineStr">
        <is>
          <t>VÄRMLANDS LÄN</t>
        </is>
      </c>
      <c r="E2559" t="inlineStr">
        <is>
          <t>HAGFORS</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18263-2020</t>
        </is>
      </c>
      <c r="B2560" s="1" t="n">
        <v>43928</v>
      </c>
      <c r="C2560" s="1" t="n">
        <v>45736</v>
      </c>
      <c r="D2560" t="inlineStr">
        <is>
          <t>VÄRMLANDS LÄN</t>
        </is>
      </c>
      <c r="E2560" t="inlineStr">
        <is>
          <t>FORSHAGA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18229-2020</t>
        </is>
      </c>
      <c r="B2561" s="1" t="n">
        <v>43928</v>
      </c>
      <c r="C2561" s="1" t="n">
        <v>45736</v>
      </c>
      <c r="D2561" t="inlineStr">
        <is>
          <t>VÄRMLANDS LÄN</t>
        </is>
      </c>
      <c r="E2561" t="inlineStr">
        <is>
          <t>KARLSTAD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18258-2020</t>
        </is>
      </c>
      <c r="B2562" s="1" t="n">
        <v>43928</v>
      </c>
      <c r="C2562" s="1" t="n">
        <v>45736</v>
      </c>
      <c r="D2562" t="inlineStr">
        <is>
          <t>VÄRMLANDS LÄN</t>
        </is>
      </c>
      <c r="E2562" t="inlineStr">
        <is>
          <t>FORSHAGA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18641-2020</t>
        </is>
      </c>
      <c r="B2563" s="1" t="n">
        <v>43928</v>
      </c>
      <c r="C2563" s="1" t="n">
        <v>45736</v>
      </c>
      <c r="D2563" t="inlineStr">
        <is>
          <t>VÄRMLANDS LÄN</t>
        </is>
      </c>
      <c r="E2563" t="inlineStr">
        <is>
          <t>TORSBY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18473-2020</t>
        </is>
      </c>
      <c r="B2564" s="1" t="n">
        <v>43929</v>
      </c>
      <c r="C2564" s="1" t="n">
        <v>45736</v>
      </c>
      <c r="D2564" t="inlineStr">
        <is>
          <t>VÄRMLANDS LÄN</t>
        </is>
      </c>
      <c r="E2564" t="inlineStr">
        <is>
          <t>SUNNE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18523-2020</t>
        </is>
      </c>
      <c r="B2565" s="1" t="n">
        <v>43929</v>
      </c>
      <c r="C2565" s="1" t="n">
        <v>45736</v>
      </c>
      <c r="D2565" t="inlineStr">
        <is>
          <t>VÄRMLANDS LÄN</t>
        </is>
      </c>
      <c r="E2565" t="inlineStr">
        <is>
          <t>KIL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18456-2020</t>
        </is>
      </c>
      <c r="B2566" s="1" t="n">
        <v>43929</v>
      </c>
      <c r="C2566" s="1" t="n">
        <v>45736</v>
      </c>
      <c r="D2566" t="inlineStr">
        <is>
          <t>VÄRMLANDS LÄN</t>
        </is>
      </c>
      <c r="E2566" t="inlineStr">
        <is>
          <t>SUNNE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18483-2020</t>
        </is>
      </c>
      <c r="B2567" s="1" t="n">
        <v>43929</v>
      </c>
      <c r="C2567" s="1" t="n">
        <v>45736</v>
      </c>
      <c r="D2567" t="inlineStr">
        <is>
          <t>VÄRMLANDS LÄN</t>
        </is>
      </c>
      <c r="E2567" t="inlineStr">
        <is>
          <t>SUNNE</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18600-2020</t>
        </is>
      </c>
      <c r="B2568" s="1" t="n">
        <v>43929</v>
      </c>
      <c r="C2568" s="1" t="n">
        <v>45736</v>
      </c>
      <c r="D2568" t="inlineStr">
        <is>
          <t>VÄRMLANDS LÄN</t>
        </is>
      </c>
      <c r="E2568" t="inlineStr">
        <is>
          <t>HAGFORS</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18942-2020</t>
        </is>
      </c>
      <c r="B2569" s="1" t="n">
        <v>43929</v>
      </c>
      <c r="C2569" s="1" t="n">
        <v>45736</v>
      </c>
      <c r="D2569" t="inlineStr">
        <is>
          <t>VÄRMLANDS LÄN</t>
        </is>
      </c>
      <c r="E2569" t="inlineStr">
        <is>
          <t>KIL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18657-2020</t>
        </is>
      </c>
      <c r="B2570" s="1" t="n">
        <v>43930</v>
      </c>
      <c r="C2570" s="1" t="n">
        <v>45736</v>
      </c>
      <c r="D2570" t="inlineStr">
        <is>
          <t>VÄRMLANDS LÄN</t>
        </is>
      </c>
      <c r="E2570" t="inlineStr">
        <is>
          <t>KRISTINEHAMN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18665-2020</t>
        </is>
      </c>
      <c r="B2571" s="1" t="n">
        <v>43930</v>
      </c>
      <c r="C2571" s="1" t="n">
        <v>45736</v>
      </c>
      <c r="D2571" t="inlineStr">
        <is>
          <t>VÄRMLANDS LÄN</t>
        </is>
      </c>
      <c r="E2571" t="inlineStr">
        <is>
          <t>GRUMS</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18675-2020</t>
        </is>
      </c>
      <c r="B2572" s="1" t="n">
        <v>43930</v>
      </c>
      <c r="C2572" s="1" t="n">
        <v>45736</v>
      </c>
      <c r="D2572" t="inlineStr">
        <is>
          <t>VÄRMLANDS LÄN</t>
        </is>
      </c>
      <c r="E2572" t="inlineStr">
        <is>
          <t>SUNNE</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18618-2020</t>
        </is>
      </c>
      <c r="B2573" s="1" t="n">
        <v>43930</v>
      </c>
      <c r="C2573" s="1" t="n">
        <v>45736</v>
      </c>
      <c r="D2573" t="inlineStr">
        <is>
          <t>VÄRMLANDS LÄN</t>
        </is>
      </c>
      <c r="E2573" t="inlineStr">
        <is>
          <t>EDA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18707-2020</t>
        </is>
      </c>
      <c r="B2574" s="1" t="n">
        <v>43930</v>
      </c>
      <c r="C2574" s="1" t="n">
        <v>45736</v>
      </c>
      <c r="D2574" t="inlineStr">
        <is>
          <t>VÄRMLANDS LÄN</t>
        </is>
      </c>
      <c r="E2574" t="inlineStr">
        <is>
          <t>FILIPSTAD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18659-2020</t>
        </is>
      </c>
      <c r="B2575" s="1" t="n">
        <v>43930</v>
      </c>
      <c r="C2575" s="1" t="n">
        <v>45736</v>
      </c>
      <c r="D2575" t="inlineStr">
        <is>
          <t>VÄRMLANDS LÄN</t>
        </is>
      </c>
      <c r="E2575" t="inlineStr">
        <is>
          <t>KRISTINEHAMN</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18670-2020</t>
        </is>
      </c>
      <c r="B2576" s="1" t="n">
        <v>43930</v>
      </c>
      <c r="C2576" s="1" t="n">
        <v>45736</v>
      </c>
      <c r="D2576" t="inlineStr">
        <is>
          <t>VÄRMLANDS LÄN</t>
        </is>
      </c>
      <c r="E2576" t="inlineStr">
        <is>
          <t>SUNNE</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18688-2020</t>
        </is>
      </c>
      <c r="B2577" s="1" t="n">
        <v>43930</v>
      </c>
      <c r="C2577" s="1" t="n">
        <v>45736</v>
      </c>
      <c r="D2577" t="inlineStr">
        <is>
          <t>VÄRMLANDS LÄN</t>
        </is>
      </c>
      <c r="E2577" t="inlineStr">
        <is>
          <t>KRISTINEHAMN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18769-2020</t>
        </is>
      </c>
      <c r="B2578" s="1" t="n">
        <v>43930</v>
      </c>
      <c r="C2578" s="1" t="n">
        <v>45736</v>
      </c>
      <c r="D2578" t="inlineStr">
        <is>
          <t>VÄRMLANDS LÄN</t>
        </is>
      </c>
      <c r="E2578" t="inlineStr">
        <is>
          <t>TORSBY</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18770-2020</t>
        </is>
      </c>
      <c r="B2579" s="1" t="n">
        <v>43930</v>
      </c>
      <c r="C2579" s="1" t="n">
        <v>45736</v>
      </c>
      <c r="D2579" t="inlineStr">
        <is>
          <t>VÄRMLANDS LÄN</t>
        </is>
      </c>
      <c r="E2579" t="inlineStr">
        <is>
          <t>TORSBY</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18768-2020</t>
        </is>
      </c>
      <c r="B2580" s="1" t="n">
        <v>43930</v>
      </c>
      <c r="C2580" s="1" t="n">
        <v>45736</v>
      </c>
      <c r="D2580" t="inlineStr">
        <is>
          <t>VÄRMLANDS LÄN</t>
        </is>
      </c>
      <c r="E2580" t="inlineStr">
        <is>
          <t>KRISTINEHAMN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18793-2020</t>
        </is>
      </c>
      <c r="B2581" s="1" t="n">
        <v>43932</v>
      </c>
      <c r="C2581" s="1" t="n">
        <v>45736</v>
      </c>
      <c r="D2581" t="inlineStr">
        <is>
          <t>VÄRMLANDS LÄN</t>
        </is>
      </c>
      <c r="E2581" t="inlineStr">
        <is>
          <t>ÅRJÄNG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18804-2020</t>
        </is>
      </c>
      <c r="B2582" s="1" t="n">
        <v>43933</v>
      </c>
      <c r="C2582" s="1" t="n">
        <v>45736</v>
      </c>
      <c r="D2582" t="inlineStr">
        <is>
          <t>VÄRMLANDS LÄN</t>
        </is>
      </c>
      <c r="E2582" t="inlineStr">
        <is>
          <t>FILIPSTAD</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18890-2020</t>
        </is>
      </c>
      <c r="B2583" s="1" t="n">
        <v>43935</v>
      </c>
      <c r="C2583" s="1" t="n">
        <v>45736</v>
      </c>
      <c r="D2583" t="inlineStr">
        <is>
          <t>VÄRMLANDS LÄN</t>
        </is>
      </c>
      <c r="E2583" t="inlineStr">
        <is>
          <t>SUNNE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18972-2020</t>
        </is>
      </c>
      <c r="B2584" s="1" t="n">
        <v>43935</v>
      </c>
      <c r="C2584" s="1" t="n">
        <v>45736</v>
      </c>
      <c r="D2584" t="inlineStr">
        <is>
          <t>VÄRMLANDS LÄN</t>
        </is>
      </c>
      <c r="E2584" t="inlineStr">
        <is>
          <t>TORSBY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19007-2020</t>
        </is>
      </c>
      <c r="B2585" s="1" t="n">
        <v>43936</v>
      </c>
      <c r="C2585" s="1" t="n">
        <v>45736</v>
      </c>
      <c r="D2585" t="inlineStr">
        <is>
          <t>VÄRMLANDS LÄN</t>
        </is>
      </c>
      <c r="E2585" t="inlineStr">
        <is>
          <t>EDA</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19032-2020</t>
        </is>
      </c>
      <c r="B2586" s="1" t="n">
        <v>43936</v>
      </c>
      <c r="C2586" s="1" t="n">
        <v>45736</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19133-2020</t>
        </is>
      </c>
      <c r="B2587" s="1" t="n">
        <v>43936</v>
      </c>
      <c r="C2587" s="1" t="n">
        <v>45736</v>
      </c>
      <c r="D2587" t="inlineStr">
        <is>
          <t>VÄRMLANDS LÄN</t>
        </is>
      </c>
      <c r="E2587" t="inlineStr">
        <is>
          <t>KIL</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19282-2020</t>
        </is>
      </c>
      <c r="B2588" s="1" t="n">
        <v>43937</v>
      </c>
      <c r="C2588" s="1" t="n">
        <v>45736</v>
      </c>
      <c r="D2588" t="inlineStr">
        <is>
          <t>VÄRMLANDS LÄN</t>
        </is>
      </c>
      <c r="E2588" t="inlineStr">
        <is>
          <t>FILIPSTAD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19296-2020</t>
        </is>
      </c>
      <c r="B2589" s="1" t="n">
        <v>43937</v>
      </c>
      <c r="C2589" s="1" t="n">
        <v>45736</v>
      </c>
      <c r="D2589" t="inlineStr">
        <is>
          <t>VÄRMLANDS LÄN</t>
        </is>
      </c>
      <c r="E2589" t="inlineStr">
        <is>
          <t>SUNNE</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19181-2020</t>
        </is>
      </c>
      <c r="B2590" s="1" t="n">
        <v>43937</v>
      </c>
      <c r="C2590" s="1" t="n">
        <v>45736</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19376-2020</t>
        </is>
      </c>
      <c r="B2591" s="1" t="n">
        <v>43938</v>
      </c>
      <c r="C2591" s="1" t="n">
        <v>45736</v>
      </c>
      <c r="D2591" t="inlineStr">
        <is>
          <t>VÄRMLANDS LÄN</t>
        </is>
      </c>
      <c r="E2591" t="inlineStr">
        <is>
          <t>SUNNE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19486-2020</t>
        </is>
      </c>
      <c r="B2592" s="1" t="n">
        <v>43938</v>
      </c>
      <c r="C2592" s="1" t="n">
        <v>45736</v>
      </c>
      <c r="D2592" t="inlineStr">
        <is>
          <t>VÄRMLANDS LÄN</t>
        </is>
      </c>
      <c r="E2592" t="inlineStr">
        <is>
          <t>GRUMS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19384-2020</t>
        </is>
      </c>
      <c r="B2593" s="1" t="n">
        <v>43938</v>
      </c>
      <c r="C2593" s="1" t="n">
        <v>45736</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19483-2020</t>
        </is>
      </c>
      <c r="B2594" s="1" t="n">
        <v>43938</v>
      </c>
      <c r="C2594" s="1" t="n">
        <v>45736</v>
      </c>
      <c r="D2594" t="inlineStr">
        <is>
          <t>VÄRMLANDS LÄN</t>
        </is>
      </c>
      <c r="E2594" t="inlineStr">
        <is>
          <t>GRUMS</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19462-2020</t>
        </is>
      </c>
      <c r="B2595" s="1" t="n">
        <v>43938</v>
      </c>
      <c r="C2595" s="1" t="n">
        <v>45736</v>
      </c>
      <c r="D2595" t="inlineStr">
        <is>
          <t>VÄRMLANDS LÄN</t>
        </is>
      </c>
      <c r="E2595" t="inlineStr">
        <is>
          <t>HAGFORS</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19519-2020</t>
        </is>
      </c>
      <c r="B2596" s="1" t="n">
        <v>43939</v>
      </c>
      <c r="C2596" s="1" t="n">
        <v>45736</v>
      </c>
      <c r="D2596" t="inlineStr">
        <is>
          <t>VÄRMLANDS LÄN</t>
        </is>
      </c>
      <c r="E2596" t="inlineStr">
        <is>
          <t>ARVIKA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19835-2020</t>
        </is>
      </c>
      <c r="B2597" s="1" t="n">
        <v>43940</v>
      </c>
      <c r="C2597" s="1" t="n">
        <v>45736</v>
      </c>
      <c r="D2597" t="inlineStr">
        <is>
          <t>VÄRMLANDS LÄN</t>
        </is>
      </c>
      <c r="E2597" t="inlineStr">
        <is>
          <t>KIL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19887-2020</t>
        </is>
      </c>
      <c r="B2598" s="1" t="n">
        <v>43941</v>
      </c>
      <c r="C2598" s="1" t="n">
        <v>45736</v>
      </c>
      <c r="D2598" t="inlineStr">
        <is>
          <t>VÄRMLANDS LÄN</t>
        </is>
      </c>
      <c r="E2598" t="inlineStr">
        <is>
          <t>MUNKFORS</t>
        </is>
      </c>
      <c r="F2598" t="inlineStr">
        <is>
          <t>Bergvik skog väst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19963-2020</t>
        </is>
      </c>
      <c r="B2599" s="1" t="n">
        <v>43941</v>
      </c>
      <c r="C2599" s="1" t="n">
        <v>45736</v>
      </c>
      <c r="D2599" t="inlineStr">
        <is>
          <t>VÄRMLANDS LÄN</t>
        </is>
      </c>
      <c r="E2599" t="inlineStr">
        <is>
          <t>TORSBY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20025-2020</t>
        </is>
      </c>
      <c r="B2600" s="1" t="n">
        <v>43943</v>
      </c>
      <c r="C2600" s="1" t="n">
        <v>45736</v>
      </c>
      <c r="D2600" t="inlineStr">
        <is>
          <t>VÄRMLANDS LÄN</t>
        </is>
      </c>
      <c r="E2600" t="inlineStr">
        <is>
          <t>TORSBY</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20094-2020</t>
        </is>
      </c>
      <c r="B2601" s="1" t="n">
        <v>43943</v>
      </c>
      <c r="C2601" s="1" t="n">
        <v>45736</v>
      </c>
      <c r="D2601" t="inlineStr">
        <is>
          <t>VÄRMLANDS LÄN</t>
        </is>
      </c>
      <c r="E2601" t="inlineStr">
        <is>
          <t>KIL</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19965-2020</t>
        </is>
      </c>
      <c r="B2602" s="1" t="n">
        <v>43943</v>
      </c>
      <c r="C2602" s="1" t="n">
        <v>45736</v>
      </c>
      <c r="D2602" t="inlineStr">
        <is>
          <t>VÄRMLANDS LÄN</t>
        </is>
      </c>
      <c r="E2602" t="inlineStr">
        <is>
          <t>KRISTINEHAMN</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20107-2020</t>
        </is>
      </c>
      <c r="B2603" s="1" t="n">
        <v>43944</v>
      </c>
      <c r="C2603" s="1" t="n">
        <v>45736</v>
      </c>
      <c r="D2603" t="inlineStr">
        <is>
          <t>VÄRMLANDS LÄN</t>
        </is>
      </c>
      <c r="E2603" t="inlineStr">
        <is>
          <t>HAGFORS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20123-2020</t>
        </is>
      </c>
      <c r="B2604" s="1" t="n">
        <v>43944</v>
      </c>
      <c r="C2604" s="1" t="n">
        <v>45736</v>
      </c>
      <c r="D2604" t="inlineStr">
        <is>
          <t>VÄRMLANDS LÄN</t>
        </is>
      </c>
      <c r="E2604" t="inlineStr">
        <is>
          <t>HAGFORS</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20235-2020</t>
        </is>
      </c>
      <c r="B2605" s="1" t="n">
        <v>43944</v>
      </c>
      <c r="C2605" s="1" t="n">
        <v>45736</v>
      </c>
      <c r="D2605" t="inlineStr">
        <is>
          <t>VÄRMLANDS LÄN</t>
        </is>
      </c>
      <c r="E2605" t="inlineStr">
        <is>
          <t>ARVIKA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20299-2020</t>
        </is>
      </c>
      <c r="B2606" s="1" t="n">
        <v>43944</v>
      </c>
      <c r="C2606" s="1" t="n">
        <v>45736</v>
      </c>
      <c r="D2606" t="inlineStr">
        <is>
          <t>VÄRMLANDS LÄN</t>
        </is>
      </c>
      <c r="E2606" t="inlineStr">
        <is>
          <t>HAGFORS</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20280-2020</t>
        </is>
      </c>
      <c r="B2607" s="1" t="n">
        <v>43945</v>
      </c>
      <c r="C2607" s="1" t="n">
        <v>45736</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20310-2020</t>
        </is>
      </c>
      <c r="B2608" s="1" t="n">
        <v>43945</v>
      </c>
      <c r="C2608" s="1" t="n">
        <v>45736</v>
      </c>
      <c r="D2608" t="inlineStr">
        <is>
          <t>VÄRMLANDS LÄN</t>
        </is>
      </c>
      <c r="E2608" t="inlineStr">
        <is>
          <t>SUNNE</t>
        </is>
      </c>
      <c r="G2608" t="n">
        <v>9.4</v>
      </c>
      <c r="H2608" t="n">
        <v>0</v>
      </c>
      <c r="I2608" t="n">
        <v>0</v>
      </c>
      <c r="J2608" t="n">
        <v>0</v>
      </c>
      <c r="K2608" t="n">
        <v>0</v>
      </c>
      <c r="L2608" t="n">
        <v>0</v>
      </c>
      <c r="M2608" t="n">
        <v>0</v>
      </c>
      <c r="N2608" t="n">
        <v>0</v>
      </c>
      <c r="O2608" t="n">
        <v>0</v>
      </c>
      <c r="P2608" t="n">
        <v>0</v>
      </c>
      <c r="Q2608" t="n">
        <v>0</v>
      </c>
      <c r="R2608" s="2" t="inlineStr"/>
    </row>
    <row r="2609" ht="15" customHeight="1">
      <c r="A2609" t="inlineStr">
        <is>
          <t>A 20452-2020</t>
        </is>
      </c>
      <c r="B2609" s="1" t="n">
        <v>43945</v>
      </c>
      <c r="C2609" s="1" t="n">
        <v>45736</v>
      </c>
      <c r="D2609" t="inlineStr">
        <is>
          <t>VÄRMLANDS LÄN</t>
        </is>
      </c>
      <c r="E2609" t="inlineStr">
        <is>
          <t>SUNNE</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20789-2020</t>
        </is>
      </c>
      <c r="B2610" s="1" t="n">
        <v>43945</v>
      </c>
      <c r="C2610" s="1" t="n">
        <v>45736</v>
      </c>
      <c r="D2610" t="inlineStr">
        <is>
          <t>VÄRMLANDS LÄN</t>
        </is>
      </c>
      <c r="E2610" t="inlineStr">
        <is>
          <t>SÄFFLE</t>
        </is>
      </c>
      <c r="F2610" t="inlineStr">
        <is>
          <t>Bergvik skog väst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20791-2020</t>
        </is>
      </c>
      <c r="B2611" s="1" t="n">
        <v>43945</v>
      </c>
      <c r="C2611" s="1" t="n">
        <v>45736</v>
      </c>
      <c r="D2611" t="inlineStr">
        <is>
          <t>VÄRMLANDS LÄN</t>
        </is>
      </c>
      <c r="E2611" t="inlineStr">
        <is>
          <t>SÄFFLE</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20564-2020</t>
        </is>
      </c>
      <c r="B2612" s="1" t="n">
        <v>43948</v>
      </c>
      <c r="C2612" s="1" t="n">
        <v>45736</v>
      </c>
      <c r="D2612" t="inlineStr">
        <is>
          <t>VÄRMLANDS LÄN</t>
        </is>
      </c>
      <c r="E2612" t="inlineStr">
        <is>
          <t>ARVIKA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20872-2020</t>
        </is>
      </c>
      <c r="B2613" s="1" t="n">
        <v>43948</v>
      </c>
      <c r="C2613" s="1" t="n">
        <v>45736</v>
      </c>
      <c r="D2613" t="inlineStr">
        <is>
          <t>VÄRMLANDS LÄN</t>
        </is>
      </c>
      <c r="E2613" t="inlineStr">
        <is>
          <t>STORFORS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20870-2020</t>
        </is>
      </c>
      <c r="B2614" s="1" t="n">
        <v>43948</v>
      </c>
      <c r="C2614" s="1" t="n">
        <v>45736</v>
      </c>
      <c r="D2614" t="inlineStr">
        <is>
          <t>VÄRMLANDS LÄN</t>
        </is>
      </c>
      <c r="E2614" t="inlineStr">
        <is>
          <t>STORFORS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20464-2020</t>
        </is>
      </c>
      <c r="B2615" s="1" t="n">
        <v>43948</v>
      </c>
      <c r="C2615" s="1" t="n">
        <v>45736</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20706-2020</t>
        </is>
      </c>
      <c r="B2616" s="1" t="n">
        <v>43949</v>
      </c>
      <c r="C2616" s="1" t="n">
        <v>45736</v>
      </c>
      <c r="D2616" t="inlineStr">
        <is>
          <t>VÄRMLANDS LÄN</t>
        </is>
      </c>
      <c r="E2616" t="inlineStr">
        <is>
          <t>FILIPSTAD</t>
        </is>
      </c>
      <c r="F2616" t="inlineStr">
        <is>
          <t>Bergvik skog väst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20735-2020</t>
        </is>
      </c>
      <c r="B2617" s="1" t="n">
        <v>43949</v>
      </c>
      <c r="C2617" s="1" t="n">
        <v>45736</v>
      </c>
      <c r="D2617" t="inlineStr">
        <is>
          <t>VÄRMLANDS LÄN</t>
        </is>
      </c>
      <c r="E2617" t="inlineStr">
        <is>
          <t>FILIPSTAD</t>
        </is>
      </c>
      <c r="F2617" t="inlineStr">
        <is>
          <t>Bergvik skog väst AB</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20671-2020</t>
        </is>
      </c>
      <c r="B2618" s="1" t="n">
        <v>43949</v>
      </c>
      <c r="C2618" s="1" t="n">
        <v>45736</v>
      </c>
      <c r="D2618" t="inlineStr">
        <is>
          <t>VÄRMLANDS LÄN</t>
        </is>
      </c>
      <c r="E2618" t="inlineStr">
        <is>
          <t>FILIPSTAD</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20744-2020</t>
        </is>
      </c>
      <c r="B2619" s="1" t="n">
        <v>43949</v>
      </c>
      <c r="C2619" s="1" t="n">
        <v>45736</v>
      </c>
      <c r="D2619" t="inlineStr">
        <is>
          <t>VÄRMLANDS LÄN</t>
        </is>
      </c>
      <c r="E2619" t="inlineStr">
        <is>
          <t>FILIPSTAD</t>
        </is>
      </c>
      <c r="F2619" t="inlineStr">
        <is>
          <t>Bergvik skog väst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20753-2020</t>
        </is>
      </c>
      <c r="B2620" s="1" t="n">
        <v>43949</v>
      </c>
      <c r="C2620" s="1" t="n">
        <v>45736</v>
      </c>
      <c r="D2620" t="inlineStr">
        <is>
          <t>VÄRMLANDS LÄN</t>
        </is>
      </c>
      <c r="E2620" t="inlineStr">
        <is>
          <t>FILIPSTAD</t>
        </is>
      </c>
      <c r="F2620" t="inlineStr">
        <is>
          <t>Bergvik skog väst AB</t>
        </is>
      </c>
      <c r="G2620" t="n">
        <v>20.2</v>
      </c>
      <c r="H2620" t="n">
        <v>0</v>
      </c>
      <c r="I2620" t="n">
        <v>0</v>
      </c>
      <c r="J2620" t="n">
        <v>0</v>
      </c>
      <c r="K2620" t="n">
        <v>0</v>
      </c>
      <c r="L2620" t="n">
        <v>0</v>
      </c>
      <c r="M2620" t="n">
        <v>0</v>
      </c>
      <c r="N2620" t="n">
        <v>0</v>
      </c>
      <c r="O2620" t="n">
        <v>0</v>
      </c>
      <c r="P2620" t="n">
        <v>0</v>
      </c>
      <c r="Q2620" t="n">
        <v>0</v>
      </c>
      <c r="R2620" s="2" t="inlineStr"/>
    </row>
    <row r="2621" ht="15" customHeight="1">
      <c r="A2621" t="inlineStr">
        <is>
          <t>A 20670-2020</t>
        </is>
      </c>
      <c r="B2621" s="1" t="n">
        <v>43949</v>
      </c>
      <c r="C2621" s="1" t="n">
        <v>45736</v>
      </c>
      <c r="D2621" t="inlineStr">
        <is>
          <t>VÄRMLANDS LÄN</t>
        </is>
      </c>
      <c r="E2621" t="inlineStr">
        <is>
          <t>FILIPSTAD</t>
        </is>
      </c>
      <c r="F2621" t="inlineStr">
        <is>
          <t>Bergvik skog väst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20702-2020</t>
        </is>
      </c>
      <c r="B2622" s="1" t="n">
        <v>43949</v>
      </c>
      <c r="C2622" s="1" t="n">
        <v>45736</v>
      </c>
      <c r="D2622" t="inlineStr">
        <is>
          <t>VÄRMLANDS LÄN</t>
        </is>
      </c>
      <c r="E2622" t="inlineStr">
        <is>
          <t>FILIPSTAD</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20709-2020</t>
        </is>
      </c>
      <c r="B2623" s="1" t="n">
        <v>43949</v>
      </c>
      <c r="C2623" s="1" t="n">
        <v>45736</v>
      </c>
      <c r="D2623" t="inlineStr">
        <is>
          <t>VÄRMLANDS LÄN</t>
        </is>
      </c>
      <c r="E2623" t="inlineStr">
        <is>
          <t>FILIPSTAD</t>
        </is>
      </c>
      <c r="F2623" t="inlineStr">
        <is>
          <t>Bergvik skog väst AB</t>
        </is>
      </c>
      <c r="G2623" t="n">
        <v>10.1</v>
      </c>
      <c r="H2623" t="n">
        <v>0</v>
      </c>
      <c r="I2623" t="n">
        <v>0</v>
      </c>
      <c r="J2623" t="n">
        <v>0</v>
      </c>
      <c r="K2623" t="n">
        <v>0</v>
      </c>
      <c r="L2623" t="n">
        <v>0</v>
      </c>
      <c r="M2623" t="n">
        <v>0</v>
      </c>
      <c r="N2623" t="n">
        <v>0</v>
      </c>
      <c r="O2623" t="n">
        <v>0</v>
      </c>
      <c r="P2623" t="n">
        <v>0</v>
      </c>
      <c r="Q2623" t="n">
        <v>0</v>
      </c>
      <c r="R2623" s="2" t="inlineStr"/>
    </row>
    <row r="2624" ht="15" customHeight="1">
      <c r="A2624" t="inlineStr">
        <is>
          <t>A 20726-2020</t>
        </is>
      </c>
      <c r="B2624" s="1" t="n">
        <v>43949</v>
      </c>
      <c r="C2624" s="1" t="n">
        <v>45736</v>
      </c>
      <c r="D2624" t="inlineStr">
        <is>
          <t>VÄRMLANDS LÄN</t>
        </is>
      </c>
      <c r="E2624" t="inlineStr">
        <is>
          <t>FILIPSTAD</t>
        </is>
      </c>
      <c r="F2624" t="inlineStr">
        <is>
          <t>Bergvik skog väst AB</t>
        </is>
      </c>
      <c r="G2624" t="n">
        <v>16.6</v>
      </c>
      <c r="H2624" t="n">
        <v>0</v>
      </c>
      <c r="I2624" t="n">
        <v>0</v>
      </c>
      <c r="J2624" t="n">
        <v>0</v>
      </c>
      <c r="K2624" t="n">
        <v>0</v>
      </c>
      <c r="L2624" t="n">
        <v>0</v>
      </c>
      <c r="M2624" t="n">
        <v>0</v>
      </c>
      <c r="N2624" t="n">
        <v>0</v>
      </c>
      <c r="O2624" t="n">
        <v>0</v>
      </c>
      <c r="P2624" t="n">
        <v>0</v>
      </c>
      <c r="Q2624" t="n">
        <v>0</v>
      </c>
      <c r="R2624" s="2" t="inlineStr"/>
    </row>
    <row r="2625" ht="15" customHeight="1">
      <c r="A2625" t="inlineStr">
        <is>
          <t>A 20751-2020</t>
        </is>
      </c>
      <c r="B2625" s="1" t="n">
        <v>43949</v>
      </c>
      <c r="C2625" s="1" t="n">
        <v>45736</v>
      </c>
      <c r="D2625" t="inlineStr">
        <is>
          <t>VÄRMLANDS LÄN</t>
        </is>
      </c>
      <c r="E2625" t="inlineStr">
        <is>
          <t>FILIPSTAD</t>
        </is>
      </c>
      <c r="F2625" t="inlineStr">
        <is>
          <t>Bergvik skog väst AB</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20720-2020</t>
        </is>
      </c>
      <c r="B2626" s="1" t="n">
        <v>43949</v>
      </c>
      <c r="C2626" s="1" t="n">
        <v>45736</v>
      </c>
      <c r="D2626" t="inlineStr">
        <is>
          <t>VÄRMLANDS LÄN</t>
        </is>
      </c>
      <c r="E2626" t="inlineStr">
        <is>
          <t>EDA</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20734-2020</t>
        </is>
      </c>
      <c r="B2627" s="1" t="n">
        <v>43949</v>
      </c>
      <c r="C2627" s="1" t="n">
        <v>45736</v>
      </c>
      <c r="D2627" t="inlineStr">
        <is>
          <t>VÄRMLANDS LÄN</t>
        </is>
      </c>
      <c r="E2627" t="inlineStr">
        <is>
          <t>EDA</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20741-2020</t>
        </is>
      </c>
      <c r="B2628" s="1" t="n">
        <v>43949</v>
      </c>
      <c r="C2628" s="1" t="n">
        <v>45736</v>
      </c>
      <c r="D2628" t="inlineStr">
        <is>
          <t>VÄRMLANDS LÄN</t>
        </is>
      </c>
      <c r="E2628" t="inlineStr">
        <is>
          <t>FILIPSTAD</t>
        </is>
      </c>
      <c r="F2628" t="inlineStr">
        <is>
          <t>Bergvik skog väst AB</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20756-2020</t>
        </is>
      </c>
      <c r="B2629" s="1" t="n">
        <v>43949</v>
      </c>
      <c r="C2629" s="1" t="n">
        <v>45736</v>
      </c>
      <c r="D2629" t="inlineStr">
        <is>
          <t>VÄRMLANDS LÄN</t>
        </is>
      </c>
      <c r="E2629" t="inlineStr">
        <is>
          <t>HAGFORS</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21000-2020</t>
        </is>
      </c>
      <c r="B2630" s="1" t="n">
        <v>43949</v>
      </c>
      <c r="C2630" s="1" t="n">
        <v>45736</v>
      </c>
      <c r="D2630" t="inlineStr">
        <is>
          <t>VÄRMLANDS LÄN</t>
        </is>
      </c>
      <c r="E2630" t="inlineStr">
        <is>
          <t>KRISTINEHAMN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20798-2020</t>
        </is>
      </c>
      <c r="B2631" s="1" t="n">
        <v>43949</v>
      </c>
      <c r="C2631" s="1" t="n">
        <v>45736</v>
      </c>
      <c r="D2631" t="inlineStr">
        <is>
          <t>VÄRMLANDS LÄN</t>
        </is>
      </c>
      <c r="E2631" t="inlineStr">
        <is>
          <t>ARVIKA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20729-2020</t>
        </is>
      </c>
      <c r="B2632" s="1" t="n">
        <v>43949</v>
      </c>
      <c r="C2632" s="1" t="n">
        <v>45736</v>
      </c>
      <c r="D2632" t="inlineStr">
        <is>
          <t>VÄRMLANDS LÄN</t>
        </is>
      </c>
      <c r="E2632" t="inlineStr">
        <is>
          <t>FILIPSTAD</t>
        </is>
      </c>
      <c r="F2632" t="inlineStr">
        <is>
          <t>Bergvik skog väst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20999-2020</t>
        </is>
      </c>
      <c r="B2633" s="1" t="n">
        <v>43949</v>
      </c>
      <c r="C2633" s="1" t="n">
        <v>45736</v>
      </c>
      <c r="D2633" t="inlineStr">
        <is>
          <t>VÄRMLANDS LÄN</t>
        </is>
      </c>
      <c r="E2633" t="inlineStr">
        <is>
          <t>SUNNE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20886-2020</t>
        </is>
      </c>
      <c r="B2634" s="1" t="n">
        <v>43950</v>
      </c>
      <c r="C2634" s="1" t="n">
        <v>45736</v>
      </c>
      <c r="D2634" t="inlineStr">
        <is>
          <t>VÄRMLANDS LÄN</t>
        </is>
      </c>
      <c r="E2634" t="inlineStr">
        <is>
          <t>SUNNE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20914-2020</t>
        </is>
      </c>
      <c r="B2635" s="1" t="n">
        <v>43950</v>
      </c>
      <c r="C2635" s="1" t="n">
        <v>45736</v>
      </c>
      <c r="D2635" t="inlineStr">
        <is>
          <t>VÄRMLANDS LÄN</t>
        </is>
      </c>
      <c r="E2635" t="inlineStr">
        <is>
          <t>SUNNE</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20945-2020</t>
        </is>
      </c>
      <c r="B2636" s="1" t="n">
        <v>43950</v>
      </c>
      <c r="C2636" s="1" t="n">
        <v>45736</v>
      </c>
      <c r="D2636" t="inlineStr">
        <is>
          <t>VÄRMLANDS LÄN</t>
        </is>
      </c>
      <c r="E2636" t="inlineStr">
        <is>
          <t>KARLSTAD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20910-2020</t>
        </is>
      </c>
      <c r="B2637" s="1" t="n">
        <v>43950</v>
      </c>
      <c r="C2637" s="1" t="n">
        <v>45736</v>
      </c>
      <c r="D2637" t="inlineStr">
        <is>
          <t>VÄRMLANDS LÄN</t>
        </is>
      </c>
      <c r="E2637" t="inlineStr">
        <is>
          <t>SUNNE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20959-2020</t>
        </is>
      </c>
      <c r="B2638" s="1" t="n">
        <v>43950</v>
      </c>
      <c r="C2638" s="1" t="n">
        <v>45736</v>
      </c>
      <c r="D2638" t="inlineStr">
        <is>
          <t>VÄRMLANDS LÄN</t>
        </is>
      </c>
      <c r="E2638" t="inlineStr">
        <is>
          <t>KARLSTAD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21103-2020</t>
        </is>
      </c>
      <c r="B2639" s="1" t="n">
        <v>43950</v>
      </c>
      <c r="C2639" s="1" t="n">
        <v>45736</v>
      </c>
      <c r="D2639" t="inlineStr">
        <is>
          <t>VÄRMLANDS LÄN</t>
        </is>
      </c>
      <c r="E2639" t="inlineStr">
        <is>
          <t>GRUMS</t>
        </is>
      </c>
      <c r="F2639" t="inlineStr">
        <is>
          <t>Bergvik skog väst AB</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20898-2020</t>
        </is>
      </c>
      <c r="B2640" s="1" t="n">
        <v>43950</v>
      </c>
      <c r="C2640" s="1" t="n">
        <v>45736</v>
      </c>
      <c r="D2640" t="inlineStr">
        <is>
          <t>VÄRMLANDS LÄN</t>
        </is>
      </c>
      <c r="E2640" t="inlineStr">
        <is>
          <t>ARVIKA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21099-2020</t>
        </is>
      </c>
      <c r="B2641" s="1" t="n">
        <v>43951</v>
      </c>
      <c r="C2641" s="1" t="n">
        <v>45736</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21335-2020</t>
        </is>
      </c>
      <c r="B2642" s="1" t="n">
        <v>43951</v>
      </c>
      <c r="C2642" s="1" t="n">
        <v>45736</v>
      </c>
      <c r="D2642" t="inlineStr">
        <is>
          <t>VÄRMLANDS LÄN</t>
        </is>
      </c>
      <c r="E2642" t="inlineStr">
        <is>
          <t>TORSBY</t>
        </is>
      </c>
      <c r="F2642" t="inlineStr">
        <is>
          <t>Övriga Aktiebolag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21369-2020</t>
        </is>
      </c>
      <c r="B2643" s="1" t="n">
        <v>43951</v>
      </c>
      <c r="C2643" s="1" t="n">
        <v>45736</v>
      </c>
      <c r="D2643" t="inlineStr">
        <is>
          <t>VÄRMLANDS LÄN</t>
        </is>
      </c>
      <c r="E2643" t="inlineStr">
        <is>
          <t>TORSBY</t>
        </is>
      </c>
      <c r="F2643" t="inlineStr">
        <is>
          <t>Övriga Aktiebolag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21045-2020</t>
        </is>
      </c>
      <c r="B2644" s="1" t="n">
        <v>43951</v>
      </c>
      <c r="C2644" s="1" t="n">
        <v>45736</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21347-2020</t>
        </is>
      </c>
      <c r="B2645" s="1" t="n">
        <v>43951</v>
      </c>
      <c r="C2645" s="1" t="n">
        <v>45736</v>
      </c>
      <c r="D2645" t="inlineStr">
        <is>
          <t>VÄRMLANDS LÄN</t>
        </is>
      </c>
      <c r="E2645" t="inlineStr">
        <is>
          <t>TORSBY</t>
        </is>
      </c>
      <c r="F2645" t="inlineStr">
        <is>
          <t>Övriga Aktiebolag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21479-2020</t>
        </is>
      </c>
      <c r="B2646" s="1" t="n">
        <v>43951</v>
      </c>
      <c r="C2646" s="1" t="n">
        <v>45736</v>
      </c>
      <c r="D2646" t="inlineStr">
        <is>
          <t>VÄRMLANDS LÄN</t>
        </is>
      </c>
      <c r="E2646" t="inlineStr">
        <is>
          <t>SUNNE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21230-2020</t>
        </is>
      </c>
      <c r="B2647" s="1" t="n">
        <v>43952</v>
      </c>
      <c r="C2647" s="1" t="n">
        <v>45736</v>
      </c>
      <c r="D2647" t="inlineStr">
        <is>
          <t>VÄRMLANDS LÄN</t>
        </is>
      </c>
      <c r="E2647" t="inlineStr">
        <is>
          <t>GRUMS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21346-2020</t>
        </is>
      </c>
      <c r="B2648" s="1" t="n">
        <v>43955</v>
      </c>
      <c r="C2648" s="1" t="n">
        <v>45736</v>
      </c>
      <c r="D2648" t="inlineStr">
        <is>
          <t>VÄRMLANDS LÄN</t>
        </is>
      </c>
      <c r="E2648" t="inlineStr">
        <is>
          <t>SUNNE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21386-2020</t>
        </is>
      </c>
      <c r="B2649" s="1" t="n">
        <v>43955</v>
      </c>
      <c r="C2649" s="1" t="n">
        <v>45736</v>
      </c>
      <c r="D2649" t="inlineStr">
        <is>
          <t>VÄRMLANDS LÄN</t>
        </is>
      </c>
      <c r="E2649" t="inlineStr">
        <is>
          <t>KIL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21900-2020</t>
        </is>
      </c>
      <c r="B2650" s="1" t="n">
        <v>43955</v>
      </c>
      <c r="C2650" s="1" t="n">
        <v>45736</v>
      </c>
      <c r="D2650" t="inlineStr">
        <is>
          <t>VÄRMLANDS LÄN</t>
        </is>
      </c>
      <c r="E2650" t="inlineStr">
        <is>
          <t>TORSBY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22211-2020</t>
        </is>
      </c>
      <c r="B2651" s="1" t="n">
        <v>43955</v>
      </c>
      <c r="C2651" s="1" t="n">
        <v>45736</v>
      </c>
      <c r="D2651" t="inlineStr">
        <is>
          <t>VÄRMLANDS LÄN</t>
        </is>
      </c>
      <c r="E2651" t="inlineStr">
        <is>
          <t>KRISTINEHAMN</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21256-2020</t>
        </is>
      </c>
      <c r="B2652" s="1" t="n">
        <v>43955</v>
      </c>
      <c r="C2652" s="1" t="n">
        <v>45736</v>
      </c>
      <c r="D2652" t="inlineStr">
        <is>
          <t>VÄRMLANDS LÄN</t>
        </is>
      </c>
      <c r="E2652" t="inlineStr">
        <is>
          <t>ÅRJÄNG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21397-2020</t>
        </is>
      </c>
      <c r="B2653" s="1" t="n">
        <v>43955</v>
      </c>
      <c r="C2653" s="1" t="n">
        <v>45736</v>
      </c>
      <c r="D2653" t="inlineStr">
        <is>
          <t>VÄRMLANDS LÄN</t>
        </is>
      </c>
      <c r="E2653" t="inlineStr">
        <is>
          <t>KIL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21943-2020</t>
        </is>
      </c>
      <c r="B2654" s="1" t="n">
        <v>43955</v>
      </c>
      <c r="C2654" s="1" t="n">
        <v>45736</v>
      </c>
      <c r="D2654" t="inlineStr">
        <is>
          <t>VÄRMLANDS LÄN</t>
        </is>
      </c>
      <c r="E2654" t="inlineStr">
        <is>
          <t>KRISTINEHAMN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22215-2020</t>
        </is>
      </c>
      <c r="B2655" s="1" t="n">
        <v>43955</v>
      </c>
      <c r="C2655" s="1" t="n">
        <v>45736</v>
      </c>
      <c r="D2655" t="inlineStr">
        <is>
          <t>VÄRMLANDS LÄN</t>
        </is>
      </c>
      <c r="E2655" t="inlineStr">
        <is>
          <t>KRISTINEHAMN</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22223-2020</t>
        </is>
      </c>
      <c r="B2656" s="1" t="n">
        <v>43955</v>
      </c>
      <c r="C2656" s="1" t="n">
        <v>45736</v>
      </c>
      <c r="D2656" t="inlineStr">
        <is>
          <t>VÄRMLANDS LÄN</t>
        </is>
      </c>
      <c r="E2656" t="inlineStr">
        <is>
          <t>KRISTINEHAMN</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21540-2020</t>
        </is>
      </c>
      <c r="B2657" s="1" t="n">
        <v>43956</v>
      </c>
      <c r="C2657" s="1" t="n">
        <v>45736</v>
      </c>
      <c r="D2657" t="inlineStr">
        <is>
          <t>VÄRMLANDS LÄN</t>
        </is>
      </c>
      <c r="E2657" t="inlineStr">
        <is>
          <t>STORFORS</t>
        </is>
      </c>
      <c r="F2657" t="inlineStr">
        <is>
          <t>Bergvik skog väst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21439-2020</t>
        </is>
      </c>
      <c r="B2658" s="1" t="n">
        <v>43956</v>
      </c>
      <c r="C2658" s="1" t="n">
        <v>45736</v>
      </c>
      <c r="D2658" t="inlineStr">
        <is>
          <t>VÄRMLANDS LÄN</t>
        </is>
      </c>
      <c r="E2658" t="inlineStr">
        <is>
          <t>SUNNE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21585-2020</t>
        </is>
      </c>
      <c r="B2659" s="1" t="n">
        <v>43956</v>
      </c>
      <c r="C2659" s="1" t="n">
        <v>45736</v>
      </c>
      <c r="D2659" t="inlineStr">
        <is>
          <t>VÄRMLANDS LÄN</t>
        </is>
      </c>
      <c r="E2659" t="inlineStr">
        <is>
          <t>SÄFFLE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21578-2020</t>
        </is>
      </c>
      <c r="B2660" s="1" t="n">
        <v>43956</v>
      </c>
      <c r="C2660" s="1" t="n">
        <v>45736</v>
      </c>
      <c r="D2660" t="inlineStr">
        <is>
          <t>VÄRMLANDS LÄN</t>
        </is>
      </c>
      <c r="E2660" t="inlineStr">
        <is>
          <t>KRISTINEHAMN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21659-2020</t>
        </is>
      </c>
      <c r="B2661" s="1" t="n">
        <v>43957</v>
      </c>
      <c r="C2661" s="1" t="n">
        <v>45736</v>
      </c>
      <c r="D2661" t="inlineStr">
        <is>
          <t>VÄRMLANDS LÄN</t>
        </is>
      </c>
      <c r="E2661" t="inlineStr">
        <is>
          <t>SUNNE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21672-2020</t>
        </is>
      </c>
      <c r="B2662" s="1" t="n">
        <v>43957</v>
      </c>
      <c r="C2662" s="1" t="n">
        <v>45736</v>
      </c>
      <c r="D2662" t="inlineStr">
        <is>
          <t>VÄRMLANDS LÄN</t>
        </is>
      </c>
      <c r="E2662" t="inlineStr">
        <is>
          <t>TORSBY</t>
        </is>
      </c>
      <c r="F2662" t="inlineStr">
        <is>
          <t>Bergvik skog väst AB</t>
        </is>
      </c>
      <c r="G2662" t="n">
        <v>44.1</v>
      </c>
      <c r="H2662" t="n">
        <v>0</v>
      </c>
      <c r="I2662" t="n">
        <v>0</v>
      </c>
      <c r="J2662" t="n">
        <v>0</v>
      </c>
      <c r="K2662" t="n">
        <v>0</v>
      </c>
      <c r="L2662" t="n">
        <v>0</v>
      </c>
      <c r="M2662" t="n">
        <v>0</v>
      </c>
      <c r="N2662" t="n">
        <v>0</v>
      </c>
      <c r="O2662" t="n">
        <v>0</v>
      </c>
      <c r="P2662" t="n">
        <v>0</v>
      </c>
      <c r="Q2662" t="n">
        <v>0</v>
      </c>
      <c r="R2662" s="2" t="inlineStr"/>
    </row>
    <row r="2663" ht="15" customHeight="1">
      <c r="A2663" t="inlineStr">
        <is>
          <t>A 21790-2020</t>
        </is>
      </c>
      <c r="B2663" s="1" t="n">
        <v>43958</v>
      </c>
      <c r="C2663" s="1" t="n">
        <v>45736</v>
      </c>
      <c r="D2663" t="inlineStr">
        <is>
          <t>VÄRMLANDS LÄN</t>
        </is>
      </c>
      <c r="E2663" t="inlineStr">
        <is>
          <t>GRUMS</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21872-2020</t>
        </is>
      </c>
      <c r="B2664" s="1" t="n">
        <v>43958</v>
      </c>
      <c r="C2664" s="1" t="n">
        <v>45736</v>
      </c>
      <c r="D2664" t="inlineStr">
        <is>
          <t>VÄRMLANDS LÄN</t>
        </is>
      </c>
      <c r="E2664" t="inlineStr">
        <is>
          <t>SUNNE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22424-2020</t>
        </is>
      </c>
      <c r="B2665" s="1" t="n">
        <v>43958</v>
      </c>
      <c r="C2665" s="1" t="n">
        <v>45736</v>
      </c>
      <c r="D2665" t="inlineStr">
        <is>
          <t>VÄRMLANDS LÄN</t>
        </is>
      </c>
      <c r="E2665" t="inlineStr">
        <is>
          <t>SUNNE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22086-2020</t>
        </is>
      </c>
      <c r="B2666" s="1" t="n">
        <v>43959</v>
      </c>
      <c r="C2666" s="1" t="n">
        <v>45736</v>
      </c>
      <c r="D2666" t="inlineStr">
        <is>
          <t>VÄRMLANDS LÄN</t>
        </is>
      </c>
      <c r="E2666" t="inlineStr">
        <is>
          <t>FILIPSTAD</t>
        </is>
      </c>
      <c r="F2666" t="inlineStr">
        <is>
          <t>Bergvik skog väst AB</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22125-2020</t>
        </is>
      </c>
      <c r="B2667" s="1" t="n">
        <v>43960</v>
      </c>
      <c r="C2667" s="1" t="n">
        <v>45736</v>
      </c>
      <c r="D2667" t="inlineStr">
        <is>
          <t>VÄRMLANDS LÄN</t>
        </is>
      </c>
      <c r="E2667" t="inlineStr">
        <is>
          <t>FILIPSTAD</t>
        </is>
      </c>
      <c r="F2667" t="inlineStr">
        <is>
          <t>Bergvik skog väst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22134-2020</t>
        </is>
      </c>
      <c r="B2668" s="1" t="n">
        <v>43961</v>
      </c>
      <c r="C2668" s="1" t="n">
        <v>45736</v>
      </c>
      <c r="D2668" t="inlineStr">
        <is>
          <t>VÄRMLANDS LÄN</t>
        </is>
      </c>
      <c r="E2668" t="inlineStr">
        <is>
          <t>SUNNE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22194-2020</t>
        </is>
      </c>
      <c r="B2669" s="1" t="n">
        <v>43962</v>
      </c>
      <c r="C2669" s="1" t="n">
        <v>45736</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22200-2020</t>
        </is>
      </c>
      <c r="B2670" s="1" t="n">
        <v>43962</v>
      </c>
      <c r="C2670" s="1" t="n">
        <v>45736</v>
      </c>
      <c r="D2670" t="inlineStr">
        <is>
          <t>VÄRMLANDS LÄN</t>
        </is>
      </c>
      <c r="E2670" t="inlineStr">
        <is>
          <t>KARLSTAD</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22198-2020</t>
        </is>
      </c>
      <c r="B2671" s="1" t="n">
        <v>43962</v>
      </c>
      <c r="C2671" s="1" t="n">
        <v>45736</v>
      </c>
      <c r="D2671" t="inlineStr">
        <is>
          <t>VÄRMLANDS LÄN</t>
        </is>
      </c>
      <c r="E2671" t="inlineStr">
        <is>
          <t>KARLSTAD</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22209-2020</t>
        </is>
      </c>
      <c r="B2672" s="1" t="n">
        <v>43962</v>
      </c>
      <c r="C2672" s="1" t="n">
        <v>45736</v>
      </c>
      <c r="D2672" t="inlineStr">
        <is>
          <t>VÄRMLANDS LÄN</t>
        </is>
      </c>
      <c r="E2672" t="inlineStr">
        <is>
          <t>TORSBY</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22725-2020</t>
        </is>
      </c>
      <c r="B2673" s="1" t="n">
        <v>43962</v>
      </c>
      <c r="C2673" s="1" t="n">
        <v>45736</v>
      </c>
      <c r="D2673" t="inlineStr">
        <is>
          <t>VÄRMLANDS LÄN</t>
        </is>
      </c>
      <c r="E2673" t="inlineStr">
        <is>
          <t>HAGFORS</t>
        </is>
      </c>
      <c r="F2673" t="inlineStr">
        <is>
          <t>Kyrkan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22724-2020</t>
        </is>
      </c>
      <c r="B2674" s="1" t="n">
        <v>43962</v>
      </c>
      <c r="C2674" s="1" t="n">
        <v>45736</v>
      </c>
      <c r="D2674" t="inlineStr">
        <is>
          <t>VÄRMLANDS LÄN</t>
        </is>
      </c>
      <c r="E2674" t="inlineStr">
        <is>
          <t>HAGFORS</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22527-2020</t>
        </is>
      </c>
      <c r="B2675" s="1" t="n">
        <v>43963</v>
      </c>
      <c r="C2675" s="1" t="n">
        <v>45736</v>
      </c>
      <c r="D2675" t="inlineStr">
        <is>
          <t>VÄRMLANDS LÄN</t>
        </is>
      </c>
      <c r="E2675" t="inlineStr">
        <is>
          <t>STORFORS</t>
        </is>
      </c>
      <c r="F2675" t="inlineStr">
        <is>
          <t>Bergvik skog väst AB</t>
        </is>
      </c>
      <c r="G2675" t="n">
        <v>64.3</v>
      </c>
      <c r="H2675" t="n">
        <v>0</v>
      </c>
      <c r="I2675" t="n">
        <v>0</v>
      </c>
      <c r="J2675" t="n">
        <v>0</v>
      </c>
      <c r="K2675" t="n">
        <v>0</v>
      </c>
      <c r="L2675" t="n">
        <v>0</v>
      </c>
      <c r="M2675" t="n">
        <v>0</v>
      </c>
      <c r="N2675" t="n">
        <v>0</v>
      </c>
      <c r="O2675" t="n">
        <v>0</v>
      </c>
      <c r="P2675" t="n">
        <v>0</v>
      </c>
      <c r="Q2675" t="n">
        <v>0</v>
      </c>
      <c r="R2675" s="2" t="inlineStr"/>
    </row>
    <row r="2676" ht="15" customHeight="1">
      <c r="A2676" t="inlineStr">
        <is>
          <t>A 22513-2020</t>
        </is>
      </c>
      <c r="B2676" s="1" t="n">
        <v>43963</v>
      </c>
      <c r="C2676" s="1" t="n">
        <v>45736</v>
      </c>
      <c r="D2676" t="inlineStr">
        <is>
          <t>VÄRMLANDS LÄN</t>
        </is>
      </c>
      <c r="E2676" t="inlineStr">
        <is>
          <t>KARLSTAD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22584-2020</t>
        </is>
      </c>
      <c r="B2677" s="1" t="n">
        <v>43963</v>
      </c>
      <c r="C2677" s="1" t="n">
        <v>45736</v>
      </c>
      <c r="D2677" t="inlineStr">
        <is>
          <t>VÄRMLANDS LÄN</t>
        </is>
      </c>
      <c r="E2677" t="inlineStr">
        <is>
          <t>ÅRJÄNG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22600-2020</t>
        </is>
      </c>
      <c r="B2678" s="1" t="n">
        <v>43963</v>
      </c>
      <c r="C2678" s="1" t="n">
        <v>45736</v>
      </c>
      <c r="D2678" t="inlineStr">
        <is>
          <t>VÄRMLANDS LÄN</t>
        </is>
      </c>
      <c r="E2678" t="inlineStr">
        <is>
          <t>FILIPSTAD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22965-2020</t>
        </is>
      </c>
      <c r="B2679" s="1" t="n">
        <v>43964</v>
      </c>
      <c r="C2679" s="1" t="n">
        <v>45736</v>
      </c>
      <c r="D2679" t="inlineStr">
        <is>
          <t>VÄRMLANDS LÄN</t>
        </is>
      </c>
      <c r="E2679" t="inlineStr">
        <is>
          <t>ÅRJÄNG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22871-2020</t>
        </is>
      </c>
      <c r="B2680" s="1" t="n">
        <v>43964</v>
      </c>
      <c r="C2680" s="1" t="n">
        <v>45736</v>
      </c>
      <c r="D2680" t="inlineStr">
        <is>
          <t>VÄRMLANDS LÄN</t>
        </is>
      </c>
      <c r="E2680" t="inlineStr">
        <is>
          <t>FILIPSTAD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22869-2020</t>
        </is>
      </c>
      <c r="B2681" s="1" t="n">
        <v>43964</v>
      </c>
      <c r="C2681" s="1" t="n">
        <v>45736</v>
      </c>
      <c r="D2681" t="inlineStr">
        <is>
          <t>VÄRMLANDS LÄN</t>
        </is>
      </c>
      <c r="E2681" t="inlineStr">
        <is>
          <t>FILIPSTAD</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23053-2020</t>
        </is>
      </c>
      <c r="B2682" s="1" t="n">
        <v>43964</v>
      </c>
      <c r="C2682" s="1" t="n">
        <v>45736</v>
      </c>
      <c r="D2682" t="inlineStr">
        <is>
          <t>VÄRMLANDS LÄN</t>
        </is>
      </c>
      <c r="E2682" t="inlineStr">
        <is>
          <t>SUNNE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23078-2020</t>
        </is>
      </c>
      <c r="B2683" s="1" t="n">
        <v>43965</v>
      </c>
      <c r="C2683" s="1" t="n">
        <v>45736</v>
      </c>
      <c r="D2683" t="inlineStr">
        <is>
          <t>VÄRMLANDS LÄN</t>
        </is>
      </c>
      <c r="E2683" t="inlineStr">
        <is>
          <t>HAGFORS</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23216-2020</t>
        </is>
      </c>
      <c r="B2684" s="1" t="n">
        <v>43965</v>
      </c>
      <c r="C2684" s="1" t="n">
        <v>45736</v>
      </c>
      <c r="D2684" t="inlineStr">
        <is>
          <t>VÄRMLANDS LÄN</t>
        </is>
      </c>
      <c r="E2684" t="inlineStr">
        <is>
          <t>ÅRJÄNG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23211-2020</t>
        </is>
      </c>
      <c r="B2685" s="1" t="n">
        <v>43965</v>
      </c>
      <c r="C2685" s="1" t="n">
        <v>45736</v>
      </c>
      <c r="D2685" t="inlineStr">
        <is>
          <t>VÄRMLANDS LÄN</t>
        </is>
      </c>
      <c r="E2685" t="inlineStr">
        <is>
          <t>ÅRJÄNG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23206-2020</t>
        </is>
      </c>
      <c r="B2686" s="1" t="n">
        <v>43966</v>
      </c>
      <c r="C2686" s="1" t="n">
        <v>45736</v>
      </c>
      <c r="D2686" t="inlineStr">
        <is>
          <t>VÄRMLANDS LÄN</t>
        </is>
      </c>
      <c r="E2686" t="inlineStr">
        <is>
          <t>HAGFORS</t>
        </is>
      </c>
      <c r="F2686" t="inlineStr">
        <is>
          <t>Bergvik skog väst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23159-2020</t>
        </is>
      </c>
      <c r="B2687" s="1" t="n">
        <v>43966</v>
      </c>
      <c r="C2687" s="1" t="n">
        <v>45736</v>
      </c>
      <c r="D2687" t="inlineStr">
        <is>
          <t>VÄRMLANDS LÄN</t>
        </is>
      </c>
      <c r="E2687" t="inlineStr">
        <is>
          <t>HAGFORS</t>
        </is>
      </c>
      <c r="F2687" t="inlineStr">
        <is>
          <t>Bergvik skog väst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23257-2020</t>
        </is>
      </c>
      <c r="B2688" s="1" t="n">
        <v>43966</v>
      </c>
      <c r="C2688" s="1" t="n">
        <v>45736</v>
      </c>
      <c r="D2688" t="inlineStr">
        <is>
          <t>VÄRMLANDS LÄN</t>
        </is>
      </c>
      <c r="E2688" t="inlineStr">
        <is>
          <t>HAGFORS</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23165-2020</t>
        </is>
      </c>
      <c r="B2689" s="1" t="n">
        <v>43966</v>
      </c>
      <c r="C2689" s="1" t="n">
        <v>45736</v>
      </c>
      <c r="D2689" t="inlineStr">
        <is>
          <t>VÄRMLANDS LÄN</t>
        </is>
      </c>
      <c r="E2689" t="inlineStr">
        <is>
          <t>ARVIKA</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23183-2020</t>
        </is>
      </c>
      <c r="B2690" s="1" t="n">
        <v>43966</v>
      </c>
      <c r="C2690" s="1" t="n">
        <v>45736</v>
      </c>
      <c r="D2690" t="inlineStr">
        <is>
          <t>VÄRMLANDS LÄN</t>
        </is>
      </c>
      <c r="E2690" t="inlineStr">
        <is>
          <t>HAMMARÖ</t>
        </is>
      </c>
      <c r="F2690" t="inlineStr">
        <is>
          <t>Övriga Aktiebolag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23329-2020</t>
        </is>
      </c>
      <c r="B2691" s="1" t="n">
        <v>43966</v>
      </c>
      <c r="C2691" s="1" t="n">
        <v>45736</v>
      </c>
      <c r="D2691" t="inlineStr">
        <is>
          <t>VÄRMLANDS LÄN</t>
        </is>
      </c>
      <c r="E2691" t="inlineStr">
        <is>
          <t>SUNNE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23293-2020</t>
        </is>
      </c>
      <c r="B2692" s="1" t="n">
        <v>43966</v>
      </c>
      <c r="C2692" s="1" t="n">
        <v>45736</v>
      </c>
      <c r="D2692" t="inlineStr">
        <is>
          <t>VÄRMLANDS LÄN</t>
        </is>
      </c>
      <c r="E2692" t="inlineStr">
        <is>
          <t>FILIPSTAD</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23362-2020</t>
        </is>
      </c>
      <c r="B2693" s="1" t="n">
        <v>43967</v>
      </c>
      <c r="C2693" s="1" t="n">
        <v>45736</v>
      </c>
      <c r="D2693" t="inlineStr">
        <is>
          <t>VÄRMLANDS LÄN</t>
        </is>
      </c>
      <c r="E2693" t="inlineStr">
        <is>
          <t>ARVIKA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23397-2020</t>
        </is>
      </c>
      <c r="B2694" s="1" t="n">
        <v>43968</v>
      </c>
      <c r="C2694" s="1" t="n">
        <v>45736</v>
      </c>
      <c r="D2694" t="inlineStr">
        <is>
          <t>VÄRMLANDS LÄN</t>
        </is>
      </c>
      <c r="E2694" t="inlineStr">
        <is>
          <t>SÄFFLE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23493-2020</t>
        </is>
      </c>
      <c r="B2695" s="1" t="n">
        <v>43969</v>
      </c>
      <c r="C2695" s="1" t="n">
        <v>45736</v>
      </c>
      <c r="D2695" t="inlineStr">
        <is>
          <t>VÄRMLANDS LÄN</t>
        </is>
      </c>
      <c r="E2695" t="inlineStr">
        <is>
          <t>ÅRJÄNG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23679-2020</t>
        </is>
      </c>
      <c r="B2696" s="1" t="n">
        <v>43970</v>
      </c>
      <c r="C2696" s="1" t="n">
        <v>45736</v>
      </c>
      <c r="D2696" t="inlineStr">
        <is>
          <t>VÄRMLANDS LÄN</t>
        </is>
      </c>
      <c r="E2696" t="inlineStr">
        <is>
          <t>SUNNE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23694-2020</t>
        </is>
      </c>
      <c r="B2697" s="1" t="n">
        <v>43970</v>
      </c>
      <c r="C2697" s="1" t="n">
        <v>45736</v>
      </c>
      <c r="D2697" t="inlineStr">
        <is>
          <t>VÄRMLANDS LÄN</t>
        </is>
      </c>
      <c r="E2697" t="inlineStr">
        <is>
          <t>KARLSTAD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23691-2020</t>
        </is>
      </c>
      <c r="B2698" s="1" t="n">
        <v>43970</v>
      </c>
      <c r="C2698" s="1" t="n">
        <v>45736</v>
      </c>
      <c r="D2698" t="inlineStr">
        <is>
          <t>VÄRMLANDS LÄN</t>
        </is>
      </c>
      <c r="E2698" t="inlineStr">
        <is>
          <t>KARLSTAD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23955-2020</t>
        </is>
      </c>
      <c r="B2699" s="1" t="n">
        <v>43971</v>
      </c>
      <c r="C2699" s="1" t="n">
        <v>45736</v>
      </c>
      <c r="D2699" t="inlineStr">
        <is>
          <t>VÄRMLANDS LÄN</t>
        </is>
      </c>
      <c r="E2699" t="inlineStr">
        <is>
          <t>KRISTINEHAMN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24210-2020</t>
        </is>
      </c>
      <c r="B2700" s="1" t="n">
        <v>43973</v>
      </c>
      <c r="C2700" s="1" t="n">
        <v>45736</v>
      </c>
      <c r="D2700" t="inlineStr">
        <is>
          <t>VÄRMLANDS LÄN</t>
        </is>
      </c>
      <c r="E2700" t="inlineStr">
        <is>
          <t>SUNNE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24165-2020</t>
        </is>
      </c>
      <c r="B2701" s="1" t="n">
        <v>43975</v>
      </c>
      <c r="C2701" s="1" t="n">
        <v>45736</v>
      </c>
      <c r="D2701" t="inlineStr">
        <is>
          <t>VÄRMLANDS LÄN</t>
        </is>
      </c>
      <c r="E2701" t="inlineStr">
        <is>
          <t>ARVIKA</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24166-2020</t>
        </is>
      </c>
      <c r="B2702" s="1" t="n">
        <v>43975</v>
      </c>
      <c r="C2702" s="1" t="n">
        <v>45736</v>
      </c>
      <c r="D2702" t="inlineStr">
        <is>
          <t>VÄRMLANDS LÄN</t>
        </is>
      </c>
      <c r="E2702" t="inlineStr">
        <is>
          <t>ÅRJÄNG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24327-2020</t>
        </is>
      </c>
      <c r="B2703" s="1" t="n">
        <v>43976</v>
      </c>
      <c r="C2703" s="1" t="n">
        <v>45736</v>
      </c>
      <c r="D2703" t="inlineStr">
        <is>
          <t>VÄRMLANDS LÄN</t>
        </is>
      </c>
      <c r="E2703" t="inlineStr">
        <is>
          <t>FORSHAGA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24340-2020</t>
        </is>
      </c>
      <c r="B2704" s="1" t="n">
        <v>43976</v>
      </c>
      <c r="C2704" s="1" t="n">
        <v>45736</v>
      </c>
      <c r="D2704" t="inlineStr">
        <is>
          <t>VÄRMLANDS LÄN</t>
        </is>
      </c>
      <c r="E2704" t="inlineStr">
        <is>
          <t>HAGFORS</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24396-2020</t>
        </is>
      </c>
      <c r="B2705" s="1" t="n">
        <v>43976</v>
      </c>
      <c r="C2705" s="1" t="n">
        <v>45736</v>
      </c>
      <c r="D2705" t="inlineStr">
        <is>
          <t>VÄRMLANDS LÄN</t>
        </is>
      </c>
      <c r="E2705" t="inlineStr">
        <is>
          <t>STORFORS</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24489-2020</t>
        </is>
      </c>
      <c r="B2706" s="1" t="n">
        <v>43976</v>
      </c>
      <c r="C2706" s="1" t="n">
        <v>45736</v>
      </c>
      <c r="D2706" t="inlineStr">
        <is>
          <t>VÄRMLANDS LÄN</t>
        </is>
      </c>
      <c r="E2706" t="inlineStr">
        <is>
          <t>KIL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24559-2020</t>
        </is>
      </c>
      <c r="B2707" s="1" t="n">
        <v>43977</v>
      </c>
      <c r="C2707" s="1" t="n">
        <v>45736</v>
      </c>
      <c r="D2707" t="inlineStr">
        <is>
          <t>VÄRMLANDS LÄN</t>
        </is>
      </c>
      <c r="E2707" t="inlineStr">
        <is>
          <t>EDA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24737-2020</t>
        </is>
      </c>
      <c r="B2708" s="1" t="n">
        <v>43978</v>
      </c>
      <c r="C2708" s="1" t="n">
        <v>45736</v>
      </c>
      <c r="D2708" t="inlineStr">
        <is>
          <t>VÄRMLANDS LÄN</t>
        </is>
      </c>
      <c r="E2708" t="inlineStr">
        <is>
          <t>SÄFFLE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24718-2020</t>
        </is>
      </c>
      <c r="B2709" s="1" t="n">
        <v>43978</v>
      </c>
      <c r="C2709" s="1" t="n">
        <v>45736</v>
      </c>
      <c r="D2709" t="inlineStr">
        <is>
          <t>VÄRMLANDS LÄN</t>
        </is>
      </c>
      <c r="E2709" t="inlineStr">
        <is>
          <t>ÅRJÄNG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24798-2020</t>
        </is>
      </c>
      <c r="B2710" s="1" t="n">
        <v>43978</v>
      </c>
      <c r="C2710" s="1" t="n">
        <v>45736</v>
      </c>
      <c r="D2710" t="inlineStr">
        <is>
          <t>VÄRMLANDS LÄN</t>
        </is>
      </c>
      <c r="E2710" t="inlineStr">
        <is>
          <t>HAGFORS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24676-2020</t>
        </is>
      </c>
      <c r="B2711" s="1" t="n">
        <v>43978</v>
      </c>
      <c r="C2711" s="1" t="n">
        <v>45736</v>
      </c>
      <c r="D2711" t="inlineStr">
        <is>
          <t>VÄRMLANDS LÄN</t>
        </is>
      </c>
      <c r="E2711" t="inlineStr">
        <is>
          <t>KARLSTAD</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24722-2020</t>
        </is>
      </c>
      <c r="B2712" s="1" t="n">
        <v>43978</v>
      </c>
      <c r="C2712" s="1" t="n">
        <v>45736</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25231-2020</t>
        </is>
      </c>
      <c r="B2713" s="1" t="n">
        <v>43978</v>
      </c>
      <c r="C2713" s="1" t="n">
        <v>45736</v>
      </c>
      <c r="D2713" t="inlineStr">
        <is>
          <t>VÄRMLANDS LÄN</t>
        </is>
      </c>
      <c r="E2713" t="inlineStr">
        <is>
          <t>SÄFFLE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24920-2020</t>
        </is>
      </c>
      <c r="B2714" s="1" t="n">
        <v>43979</v>
      </c>
      <c r="C2714" s="1" t="n">
        <v>45736</v>
      </c>
      <c r="D2714" t="inlineStr">
        <is>
          <t>VÄRMLANDS LÄN</t>
        </is>
      </c>
      <c r="E2714" t="inlineStr">
        <is>
          <t>ÅRJÄNG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25237-2020</t>
        </is>
      </c>
      <c r="B2715" s="1" t="n">
        <v>43979</v>
      </c>
      <c r="C2715" s="1" t="n">
        <v>45736</v>
      </c>
      <c r="D2715" t="inlineStr">
        <is>
          <t>VÄRMLANDS LÄN</t>
        </is>
      </c>
      <c r="E2715" t="inlineStr">
        <is>
          <t>ARVIKA</t>
        </is>
      </c>
      <c r="G2715" t="n">
        <v>26.4</v>
      </c>
      <c r="H2715" t="n">
        <v>0</v>
      </c>
      <c r="I2715" t="n">
        <v>0</v>
      </c>
      <c r="J2715" t="n">
        <v>0</v>
      </c>
      <c r="K2715" t="n">
        <v>0</v>
      </c>
      <c r="L2715" t="n">
        <v>0</v>
      </c>
      <c r="M2715" t="n">
        <v>0</v>
      </c>
      <c r="N2715" t="n">
        <v>0</v>
      </c>
      <c r="O2715" t="n">
        <v>0</v>
      </c>
      <c r="P2715" t="n">
        <v>0</v>
      </c>
      <c r="Q2715" t="n">
        <v>0</v>
      </c>
      <c r="R2715" s="2" t="inlineStr"/>
    </row>
    <row r="2716" ht="15" customHeight="1">
      <c r="A2716" t="inlineStr">
        <is>
          <t>A 25234-2020</t>
        </is>
      </c>
      <c r="B2716" s="1" t="n">
        <v>43979</v>
      </c>
      <c r="C2716" s="1" t="n">
        <v>45736</v>
      </c>
      <c r="D2716" t="inlineStr">
        <is>
          <t>VÄRMLANDS LÄN</t>
        </is>
      </c>
      <c r="E2716" t="inlineStr">
        <is>
          <t>ARVIKA</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25233-2020</t>
        </is>
      </c>
      <c r="B2717" s="1" t="n">
        <v>43980</v>
      </c>
      <c r="C2717" s="1" t="n">
        <v>45736</v>
      </c>
      <c r="D2717" t="inlineStr">
        <is>
          <t>VÄRMLANDS LÄN</t>
        </is>
      </c>
      <c r="E2717" t="inlineStr">
        <is>
          <t>KRISTINEHAMN</t>
        </is>
      </c>
      <c r="F2717" t="inlineStr">
        <is>
          <t>Naturvårdsverket</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25253-2020</t>
        </is>
      </c>
      <c r="B2718" s="1" t="n">
        <v>43980</v>
      </c>
      <c r="C2718" s="1" t="n">
        <v>45736</v>
      </c>
      <c r="D2718" t="inlineStr">
        <is>
          <t>VÄRMLANDS LÄN</t>
        </is>
      </c>
      <c r="E2718" t="inlineStr">
        <is>
          <t>KRISTINEHAMN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25211-2020</t>
        </is>
      </c>
      <c r="B2719" s="1" t="n">
        <v>43980</v>
      </c>
      <c r="C2719" s="1" t="n">
        <v>45736</v>
      </c>
      <c r="D2719" t="inlineStr">
        <is>
          <t>VÄRMLANDS LÄN</t>
        </is>
      </c>
      <c r="E2719" t="inlineStr">
        <is>
          <t>ARVIKA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25570-2020</t>
        </is>
      </c>
      <c r="B2720" s="1" t="n">
        <v>43980</v>
      </c>
      <c r="C2720" s="1" t="n">
        <v>45736</v>
      </c>
      <c r="D2720" t="inlineStr">
        <is>
          <t>VÄRMLANDS LÄN</t>
        </is>
      </c>
      <c r="E2720" t="inlineStr">
        <is>
          <t>KRISTINEHAMN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25582-2020</t>
        </is>
      </c>
      <c r="B2721" s="1" t="n">
        <v>43983</v>
      </c>
      <c r="C2721" s="1" t="n">
        <v>45736</v>
      </c>
      <c r="D2721" t="inlineStr">
        <is>
          <t>VÄRMLANDS LÄN</t>
        </is>
      </c>
      <c r="E2721" t="inlineStr">
        <is>
          <t>SÄFFLE</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25518-2020</t>
        </is>
      </c>
      <c r="B2722" s="1" t="n">
        <v>43983</v>
      </c>
      <c r="C2722" s="1" t="n">
        <v>45736</v>
      </c>
      <c r="D2722" t="inlineStr">
        <is>
          <t>VÄRMLANDS LÄN</t>
        </is>
      </c>
      <c r="E2722" t="inlineStr">
        <is>
          <t>TORSBY</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25528-2020</t>
        </is>
      </c>
      <c r="B2723" s="1" t="n">
        <v>43983</v>
      </c>
      <c r="C2723" s="1" t="n">
        <v>45736</v>
      </c>
      <c r="D2723" t="inlineStr">
        <is>
          <t>VÄRMLANDS LÄN</t>
        </is>
      </c>
      <c r="E2723" t="inlineStr">
        <is>
          <t>FILIPSTAD</t>
        </is>
      </c>
      <c r="F2723" t="inlineStr">
        <is>
          <t>Bergvik skog väst AB</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25571-2020</t>
        </is>
      </c>
      <c r="B2724" s="1" t="n">
        <v>43983</v>
      </c>
      <c r="C2724" s="1" t="n">
        <v>45736</v>
      </c>
      <c r="D2724" t="inlineStr">
        <is>
          <t>VÄRMLANDS LÄN</t>
        </is>
      </c>
      <c r="E2724" t="inlineStr">
        <is>
          <t>SÄFFLE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25860-2020</t>
        </is>
      </c>
      <c r="B2725" s="1" t="n">
        <v>43983</v>
      </c>
      <c r="C2725" s="1" t="n">
        <v>45736</v>
      </c>
      <c r="D2725" t="inlineStr">
        <is>
          <t>VÄRMLANDS LÄN</t>
        </is>
      </c>
      <c r="E2725" t="inlineStr">
        <is>
          <t>KRISTINEHAMN</t>
        </is>
      </c>
      <c r="G2725" t="n">
        <v>10.8</v>
      </c>
      <c r="H2725" t="n">
        <v>0</v>
      </c>
      <c r="I2725" t="n">
        <v>0</v>
      </c>
      <c r="J2725" t="n">
        <v>0</v>
      </c>
      <c r="K2725" t="n">
        <v>0</v>
      </c>
      <c r="L2725" t="n">
        <v>0</v>
      </c>
      <c r="M2725" t="n">
        <v>0</v>
      </c>
      <c r="N2725" t="n">
        <v>0</v>
      </c>
      <c r="O2725" t="n">
        <v>0</v>
      </c>
      <c r="P2725" t="n">
        <v>0</v>
      </c>
      <c r="Q2725" t="n">
        <v>0</v>
      </c>
      <c r="R2725" s="2" t="inlineStr"/>
    </row>
    <row r="2726" ht="15" customHeight="1">
      <c r="A2726" t="inlineStr">
        <is>
          <t>A 26113-2020</t>
        </is>
      </c>
      <c r="B2726" s="1" t="n">
        <v>43984</v>
      </c>
      <c r="C2726" s="1" t="n">
        <v>45736</v>
      </c>
      <c r="D2726" t="inlineStr">
        <is>
          <t>VÄRMLANDS LÄN</t>
        </is>
      </c>
      <c r="E2726" t="inlineStr">
        <is>
          <t>KARLSTAD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25971-2020</t>
        </is>
      </c>
      <c r="B2727" s="1" t="n">
        <v>43985</v>
      </c>
      <c r="C2727" s="1" t="n">
        <v>45736</v>
      </c>
      <c r="D2727" t="inlineStr">
        <is>
          <t>VÄRMLANDS LÄN</t>
        </is>
      </c>
      <c r="E2727" t="inlineStr">
        <is>
          <t>FILIPSTAD</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25977-2020</t>
        </is>
      </c>
      <c r="B2728" s="1" t="n">
        <v>43985</v>
      </c>
      <c r="C2728" s="1" t="n">
        <v>45736</v>
      </c>
      <c r="D2728" t="inlineStr">
        <is>
          <t>VÄRMLANDS LÄN</t>
        </is>
      </c>
      <c r="E2728" t="inlineStr">
        <is>
          <t>ARVIKA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26132-2020</t>
        </is>
      </c>
      <c r="B2729" s="1" t="n">
        <v>43985</v>
      </c>
      <c r="C2729" s="1" t="n">
        <v>45736</v>
      </c>
      <c r="D2729" t="inlineStr">
        <is>
          <t>VÄRMLANDS LÄN</t>
        </is>
      </c>
      <c r="E2729" t="inlineStr">
        <is>
          <t>ÅRJÄNG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25959-2020</t>
        </is>
      </c>
      <c r="B2730" s="1" t="n">
        <v>43985</v>
      </c>
      <c r="C2730" s="1" t="n">
        <v>45736</v>
      </c>
      <c r="D2730" t="inlineStr">
        <is>
          <t>VÄRMLANDS LÄN</t>
        </is>
      </c>
      <c r="E2730" t="inlineStr">
        <is>
          <t>SUNNE</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25976-2020</t>
        </is>
      </c>
      <c r="B2731" s="1" t="n">
        <v>43985</v>
      </c>
      <c r="C2731" s="1" t="n">
        <v>45736</v>
      </c>
      <c r="D2731" t="inlineStr">
        <is>
          <t>VÄRMLANDS LÄN</t>
        </is>
      </c>
      <c r="E2731" t="inlineStr">
        <is>
          <t>STORFORS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26111-2020</t>
        </is>
      </c>
      <c r="B2732" s="1" t="n">
        <v>43985</v>
      </c>
      <c r="C2732" s="1" t="n">
        <v>45736</v>
      </c>
      <c r="D2732" t="inlineStr">
        <is>
          <t>VÄRMLANDS LÄN</t>
        </is>
      </c>
      <c r="E2732" t="inlineStr">
        <is>
          <t>EDA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25953-2020</t>
        </is>
      </c>
      <c r="B2733" s="1" t="n">
        <v>43985</v>
      </c>
      <c r="C2733" s="1" t="n">
        <v>45736</v>
      </c>
      <c r="D2733" t="inlineStr">
        <is>
          <t>VÄRMLANDS LÄN</t>
        </is>
      </c>
      <c r="E2733" t="inlineStr">
        <is>
          <t>ARVIKA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26202-2020</t>
        </is>
      </c>
      <c r="B2734" s="1" t="n">
        <v>43986</v>
      </c>
      <c r="C2734" s="1" t="n">
        <v>45736</v>
      </c>
      <c r="D2734" t="inlineStr">
        <is>
          <t>VÄRMLANDS LÄN</t>
        </is>
      </c>
      <c r="E2734" t="inlineStr">
        <is>
          <t>ÅRJÄNG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26915-2020</t>
        </is>
      </c>
      <c r="B2735" s="1" t="n">
        <v>43986</v>
      </c>
      <c r="C2735" s="1" t="n">
        <v>45736</v>
      </c>
      <c r="D2735" t="inlineStr">
        <is>
          <t>VÄRMLANDS LÄN</t>
        </is>
      </c>
      <c r="E2735" t="inlineStr">
        <is>
          <t>TORSBY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26926-2020</t>
        </is>
      </c>
      <c r="B2736" s="1" t="n">
        <v>43986</v>
      </c>
      <c r="C2736" s="1" t="n">
        <v>45736</v>
      </c>
      <c r="D2736" t="inlineStr">
        <is>
          <t>VÄRMLANDS LÄN</t>
        </is>
      </c>
      <c r="E2736" t="inlineStr">
        <is>
          <t>TORSBY</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26919-2020</t>
        </is>
      </c>
      <c r="B2737" s="1" t="n">
        <v>43986</v>
      </c>
      <c r="C2737" s="1" t="n">
        <v>45736</v>
      </c>
      <c r="D2737" t="inlineStr">
        <is>
          <t>VÄRMLANDS LÄN</t>
        </is>
      </c>
      <c r="E2737" t="inlineStr">
        <is>
          <t>TORSBY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26440-2020</t>
        </is>
      </c>
      <c r="B2738" s="1" t="n">
        <v>43987</v>
      </c>
      <c r="C2738" s="1" t="n">
        <v>45736</v>
      </c>
      <c r="D2738" t="inlineStr">
        <is>
          <t>VÄRMLANDS LÄN</t>
        </is>
      </c>
      <c r="E2738" t="inlineStr">
        <is>
          <t>FILIPSTAD</t>
        </is>
      </c>
      <c r="F2738" t="inlineStr">
        <is>
          <t>Bergvik skog väst AB</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26516-2020</t>
        </is>
      </c>
      <c r="B2739" s="1" t="n">
        <v>43987</v>
      </c>
      <c r="C2739" s="1" t="n">
        <v>45736</v>
      </c>
      <c r="D2739" t="inlineStr">
        <is>
          <t>VÄRMLANDS LÄN</t>
        </is>
      </c>
      <c r="E2739" t="inlineStr">
        <is>
          <t>ÅRJÄNG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26545-2020</t>
        </is>
      </c>
      <c r="B2740" s="1" t="n">
        <v>43987</v>
      </c>
      <c r="C2740" s="1" t="n">
        <v>45736</v>
      </c>
      <c r="D2740" t="inlineStr">
        <is>
          <t>VÄRMLANDS LÄN</t>
        </is>
      </c>
      <c r="E2740" t="inlineStr">
        <is>
          <t>FILIPSTAD</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26517-2020</t>
        </is>
      </c>
      <c r="B2741" s="1" t="n">
        <v>43987</v>
      </c>
      <c r="C2741" s="1" t="n">
        <v>45736</v>
      </c>
      <c r="D2741" t="inlineStr">
        <is>
          <t>VÄRMLANDS LÄN</t>
        </is>
      </c>
      <c r="E2741" t="inlineStr">
        <is>
          <t>FILIPSTAD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26547-2020</t>
        </is>
      </c>
      <c r="B2742" s="1" t="n">
        <v>43987</v>
      </c>
      <c r="C2742" s="1" t="n">
        <v>45736</v>
      </c>
      <c r="D2742" t="inlineStr">
        <is>
          <t>VÄRMLANDS LÄN</t>
        </is>
      </c>
      <c r="E2742" t="inlineStr">
        <is>
          <t>ARVIKA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26512-2020</t>
        </is>
      </c>
      <c r="B2743" s="1" t="n">
        <v>43987</v>
      </c>
      <c r="C2743" s="1" t="n">
        <v>45736</v>
      </c>
      <c r="D2743" t="inlineStr">
        <is>
          <t>VÄRMLANDS LÄN</t>
        </is>
      </c>
      <c r="E2743" t="inlineStr">
        <is>
          <t>ÅRJÄNG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26786-2020</t>
        </is>
      </c>
      <c r="B2744" s="1" t="n">
        <v>43987</v>
      </c>
      <c r="C2744" s="1" t="n">
        <v>45736</v>
      </c>
      <c r="D2744" t="inlineStr">
        <is>
          <t>VÄRMLANDS LÄN</t>
        </is>
      </c>
      <c r="E2744" t="inlineStr">
        <is>
          <t>KARLSTAD</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26666-2020</t>
        </is>
      </c>
      <c r="B2745" s="1" t="n">
        <v>43989</v>
      </c>
      <c r="C2745" s="1" t="n">
        <v>45736</v>
      </c>
      <c r="D2745" t="inlineStr">
        <is>
          <t>VÄRMLANDS LÄN</t>
        </is>
      </c>
      <c r="E2745" t="inlineStr">
        <is>
          <t>TORSBY</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26864-2020</t>
        </is>
      </c>
      <c r="B2746" s="1" t="n">
        <v>43990</v>
      </c>
      <c r="C2746" s="1" t="n">
        <v>45736</v>
      </c>
      <c r="D2746" t="inlineStr">
        <is>
          <t>VÄRMLANDS LÄN</t>
        </is>
      </c>
      <c r="E2746" t="inlineStr">
        <is>
          <t>STORFORS</t>
        </is>
      </c>
      <c r="F2746" t="inlineStr">
        <is>
          <t>Naturvårdsverket</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26719-2020</t>
        </is>
      </c>
      <c r="B2747" s="1" t="n">
        <v>43990</v>
      </c>
      <c r="C2747" s="1" t="n">
        <v>45736</v>
      </c>
      <c r="D2747" t="inlineStr">
        <is>
          <t>VÄRMLANDS LÄN</t>
        </is>
      </c>
      <c r="E2747" t="inlineStr">
        <is>
          <t>SUNNE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26892-2020</t>
        </is>
      </c>
      <c r="B2748" s="1" t="n">
        <v>43990</v>
      </c>
      <c r="C2748" s="1" t="n">
        <v>45736</v>
      </c>
      <c r="D2748" t="inlineStr">
        <is>
          <t>VÄRMLANDS LÄN</t>
        </is>
      </c>
      <c r="E2748" t="inlineStr">
        <is>
          <t>STORFORS</t>
        </is>
      </c>
      <c r="F2748" t="inlineStr">
        <is>
          <t>Naturvårdsverket</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27339-2020</t>
        </is>
      </c>
      <c r="B2749" s="1" t="n">
        <v>43990</v>
      </c>
      <c r="C2749" s="1" t="n">
        <v>45736</v>
      </c>
      <c r="D2749" t="inlineStr">
        <is>
          <t>VÄRMLANDS LÄN</t>
        </is>
      </c>
      <c r="E2749" t="inlineStr">
        <is>
          <t>TORSBY</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27009-2020</t>
        </is>
      </c>
      <c r="B2750" s="1" t="n">
        <v>43991</v>
      </c>
      <c r="C2750" s="1" t="n">
        <v>45736</v>
      </c>
      <c r="D2750" t="inlineStr">
        <is>
          <t>VÄRMLANDS LÄN</t>
        </is>
      </c>
      <c r="E2750" t="inlineStr">
        <is>
          <t>TORSBY</t>
        </is>
      </c>
      <c r="F2750" t="inlineStr">
        <is>
          <t>Bergvik skog väst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27248-2020</t>
        </is>
      </c>
      <c r="B2751" s="1" t="n">
        <v>43991</v>
      </c>
      <c r="C2751" s="1" t="n">
        <v>45736</v>
      </c>
      <c r="D2751" t="inlineStr">
        <is>
          <t>VÄRMLANDS LÄN</t>
        </is>
      </c>
      <c r="E2751" t="inlineStr">
        <is>
          <t>KARLSTAD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27225-2020</t>
        </is>
      </c>
      <c r="B2752" s="1" t="n">
        <v>43992</v>
      </c>
      <c r="C2752" s="1" t="n">
        <v>45736</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27333-2020</t>
        </is>
      </c>
      <c r="B2753" s="1" t="n">
        <v>43992</v>
      </c>
      <c r="C2753" s="1" t="n">
        <v>45736</v>
      </c>
      <c r="D2753" t="inlineStr">
        <is>
          <t>VÄRMLANDS LÄN</t>
        </is>
      </c>
      <c r="E2753" t="inlineStr">
        <is>
          <t>GRUMS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27224-2020</t>
        </is>
      </c>
      <c r="B2754" s="1" t="n">
        <v>43992</v>
      </c>
      <c r="C2754" s="1" t="n">
        <v>45736</v>
      </c>
      <c r="D2754" t="inlineStr">
        <is>
          <t>VÄRMLANDS LÄN</t>
        </is>
      </c>
      <c r="E2754" t="inlineStr">
        <is>
          <t>KARLSTAD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27356-2020</t>
        </is>
      </c>
      <c r="B2755" s="1" t="n">
        <v>43992</v>
      </c>
      <c r="C2755" s="1" t="n">
        <v>45736</v>
      </c>
      <c r="D2755" t="inlineStr">
        <is>
          <t>VÄRMLANDS LÄN</t>
        </is>
      </c>
      <c r="E2755" t="inlineStr">
        <is>
          <t>SUNNE</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27521-2020</t>
        </is>
      </c>
      <c r="B2756" s="1" t="n">
        <v>43993</v>
      </c>
      <c r="C2756" s="1" t="n">
        <v>45736</v>
      </c>
      <c r="D2756" t="inlineStr">
        <is>
          <t>VÄRMLANDS LÄN</t>
        </is>
      </c>
      <c r="E2756" t="inlineStr">
        <is>
          <t>SUNNE</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27474-2020</t>
        </is>
      </c>
      <c r="B2757" s="1" t="n">
        <v>43993</v>
      </c>
      <c r="C2757" s="1" t="n">
        <v>45736</v>
      </c>
      <c r="D2757" t="inlineStr">
        <is>
          <t>VÄRMLANDS LÄN</t>
        </is>
      </c>
      <c r="E2757" t="inlineStr">
        <is>
          <t>ARVIKA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27484-2020</t>
        </is>
      </c>
      <c r="B2758" s="1" t="n">
        <v>43993</v>
      </c>
      <c r="C2758" s="1" t="n">
        <v>45736</v>
      </c>
      <c r="D2758" t="inlineStr">
        <is>
          <t>VÄRMLANDS LÄN</t>
        </is>
      </c>
      <c r="E2758" t="inlineStr">
        <is>
          <t>EDA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27549-2020</t>
        </is>
      </c>
      <c r="B2759" s="1" t="n">
        <v>43993</v>
      </c>
      <c r="C2759" s="1" t="n">
        <v>45736</v>
      </c>
      <c r="D2759" t="inlineStr">
        <is>
          <t>VÄRMLANDS LÄN</t>
        </is>
      </c>
      <c r="E2759" t="inlineStr">
        <is>
          <t>GRUMS</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27610-2020</t>
        </is>
      </c>
      <c r="B2760" s="1" t="n">
        <v>43993</v>
      </c>
      <c r="C2760" s="1" t="n">
        <v>45736</v>
      </c>
      <c r="D2760" t="inlineStr">
        <is>
          <t>VÄRMLANDS LÄN</t>
        </is>
      </c>
      <c r="E2760" t="inlineStr">
        <is>
          <t>GRUMS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27463-2020</t>
        </is>
      </c>
      <c r="B2761" s="1" t="n">
        <v>43993</v>
      </c>
      <c r="C2761" s="1" t="n">
        <v>45736</v>
      </c>
      <c r="D2761" t="inlineStr">
        <is>
          <t>VÄRMLANDS LÄN</t>
        </is>
      </c>
      <c r="E2761" t="inlineStr">
        <is>
          <t>KARLSTAD</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27568-2020</t>
        </is>
      </c>
      <c r="B2762" s="1" t="n">
        <v>43993</v>
      </c>
      <c r="C2762" s="1" t="n">
        <v>45736</v>
      </c>
      <c r="D2762" t="inlineStr">
        <is>
          <t>VÄRMLANDS LÄN</t>
        </is>
      </c>
      <c r="E2762" t="inlineStr">
        <is>
          <t>GRUMS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27592-2020</t>
        </is>
      </c>
      <c r="B2763" s="1" t="n">
        <v>43993</v>
      </c>
      <c r="C2763" s="1" t="n">
        <v>45736</v>
      </c>
      <c r="D2763" t="inlineStr">
        <is>
          <t>VÄRMLANDS LÄN</t>
        </is>
      </c>
      <c r="E2763" t="inlineStr">
        <is>
          <t>GRUMS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27680-2020</t>
        </is>
      </c>
      <c r="B2764" s="1" t="n">
        <v>43994</v>
      </c>
      <c r="C2764" s="1" t="n">
        <v>45736</v>
      </c>
      <c r="D2764" t="inlineStr">
        <is>
          <t>VÄRMLANDS LÄN</t>
        </is>
      </c>
      <c r="E2764" t="inlineStr">
        <is>
          <t>KRISTINEHAMN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27802-2020</t>
        </is>
      </c>
      <c r="B2765" s="1" t="n">
        <v>43994</v>
      </c>
      <c r="C2765" s="1" t="n">
        <v>45736</v>
      </c>
      <c r="D2765" t="inlineStr">
        <is>
          <t>VÄRMLANDS LÄN</t>
        </is>
      </c>
      <c r="E2765" t="inlineStr">
        <is>
          <t>KARLSTAD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27756-2020</t>
        </is>
      </c>
      <c r="B2766" s="1" t="n">
        <v>43994</v>
      </c>
      <c r="C2766" s="1" t="n">
        <v>45736</v>
      </c>
      <c r="D2766" t="inlineStr">
        <is>
          <t>VÄRMLANDS LÄN</t>
        </is>
      </c>
      <c r="E2766" t="inlineStr">
        <is>
          <t>ARVIKA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27797-2020</t>
        </is>
      </c>
      <c r="B2767" s="1" t="n">
        <v>43994</v>
      </c>
      <c r="C2767" s="1" t="n">
        <v>45736</v>
      </c>
      <c r="D2767" t="inlineStr">
        <is>
          <t>VÄRMLANDS LÄN</t>
        </is>
      </c>
      <c r="E2767" t="inlineStr">
        <is>
          <t>HAGFORS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27804-2020</t>
        </is>
      </c>
      <c r="B2768" s="1" t="n">
        <v>43994</v>
      </c>
      <c r="C2768" s="1" t="n">
        <v>45736</v>
      </c>
      <c r="D2768" t="inlineStr">
        <is>
          <t>VÄRMLANDS LÄN</t>
        </is>
      </c>
      <c r="E2768" t="inlineStr">
        <is>
          <t>KARLSTAD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28132-2020</t>
        </is>
      </c>
      <c r="B2769" s="1" t="n">
        <v>43997</v>
      </c>
      <c r="C2769" s="1" t="n">
        <v>45736</v>
      </c>
      <c r="D2769" t="inlineStr">
        <is>
          <t>VÄRMLANDS LÄN</t>
        </is>
      </c>
      <c r="E2769" t="inlineStr">
        <is>
          <t>HAGFORS</t>
        </is>
      </c>
      <c r="F2769" t="inlineStr">
        <is>
          <t>Bergvik skog väst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28192-2020</t>
        </is>
      </c>
      <c r="B2770" s="1" t="n">
        <v>43997</v>
      </c>
      <c r="C2770" s="1" t="n">
        <v>45736</v>
      </c>
      <c r="D2770" t="inlineStr">
        <is>
          <t>VÄRMLANDS LÄN</t>
        </is>
      </c>
      <c r="E2770" t="inlineStr">
        <is>
          <t>EDA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28156-2020</t>
        </is>
      </c>
      <c r="B2771" s="1" t="n">
        <v>43997</v>
      </c>
      <c r="C2771" s="1" t="n">
        <v>45736</v>
      </c>
      <c r="D2771" t="inlineStr">
        <is>
          <t>VÄRMLANDS LÄN</t>
        </is>
      </c>
      <c r="E2771" t="inlineStr">
        <is>
          <t>SÄFFLE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27983-2020</t>
        </is>
      </c>
      <c r="B2772" s="1" t="n">
        <v>43997</v>
      </c>
      <c r="C2772" s="1" t="n">
        <v>45736</v>
      </c>
      <c r="D2772" t="inlineStr">
        <is>
          <t>VÄRMLANDS LÄN</t>
        </is>
      </c>
      <c r="E2772" t="inlineStr">
        <is>
          <t>SÄFFLE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28301-2020</t>
        </is>
      </c>
      <c r="B2773" s="1" t="n">
        <v>43998</v>
      </c>
      <c r="C2773" s="1" t="n">
        <v>45736</v>
      </c>
      <c r="D2773" t="inlineStr">
        <is>
          <t>VÄRMLANDS LÄN</t>
        </is>
      </c>
      <c r="E2773" t="inlineStr">
        <is>
          <t>FILIPSTAD</t>
        </is>
      </c>
      <c r="F2773" t="inlineStr">
        <is>
          <t>Bergvik skog väst AB</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28387-2020</t>
        </is>
      </c>
      <c r="B2774" s="1" t="n">
        <v>43998</v>
      </c>
      <c r="C2774" s="1" t="n">
        <v>45736</v>
      </c>
      <c r="D2774" t="inlineStr">
        <is>
          <t>VÄRMLANDS LÄN</t>
        </is>
      </c>
      <c r="E2774" t="inlineStr">
        <is>
          <t>KRISTINEHAMN</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28397-2020</t>
        </is>
      </c>
      <c r="B2775" s="1" t="n">
        <v>43998</v>
      </c>
      <c r="C2775" s="1" t="n">
        <v>45736</v>
      </c>
      <c r="D2775" t="inlineStr">
        <is>
          <t>VÄRMLANDS LÄN</t>
        </is>
      </c>
      <c r="E2775" t="inlineStr">
        <is>
          <t>TORSBY</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28416-2020</t>
        </is>
      </c>
      <c r="B2776" s="1" t="n">
        <v>43998</v>
      </c>
      <c r="C2776" s="1" t="n">
        <v>45736</v>
      </c>
      <c r="D2776" t="inlineStr">
        <is>
          <t>VÄRMLANDS LÄN</t>
        </is>
      </c>
      <c r="E2776" t="inlineStr">
        <is>
          <t>TORSBY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28522-2020</t>
        </is>
      </c>
      <c r="B2777" s="1" t="n">
        <v>43999</v>
      </c>
      <c r="C2777" s="1" t="n">
        <v>45736</v>
      </c>
      <c r="D2777" t="inlineStr">
        <is>
          <t>VÄRMLANDS LÄN</t>
        </is>
      </c>
      <c r="E2777" t="inlineStr">
        <is>
          <t>FILIPSTAD</t>
        </is>
      </c>
      <c r="F2777" t="inlineStr">
        <is>
          <t>Bergvik skog väst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28703-2020</t>
        </is>
      </c>
      <c r="B2778" s="1" t="n">
        <v>43999</v>
      </c>
      <c r="C2778" s="1" t="n">
        <v>45736</v>
      </c>
      <c r="D2778" t="inlineStr">
        <is>
          <t>VÄRMLANDS LÄN</t>
        </is>
      </c>
      <c r="E2778" t="inlineStr">
        <is>
          <t>TORSBY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28594-2020</t>
        </is>
      </c>
      <c r="B2779" s="1" t="n">
        <v>43999</v>
      </c>
      <c r="C2779" s="1" t="n">
        <v>45736</v>
      </c>
      <c r="D2779" t="inlineStr">
        <is>
          <t>VÄRMLANDS LÄN</t>
        </is>
      </c>
      <c r="E2779" t="inlineStr">
        <is>
          <t>ARVIKA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28493-2020</t>
        </is>
      </c>
      <c r="B2780" s="1" t="n">
        <v>43999</v>
      </c>
      <c r="C2780" s="1" t="n">
        <v>45736</v>
      </c>
      <c r="D2780" t="inlineStr">
        <is>
          <t>VÄRMLANDS LÄN</t>
        </is>
      </c>
      <c r="E2780" t="inlineStr">
        <is>
          <t>KRISTINEHAMN</t>
        </is>
      </c>
      <c r="F2780" t="inlineStr">
        <is>
          <t>Kommuner</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28517-2020</t>
        </is>
      </c>
      <c r="B2781" s="1" t="n">
        <v>43999</v>
      </c>
      <c r="C2781" s="1" t="n">
        <v>45736</v>
      </c>
      <c r="D2781" t="inlineStr">
        <is>
          <t>VÄRMLANDS LÄN</t>
        </is>
      </c>
      <c r="E2781" t="inlineStr">
        <is>
          <t>HAGFORS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28719-2020</t>
        </is>
      </c>
      <c r="B2782" s="1" t="n">
        <v>43999</v>
      </c>
      <c r="C2782" s="1" t="n">
        <v>45736</v>
      </c>
      <c r="D2782" t="inlineStr">
        <is>
          <t>VÄRMLANDS LÄN</t>
        </is>
      </c>
      <c r="E2782" t="inlineStr">
        <is>
          <t>EDA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28827-2020</t>
        </is>
      </c>
      <c r="B2783" s="1" t="n">
        <v>44000</v>
      </c>
      <c r="C2783" s="1" t="n">
        <v>45736</v>
      </c>
      <c r="D2783" t="inlineStr">
        <is>
          <t>VÄRMLANDS LÄN</t>
        </is>
      </c>
      <c r="E2783" t="inlineStr">
        <is>
          <t>HAGFORS</t>
        </is>
      </c>
      <c r="F2783" t="inlineStr">
        <is>
          <t>Bergvik skog väst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28849-2020</t>
        </is>
      </c>
      <c r="B2784" s="1" t="n">
        <v>44000</v>
      </c>
      <c r="C2784" s="1" t="n">
        <v>45736</v>
      </c>
      <c r="D2784" t="inlineStr">
        <is>
          <t>VÄRMLANDS LÄN</t>
        </is>
      </c>
      <c r="E2784" t="inlineStr">
        <is>
          <t>TORSBY</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28878-2020</t>
        </is>
      </c>
      <c r="B2785" s="1" t="n">
        <v>44000</v>
      </c>
      <c r="C2785" s="1" t="n">
        <v>45736</v>
      </c>
      <c r="D2785" t="inlineStr">
        <is>
          <t>VÄRMLANDS LÄN</t>
        </is>
      </c>
      <c r="E2785" t="inlineStr">
        <is>
          <t>GRUMS</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28897-2020</t>
        </is>
      </c>
      <c r="B2786" s="1" t="n">
        <v>44000</v>
      </c>
      <c r="C2786" s="1" t="n">
        <v>45736</v>
      </c>
      <c r="D2786" t="inlineStr">
        <is>
          <t>VÄRMLANDS LÄN</t>
        </is>
      </c>
      <c r="E2786" t="inlineStr">
        <is>
          <t>TORSBY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28877-2020</t>
        </is>
      </c>
      <c r="B2787" s="1" t="n">
        <v>44000</v>
      </c>
      <c r="C2787" s="1" t="n">
        <v>45736</v>
      </c>
      <c r="D2787" t="inlineStr">
        <is>
          <t>VÄRMLANDS LÄN</t>
        </is>
      </c>
      <c r="E2787" t="inlineStr">
        <is>
          <t>MUNKFORS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28911-2020</t>
        </is>
      </c>
      <c r="B2788" s="1" t="n">
        <v>44000</v>
      </c>
      <c r="C2788" s="1" t="n">
        <v>45736</v>
      </c>
      <c r="D2788" t="inlineStr">
        <is>
          <t>VÄRMLANDS LÄN</t>
        </is>
      </c>
      <c r="E2788" t="inlineStr">
        <is>
          <t>TORSBY</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28976-2020</t>
        </is>
      </c>
      <c r="B2789" s="1" t="n">
        <v>44000</v>
      </c>
      <c r="C2789" s="1" t="n">
        <v>45736</v>
      </c>
      <c r="D2789" t="inlineStr">
        <is>
          <t>VÄRMLANDS LÄN</t>
        </is>
      </c>
      <c r="E2789" t="inlineStr">
        <is>
          <t>TORSBY</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28851-2020</t>
        </is>
      </c>
      <c r="B2790" s="1" t="n">
        <v>44000</v>
      </c>
      <c r="C2790" s="1" t="n">
        <v>45736</v>
      </c>
      <c r="D2790" t="inlineStr">
        <is>
          <t>VÄRMLANDS LÄN</t>
        </is>
      </c>
      <c r="E2790" t="inlineStr">
        <is>
          <t>HAGFORS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28987-2020</t>
        </is>
      </c>
      <c r="B2791" s="1" t="n">
        <v>44000</v>
      </c>
      <c r="C2791" s="1" t="n">
        <v>45736</v>
      </c>
      <c r="D2791" t="inlineStr">
        <is>
          <t>VÄRMLANDS LÄN</t>
        </is>
      </c>
      <c r="E2791" t="inlineStr">
        <is>
          <t>TORSBY</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29414-2020</t>
        </is>
      </c>
      <c r="B2792" s="1" t="n">
        <v>44000</v>
      </c>
      <c r="C2792" s="1" t="n">
        <v>45736</v>
      </c>
      <c r="D2792" t="inlineStr">
        <is>
          <t>VÄRMLANDS LÄN</t>
        </is>
      </c>
      <c r="E2792" t="inlineStr">
        <is>
          <t>SUNNE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29108-2020</t>
        </is>
      </c>
      <c r="B2793" s="1" t="n">
        <v>44003</v>
      </c>
      <c r="C2793" s="1" t="n">
        <v>45736</v>
      </c>
      <c r="D2793" t="inlineStr">
        <is>
          <t>VÄRMLANDS LÄN</t>
        </is>
      </c>
      <c r="E2793" t="inlineStr">
        <is>
          <t>STORFORS</t>
        </is>
      </c>
      <c r="F2793" t="inlineStr">
        <is>
          <t>Bergvik skog väst AB</t>
        </is>
      </c>
      <c r="G2793" t="n">
        <v>16.1</v>
      </c>
      <c r="H2793" t="n">
        <v>0</v>
      </c>
      <c r="I2793" t="n">
        <v>0</v>
      </c>
      <c r="J2793" t="n">
        <v>0</v>
      </c>
      <c r="K2793" t="n">
        <v>0</v>
      </c>
      <c r="L2793" t="n">
        <v>0</v>
      </c>
      <c r="M2793" t="n">
        <v>0</v>
      </c>
      <c r="N2793" t="n">
        <v>0</v>
      </c>
      <c r="O2793" t="n">
        <v>0</v>
      </c>
      <c r="P2793" t="n">
        <v>0</v>
      </c>
      <c r="Q2793" t="n">
        <v>0</v>
      </c>
      <c r="R2793" s="2" t="inlineStr"/>
    </row>
    <row r="2794" ht="15" customHeight="1">
      <c r="A2794" t="inlineStr">
        <is>
          <t>A 29222-2020</t>
        </is>
      </c>
      <c r="B2794" s="1" t="n">
        <v>44004</v>
      </c>
      <c r="C2794" s="1" t="n">
        <v>45736</v>
      </c>
      <c r="D2794" t="inlineStr">
        <is>
          <t>VÄRMLANDS LÄN</t>
        </is>
      </c>
      <c r="E2794" t="inlineStr">
        <is>
          <t>SUNNE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29380-2020</t>
        </is>
      </c>
      <c r="B2795" s="1" t="n">
        <v>44004</v>
      </c>
      <c r="C2795" s="1" t="n">
        <v>45736</v>
      </c>
      <c r="D2795" t="inlineStr">
        <is>
          <t>VÄRMLANDS LÄN</t>
        </is>
      </c>
      <c r="E2795" t="inlineStr">
        <is>
          <t>EDA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29418-2020</t>
        </is>
      </c>
      <c r="B2796" s="1" t="n">
        <v>44004</v>
      </c>
      <c r="C2796" s="1" t="n">
        <v>45736</v>
      </c>
      <c r="D2796" t="inlineStr">
        <is>
          <t>VÄRMLANDS LÄN</t>
        </is>
      </c>
      <c r="E2796" t="inlineStr">
        <is>
          <t>ARVIKA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29424-2020</t>
        </is>
      </c>
      <c r="B2797" s="1" t="n">
        <v>44004</v>
      </c>
      <c r="C2797" s="1" t="n">
        <v>45736</v>
      </c>
      <c r="D2797" t="inlineStr">
        <is>
          <t>VÄRMLANDS LÄN</t>
        </is>
      </c>
      <c r="E2797" t="inlineStr">
        <is>
          <t>ARVIKA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29374-2020</t>
        </is>
      </c>
      <c r="B2798" s="1" t="n">
        <v>44004</v>
      </c>
      <c r="C2798" s="1" t="n">
        <v>45736</v>
      </c>
      <c r="D2798" t="inlineStr">
        <is>
          <t>VÄRMLANDS LÄN</t>
        </is>
      </c>
      <c r="E2798" t="inlineStr">
        <is>
          <t>SÄFFLE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29409-2020</t>
        </is>
      </c>
      <c r="B2799" s="1" t="n">
        <v>44004</v>
      </c>
      <c r="C2799" s="1" t="n">
        <v>45736</v>
      </c>
      <c r="D2799" t="inlineStr">
        <is>
          <t>VÄRMLANDS LÄN</t>
        </is>
      </c>
      <c r="E2799" t="inlineStr">
        <is>
          <t>ÅRJÄNG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29438-2020</t>
        </is>
      </c>
      <c r="B2800" s="1" t="n">
        <v>44004</v>
      </c>
      <c r="C2800" s="1" t="n">
        <v>45736</v>
      </c>
      <c r="D2800" t="inlineStr">
        <is>
          <t>VÄRMLANDS LÄN</t>
        </is>
      </c>
      <c r="E2800" t="inlineStr">
        <is>
          <t>ÅRJÄNG</t>
        </is>
      </c>
      <c r="G2800" t="n">
        <v>12.8</v>
      </c>
      <c r="H2800" t="n">
        <v>0</v>
      </c>
      <c r="I2800" t="n">
        <v>0</v>
      </c>
      <c r="J2800" t="n">
        <v>0</v>
      </c>
      <c r="K2800" t="n">
        <v>0</v>
      </c>
      <c r="L2800" t="n">
        <v>0</v>
      </c>
      <c r="M2800" t="n">
        <v>0</v>
      </c>
      <c r="N2800" t="n">
        <v>0</v>
      </c>
      <c r="O2800" t="n">
        <v>0</v>
      </c>
      <c r="P2800" t="n">
        <v>0</v>
      </c>
      <c r="Q2800" t="n">
        <v>0</v>
      </c>
      <c r="R2800" s="2" t="inlineStr"/>
    </row>
    <row r="2801" ht="15" customHeight="1">
      <c r="A2801" t="inlineStr">
        <is>
          <t>A 29465-2020</t>
        </is>
      </c>
      <c r="B2801" s="1" t="n">
        <v>44004</v>
      </c>
      <c r="C2801" s="1" t="n">
        <v>45736</v>
      </c>
      <c r="D2801" t="inlineStr">
        <is>
          <t>VÄRMLANDS LÄN</t>
        </is>
      </c>
      <c r="E2801" t="inlineStr">
        <is>
          <t>FORSHAGA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29667-2020</t>
        </is>
      </c>
      <c r="B2802" s="1" t="n">
        <v>44004</v>
      </c>
      <c r="C2802" s="1" t="n">
        <v>45736</v>
      </c>
      <c r="D2802" t="inlineStr">
        <is>
          <t>VÄRMLANDS LÄN</t>
        </is>
      </c>
      <c r="E2802" t="inlineStr">
        <is>
          <t>SÄFFLE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29568-2020</t>
        </is>
      </c>
      <c r="B2803" s="1" t="n">
        <v>44004</v>
      </c>
      <c r="C2803" s="1" t="n">
        <v>45736</v>
      </c>
      <c r="D2803" t="inlineStr">
        <is>
          <t>VÄRMLANDS LÄN</t>
        </is>
      </c>
      <c r="E2803" t="inlineStr">
        <is>
          <t>KARLSTAD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29725-2020</t>
        </is>
      </c>
      <c r="B2804" s="1" t="n">
        <v>44005</v>
      </c>
      <c r="C2804" s="1" t="n">
        <v>45736</v>
      </c>
      <c r="D2804" t="inlineStr">
        <is>
          <t>VÄRMLANDS LÄN</t>
        </is>
      </c>
      <c r="E2804" t="inlineStr">
        <is>
          <t>ÅRJÄNG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29681-2020</t>
        </is>
      </c>
      <c r="B2805" s="1" t="n">
        <v>44005</v>
      </c>
      <c r="C2805" s="1" t="n">
        <v>45736</v>
      </c>
      <c r="D2805" t="inlineStr">
        <is>
          <t>VÄRMLANDS LÄN</t>
        </is>
      </c>
      <c r="E2805" t="inlineStr">
        <is>
          <t>KARLSTAD</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29854-2020</t>
        </is>
      </c>
      <c r="B2806" s="1" t="n">
        <v>44005</v>
      </c>
      <c r="C2806" s="1" t="n">
        <v>45736</v>
      </c>
      <c r="D2806" t="inlineStr">
        <is>
          <t>VÄRMLANDS LÄN</t>
        </is>
      </c>
      <c r="E2806" t="inlineStr">
        <is>
          <t>FORSHAGA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29808-2020</t>
        </is>
      </c>
      <c r="B2807" s="1" t="n">
        <v>44006</v>
      </c>
      <c r="C2807" s="1" t="n">
        <v>45736</v>
      </c>
      <c r="D2807" t="inlineStr">
        <is>
          <t>VÄRMLANDS LÄN</t>
        </is>
      </c>
      <c r="E2807" t="inlineStr">
        <is>
          <t>ÅRJÄNG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29819-2020</t>
        </is>
      </c>
      <c r="B2808" s="1" t="n">
        <v>44006</v>
      </c>
      <c r="C2808" s="1" t="n">
        <v>45736</v>
      </c>
      <c r="D2808" t="inlineStr">
        <is>
          <t>VÄRMLANDS LÄN</t>
        </is>
      </c>
      <c r="E2808" t="inlineStr">
        <is>
          <t>ÅRJÄNG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29890-2020</t>
        </is>
      </c>
      <c r="B2809" s="1" t="n">
        <v>44006</v>
      </c>
      <c r="C2809" s="1" t="n">
        <v>45736</v>
      </c>
      <c r="D2809" t="inlineStr">
        <is>
          <t>VÄRMLANDS LÄN</t>
        </is>
      </c>
      <c r="E2809" t="inlineStr">
        <is>
          <t>STORFORS</t>
        </is>
      </c>
      <c r="F2809" t="inlineStr">
        <is>
          <t>Bergvik skog väst AB</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29829-2020</t>
        </is>
      </c>
      <c r="B2810" s="1" t="n">
        <v>44006</v>
      </c>
      <c r="C2810" s="1" t="n">
        <v>45736</v>
      </c>
      <c r="D2810" t="inlineStr">
        <is>
          <t>VÄRMLANDS LÄN</t>
        </is>
      </c>
      <c r="E2810" t="inlineStr">
        <is>
          <t>ÅRJÄNG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30017-2020</t>
        </is>
      </c>
      <c r="B2811" s="1" t="n">
        <v>44006</v>
      </c>
      <c r="C2811" s="1" t="n">
        <v>45736</v>
      </c>
      <c r="D2811" t="inlineStr">
        <is>
          <t>VÄRMLANDS LÄN</t>
        </is>
      </c>
      <c r="E2811" t="inlineStr">
        <is>
          <t>FILIPSTAD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29976-2020</t>
        </is>
      </c>
      <c r="B2812" s="1" t="n">
        <v>44006</v>
      </c>
      <c r="C2812" s="1" t="n">
        <v>45736</v>
      </c>
      <c r="D2812" t="inlineStr">
        <is>
          <t>VÄRMLANDS LÄN</t>
        </is>
      </c>
      <c r="E2812" t="inlineStr">
        <is>
          <t>SUNNE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30028-2020</t>
        </is>
      </c>
      <c r="B2813" s="1" t="n">
        <v>44006</v>
      </c>
      <c r="C2813" s="1" t="n">
        <v>45736</v>
      </c>
      <c r="D2813" t="inlineStr">
        <is>
          <t>VÄRMLANDS LÄN</t>
        </is>
      </c>
      <c r="E2813" t="inlineStr">
        <is>
          <t>FILIPSTAD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30085-2020</t>
        </is>
      </c>
      <c r="B2814" s="1" t="n">
        <v>44006</v>
      </c>
      <c r="C2814" s="1" t="n">
        <v>45736</v>
      </c>
      <c r="D2814" t="inlineStr">
        <is>
          <t>VÄRMLANDS LÄN</t>
        </is>
      </c>
      <c r="E2814" t="inlineStr">
        <is>
          <t>FILIPSTAD</t>
        </is>
      </c>
      <c r="F2814" t="inlineStr">
        <is>
          <t>Bergvik skog väst AB</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30007-2020</t>
        </is>
      </c>
      <c r="B2815" s="1" t="n">
        <v>44006</v>
      </c>
      <c r="C2815" s="1" t="n">
        <v>45736</v>
      </c>
      <c r="D2815" t="inlineStr">
        <is>
          <t>VÄRMLANDS LÄN</t>
        </is>
      </c>
      <c r="E2815" t="inlineStr">
        <is>
          <t>FILIPSTAD</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29970-2020</t>
        </is>
      </c>
      <c r="B2816" s="1" t="n">
        <v>44006</v>
      </c>
      <c r="C2816" s="1" t="n">
        <v>45736</v>
      </c>
      <c r="D2816" t="inlineStr">
        <is>
          <t>VÄRMLANDS LÄN</t>
        </is>
      </c>
      <c r="E2816" t="inlineStr">
        <is>
          <t>TORSBY</t>
        </is>
      </c>
      <c r="F2816" t="inlineStr">
        <is>
          <t>Bergvik skog väst AB</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30291-2020</t>
        </is>
      </c>
      <c r="B2817" s="1" t="n">
        <v>44007</v>
      </c>
      <c r="C2817" s="1" t="n">
        <v>45736</v>
      </c>
      <c r="D2817" t="inlineStr">
        <is>
          <t>VÄRMLANDS LÄN</t>
        </is>
      </c>
      <c r="E2817" t="inlineStr">
        <is>
          <t>EDA</t>
        </is>
      </c>
      <c r="F2817" t="inlineStr">
        <is>
          <t>Kommuner</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30549-2020</t>
        </is>
      </c>
      <c r="B2818" s="1" t="n">
        <v>44007</v>
      </c>
      <c r="C2818" s="1" t="n">
        <v>45736</v>
      </c>
      <c r="D2818" t="inlineStr">
        <is>
          <t>VÄRMLANDS LÄN</t>
        </is>
      </c>
      <c r="E2818" t="inlineStr">
        <is>
          <t>SUNNE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30684-2020</t>
        </is>
      </c>
      <c r="B2819" s="1" t="n">
        <v>44008</v>
      </c>
      <c r="C2819" s="1" t="n">
        <v>45736</v>
      </c>
      <c r="D2819" t="inlineStr">
        <is>
          <t>VÄRMLANDS LÄN</t>
        </is>
      </c>
      <c r="E2819" t="inlineStr">
        <is>
          <t>ARVIKA</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30543-2020</t>
        </is>
      </c>
      <c r="B2820" s="1" t="n">
        <v>44008</v>
      </c>
      <c r="C2820" s="1" t="n">
        <v>45736</v>
      </c>
      <c r="D2820" t="inlineStr">
        <is>
          <t>VÄRMLANDS LÄN</t>
        </is>
      </c>
      <c r="E2820" t="inlineStr">
        <is>
          <t>EDA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30572-2020</t>
        </is>
      </c>
      <c r="B2821" s="1" t="n">
        <v>44008</v>
      </c>
      <c r="C2821" s="1" t="n">
        <v>45736</v>
      </c>
      <c r="D2821" t="inlineStr">
        <is>
          <t>VÄRMLANDS LÄN</t>
        </is>
      </c>
      <c r="E2821" t="inlineStr">
        <is>
          <t>TORSBY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30690-2020</t>
        </is>
      </c>
      <c r="B2822" s="1" t="n">
        <v>44008</v>
      </c>
      <c r="C2822" s="1" t="n">
        <v>45736</v>
      </c>
      <c r="D2822" t="inlineStr">
        <is>
          <t>VÄRMLANDS LÄN</t>
        </is>
      </c>
      <c r="E2822" t="inlineStr">
        <is>
          <t>ARVIKA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30768-2020</t>
        </is>
      </c>
      <c r="B2823" s="1" t="n">
        <v>44008</v>
      </c>
      <c r="C2823" s="1" t="n">
        <v>45736</v>
      </c>
      <c r="D2823" t="inlineStr">
        <is>
          <t>VÄRMLANDS LÄN</t>
        </is>
      </c>
      <c r="E2823" t="inlineStr">
        <is>
          <t>FILIPSTAD</t>
        </is>
      </c>
      <c r="F2823" t="inlineStr">
        <is>
          <t>Bergvik skog väst AB</t>
        </is>
      </c>
      <c r="G2823" t="n">
        <v>21.9</v>
      </c>
      <c r="H2823" t="n">
        <v>0</v>
      </c>
      <c r="I2823" t="n">
        <v>0</v>
      </c>
      <c r="J2823" t="n">
        <v>0</v>
      </c>
      <c r="K2823" t="n">
        <v>0</v>
      </c>
      <c r="L2823" t="n">
        <v>0</v>
      </c>
      <c r="M2823" t="n">
        <v>0</v>
      </c>
      <c r="N2823" t="n">
        <v>0</v>
      </c>
      <c r="O2823" t="n">
        <v>0</v>
      </c>
      <c r="P2823" t="n">
        <v>0</v>
      </c>
      <c r="Q2823" t="n">
        <v>0</v>
      </c>
      <c r="R2823" s="2" t="inlineStr"/>
    </row>
    <row r="2824" ht="15" customHeight="1">
      <c r="A2824" t="inlineStr">
        <is>
          <t>A 30767-2020</t>
        </is>
      </c>
      <c r="B2824" s="1" t="n">
        <v>44008</v>
      </c>
      <c r="C2824" s="1" t="n">
        <v>45736</v>
      </c>
      <c r="D2824" t="inlineStr">
        <is>
          <t>VÄRMLANDS LÄN</t>
        </is>
      </c>
      <c r="E2824" t="inlineStr">
        <is>
          <t>FILIPSTAD</t>
        </is>
      </c>
      <c r="F2824" t="inlineStr">
        <is>
          <t>Bergvik skog väst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30982-2020</t>
        </is>
      </c>
      <c r="B2825" s="1" t="n">
        <v>44011</v>
      </c>
      <c r="C2825" s="1" t="n">
        <v>45736</v>
      </c>
      <c r="D2825" t="inlineStr">
        <is>
          <t>VÄRMLANDS LÄN</t>
        </is>
      </c>
      <c r="E2825" t="inlineStr">
        <is>
          <t>HAGFORS</t>
        </is>
      </c>
      <c r="F2825" t="inlineStr">
        <is>
          <t>Bergvik skog väst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30996-2020</t>
        </is>
      </c>
      <c r="B2826" s="1" t="n">
        <v>44011</v>
      </c>
      <c r="C2826" s="1" t="n">
        <v>45736</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30930-2020</t>
        </is>
      </c>
      <c r="B2827" s="1" t="n">
        <v>44011</v>
      </c>
      <c r="C2827" s="1" t="n">
        <v>45736</v>
      </c>
      <c r="D2827" t="inlineStr">
        <is>
          <t>VÄRMLANDS LÄN</t>
        </is>
      </c>
      <c r="E2827" t="inlineStr">
        <is>
          <t>TORSBY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30960-2020</t>
        </is>
      </c>
      <c r="B2828" s="1" t="n">
        <v>44011</v>
      </c>
      <c r="C2828" s="1" t="n">
        <v>45736</v>
      </c>
      <c r="D2828" t="inlineStr">
        <is>
          <t>VÄRMLANDS LÄN</t>
        </is>
      </c>
      <c r="E2828" t="inlineStr">
        <is>
          <t>KARLSTAD</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31073-2020</t>
        </is>
      </c>
      <c r="B2829" s="1" t="n">
        <v>44012</v>
      </c>
      <c r="C2829" s="1" t="n">
        <v>45736</v>
      </c>
      <c r="D2829" t="inlineStr">
        <is>
          <t>VÄRMLANDS LÄN</t>
        </is>
      </c>
      <c r="E2829" t="inlineStr">
        <is>
          <t>HAGFORS</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31135-2020</t>
        </is>
      </c>
      <c r="B2830" s="1" t="n">
        <v>44012</v>
      </c>
      <c r="C2830" s="1" t="n">
        <v>45736</v>
      </c>
      <c r="D2830" t="inlineStr">
        <is>
          <t>VÄRMLANDS LÄN</t>
        </is>
      </c>
      <c r="E2830" t="inlineStr">
        <is>
          <t>ARVIKA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31250-2020</t>
        </is>
      </c>
      <c r="B2831" s="1" t="n">
        <v>44012</v>
      </c>
      <c r="C2831" s="1" t="n">
        <v>45736</v>
      </c>
      <c r="D2831" t="inlineStr">
        <is>
          <t>VÄRMLANDS LÄN</t>
        </is>
      </c>
      <c r="E2831" t="inlineStr">
        <is>
          <t>SUNNE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31192-2020</t>
        </is>
      </c>
      <c r="B2832" s="1" t="n">
        <v>44012</v>
      </c>
      <c r="C2832" s="1" t="n">
        <v>45736</v>
      </c>
      <c r="D2832" t="inlineStr">
        <is>
          <t>VÄRMLANDS LÄN</t>
        </is>
      </c>
      <c r="E2832" t="inlineStr">
        <is>
          <t>HAGFORS</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31262-2020</t>
        </is>
      </c>
      <c r="B2833" s="1" t="n">
        <v>44012</v>
      </c>
      <c r="C2833" s="1" t="n">
        <v>45736</v>
      </c>
      <c r="D2833" t="inlineStr">
        <is>
          <t>VÄRMLANDS LÄN</t>
        </is>
      </c>
      <c r="E2833" t="inlineStr">
        <is>
          <t>SÄFFLE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31206-2020</t>
        </is>
      </c>
      <c r="B2834" s="1" t="n">
        <v>44012</v>
      </c>
      <c r="C2834" s="1" t="n">
        <v>45736</v>
      </c>
      <c r="D2834" t="inlineStr">
        <is>
          <t>VÄRMLANDS LÄN</t>
        </is>
      </c>
      <c r="E2834" t="inlineStr">
        <is>
          <t>SUNNE</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31224-2020</t>
        </is>
      </c>
      <c r="B2835" s="1" t="n">
        <v>44012</v>
      </c>
      <c r="C2835" s="1" t="n">
        <v>45736</v>
      </c>
      <c r="D2835" t="inlineStr">
        <is>
          <t>VÄRMLANDS LÄN</t>
        </is>
      </c>
      <c r="E2835" t="inlineStr">
        <is>
          <t>SUNNE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31298-2020</t>
        </is>
      </c>
      <c r="B2836" s="1" t="n">
        <v>44012</v>
      </c>
      <c r="C2836" s="1" t="n">
        <v>45736</v>
      </c>
      <c r="D2836" t="inlineStr">
        <is>
          <t>VÄRMLANDS LÄN</t>
        </is>
      </c>
      <c r="E2836" t="inlineStr">
        <is>
          <t>TORSBY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31381-2020</t>
        </is>
      </c>
      <c r="B2837" s="1" t="n">
        <v>44012</v>
      </c>
      <c r="C2837" s="1" t="n">
        <v>45736</v>
      </c>
      <c r="D2837" t="inlineStr">
        <is>
          <t>VÄRMLANDS LÄN</t>
        </is>
      </c>
      <c r="E2837" t="inlineStr">
        <is>
          <t>KARLSTAD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31379-2020</t>
        </is>
      </c>
      <c r="B2838" s="1" t="n">
        <v>44012</v>
      </c>
      <c r="C2838" s="1" t="n">
        <v>45736</v>
      </c>
      <c r="D2838" t="inlineStr">
        <is>
          <t>VÄRMLANDS LÄN</t>
        </is>
      </c>
      <c r="E2838" t="inlineStr">
        <is>
          <t>KARLSTAD</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31252-2020</t>
        </is>
      </c>
      <c r="B2839" s="1" t="n">
        <v>44012</v>
      </c>
      <c r="C2839" s="1" t="n">
        <v>45736</v>
      </c>
      <c r="D2839" t="inlineStr">
        <is>
          <t>VÄRMLANDS LÄN</t>
        </is>
      </c>
      <c r="E2839" t="inlineStr">
        <is>
          <t>SÄFFLE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31486-2020</t>
        </is>
      </c>
      <c r="B2840" s="1" t="n">
        <v>44013</v>
      </c>
      <c r="C2840" s="1" t="n">
        <v>45736</v>
      </c>
      <c r="D2840" t="inlineStr">
        <is>
          <t>VÄRMLANDS LÄN</t>
        </is>
      </c>
      <c r="E2840" t="inlineStr">
        <is>
          <t>SUNNE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31436-2020</t>
        </is>
      </c>
      <c r="B2841" s="1" t="n">
        <v>44013</v>
      </c>
      <c r="C2841" s="1" t="n">
        <v>45736</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31480-2020</t>
        </is>
      </c>
      <c r="B2842" s="1" t="n">
        <v>44013</v>
      </c>
      <c r="C2842" s="1" t="n">
        <v>45736</v>
      </c>
      <c r="D2842" t="inlineStr">
        <is>
          <t>VÄRMLANDS LÄN</t>
        </is>
      </c>
      <c r="E2842" t="inlineStr">
        <is>
          <t>SUNNE</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31577-2020</t>
        </is>
      </c>
      <c r="B2843" s="1" t="n">
        <v>44013</v>
      </c>
      <c r="C2843" s="1" t="n">
        <v>45736</v>
      </c>
      <c r="D2843" t="inlineStr">
        <is>
          <t>VÄRMLANDS LÄN</t>
        </is>
      </c>
      <c r="E2843" t="inlineStr">
        <is>
          <t>TORSBY</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31521-2020</t>
        </is>
      </c>
      <c r="B2844" s="1" t="n">
        <v>44013</v>
      </c>
      <c r="C2844" s="1" t="n">
        <v>45736</v>
      </c>
      <c r="D2844" t="inlineStr">
        <is>
          <t>VÄRMLANDS LÄN</t>
        </is>
      </c>
      <c r="E2844" t="inlineStr">
        <is>
          <t>ÅRJÄNG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31665-2020</t>
        </is>
      </c>
      <c r="B2845" s="1" t="n">
        <v>44014</v>
      </c>
      <c r="C2845" s="1" t="n">
        <v>45736</v>
      </c>
      <c r="D2845" t="inlineStr">
        <is>
          <t>VÄRMLANDS LÄN</t>
        </is>
      </c>
      <c r="E2845" t="inlineStr">
        <is>
          <t>ÅRJÄNG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31667-2020</t>
        </is>
      </c>
      <c r="B2846" s="1" t="n">
        <v>44013</v>
      </c>
      <c r="C2846" s="1" t="n">
        <v>45736</v>
      </c>
      <c r="D2846" t="inlineStr">
        <is>
          <t>VÄRMLANDS LÄN</t>
        </is>
      </c>
      <c r="E2846" t="inlineStr">
        <is>
          <t>ÅRJÄNG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31684-2020</t>
        </is>
      </c>
      <c r="B2847" s="1" t="n">
        <v>44014</v>
      </c>
      <c r="C2847" s="1" t="n">
        <v>45736</v>
      </c>
      <c r="D2847" t="inlineStr">
        <is>
          <t>VÄRMLANDS LÄN</t>
        </is>
      </c>
      <c r="E2847" t="inlineStr">
        <is>
          <t>SUNNE</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31767-2020</t>
        </is>
      </c>
      <c r="B2848" s="1" t="n">
        <v>44014</v>
      </c>
      <c r="C2848" s="1" t="n">
        <v>45736</v>
      </c>
      <c r="D2848" t="inlineStr">
        <is>
          <t>VÄRMLANDS LÄN</t>
        </is>
      </c>
      <c r="E2848" t="inlineStr">
        <is>
          <t>SÄFFLE</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31680-2020</t>
        </is>
      </c>
      <c r="B2849" s="1" t="n">
        <v>44014</v>
      </c>
      <c r="C2849" s="1" t="n">
        <v>45736</v>
      </c>
      <c r="D2849" t="inlineStr">
        <is>
          <t>VÄRMLANDS LÄN</t>
        </is>
      </c>
      <c r="E2849" t="inlineStr">
        <is>
          <t>SUNNE</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31689-2020</t>
        </is>
      </c>
      <c r="B2850" s="1" t="n">
        <v>44014</v>
      </c>
      <c r="C2850" s="1" t="n">
        <v>45736</v>
      </c>
      <c r="D2850" t="inlineStr">
        <is>
          <t>VÄRMLANDS LÄN</t>
        </is>
      </c>
      <c r="E2850" t="inlineStr">
        <is>
          <t>ARVIKA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31759-2020</t>
        </is>
      </c>
      <c r="B2851" s="1" t="n">
        <v>44014</v>
      </c>
      <c r="C2851" s="1" t="n">
        <v>45736</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31769-2020</t>
        </is>
      </c>
      <c r="B2852" s="1" t="n">
        <v>44014</v>
      </c>
      <c r="C2852" s="1" t="n">
        <v>45736</v>
      </c>
      <c r="D2852" t="inlineStr">
        <is>
          <t>VÄRMLANDS LÄN</t>
        </is>
      </c>
      <c r="E2852" t="inlineStr">
        <is>
          <t>SÄFFLE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32076-2020</t>
        </is>
      </c>
      <c r="B2853" s="1" t="n">
        <v>44015</v>
      </c>
      <c r="C2853" s="1" t="n">
        <v>45736</v>
      </c>
      <c r="D2853" t="inlineStr">
        <is>
          <t>VÄRMLANDS LÄN</t>
        </is>
      </c>
      <c r="E2853" t="inlineStr">
        <is>
          <t>SUNNE</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32171-2020</t>
        </is>
      </c>
      <c r="B2854" s="1" t="n">
        <v>44015</v>
      </c>
      <c r="C2854" s="1" t="n">
        <v>45736</v>
      </c>
      <c r="D2854" t="inlineStr">
        <is>
          <t>VÄRMLANDS LÄN</t>
        </is>
      </c>
      <c r="E2854" t="inlineStr">
        <is>
          <t>KARLSTAD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32122-2020</t>
        </is>
      </c>
      <c r="B2855" s="1" t="n">
        <v>44015</v>
      </c>
      <c r="C2855" s="1" t="n">
        <v>45736</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32354-2020</t>
        </is>
      </c>
      <c r="B2856" s="1" t="n">
        <v>44017</v>
      </c>
      <c r="C2856" s="1" t="n">
        <v>45736</v>
      </c>
      <c r="D2856" t="inlineStr">
        <is>
          <t>VÄRMLANDS LÄN</t>
        </is>
      </c>
      <c r="E2856" t="inlineStr">
        <is>
          <t>ARVIKA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32399-2020</t>
        </is>
      </c>
      <c r="B2857" s="1" t="n">
        <v>44018</v>
      </c>
      <c r="C2857" s="1" t="n">
        <v>45736</v>
      </c>
      <c r="D2857" t="inlineStr">
        <is>
          <t>VÄRMLANDS LÄN</t>
        </is>
      </c>
      <c r="E2857" t="inlineStr">
        <is>
          <t>ÅRJÄNG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32570-2020</t>
        </is>
      </c>
      <c r="B2858" s="1" t="n">
        <v>44018</v>
      </c>
      <c r="C2858" s="1" t="n">
        <v>45736</v>
      </c>
      <c r="D2858" t="inlineStr">
        <is>
          <t>VÄRMLANDS LÄN</t>
        </is>
      </c>
      <c r="E2858" t="inlineStr">
        <is>
          <t>ARVIKA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32470-2020</t>
        </is>
      </c>
      <c r="B2859" s="1" t="n">
        <v>44018</v>
      </c>
      <c r="C2859" s="1" t="n">
        <v>45736</v>
      </c>
      <c r="D2859" t="inlineStr">
        <is>
          <t>VÄRMLANDS LÄN</t>
        </is>
      </c>
      <c r="E2859" t="inlineStr">
        <is>
          <t>HAGFORS</t>
        </is>
      </c>
      <c r="F2859" t="inlineStr">
        <is>
          <t>Bergvik skog väst AB</t>
        </is>
      </c>
      <c r="G2859" t="n">
        <v>13.6</v>
      </c>
      <c r="H2859" t="n">
        <v>0</v>
      </c>
      <c r="I2859" t="n">
        <v>0</v>
      </c>
      <c r="J2859" t="n">
        <v>0</v>
      </c>
      <c r="K2859" t="n">
        <v>0</v>
      </c>
      <c r="L2859" t="n">
        <v>0</v>
      </c>
      <c r="M2859" t="n">
        <v>0</v>
      </c>
      <c r="N2859" t="n">
        <v>0</v>
      </c>
      <c r="O2859" t="n">
        <v>0</v>
      </c>
      <c r="P2859" t="n">
        <v>0</v>
      </c>
      <c r="Q2859" t="n">
        <v>0</v>
      </c>
      <c r="R2859" s="2" t="inlineStr"/>
    </row>
    <row r="2860" ht="15" customHeight="1">
      <c r="A2860" t="inlineStr">
        <is>
          <t>A 32595-2020</t>
        </is>
      </c>
      <c r="B2860" s="1" t="n">
        <v>44019</v>
      </c>
      <c r="C2860" s="1" t="n">
        <v>45736</v>
      </c>
      <c r="D2860" t="inlineStr">
        <is>
          <t>VÄRMLANDS LÄN</t>
        </is>
      </c>
      <c r="E2860" t="inlineStr">
        <is>
          <t>EDA</t>
        </is>
      </c>
      <c r="F2860" t="inlineStr">
        <is>
          <t>Kyrkan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32629-2020</t>
        </is>
      </c>
      <c r="B2861" s="1" t="n">
        <v>44019</v>
      </c>
      <c r="C2861" s="1" t="n">
        <v>45736</v>
      </c>
      <c r="D2861" t="inlineStr">
        <is>
          <t>VÄRMLANDS LÄN</t>
        </is>
      </c>
      <c r="E2861" t="inlineStr">
        <is>
          <t>SUNNE</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32600-2020</t>
        </is>
      </c>
      <c r="B2862" s="1" t="n">
        <v>44019</v>
      </c>
      <c r="C2862" s="1" t="n">
        <v>45736</v>
      </c>
      <c r="D2862" t="inlineStr">
        <is>
          <t>VÄRMLANDS LÄN</t>
        </is>
      </c>
      <c r="E2862" t="inlineStr">
        <is>
          <t>ARVIKA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32623-2020</t>
        </is>
      </c>
      <c r="B2863" s="1" t="n">
        <v>44019</v>
      </c>
      <c r="C2863" s="1" t="n">
        <v>45736</v>
      </c>
      <c r="D2863" t="inlineStr">
        <is>
          <t>VÄRMLANDS LÄN</t>
        </is>
      </c>
      <c r="E2863" t="inlineStr">
        <is>
          <t>TORSBY</t>
        </is>
      </c>
      <c r="F2863" t="inlineStr">
        <is>
          <t>Kommuner</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32651-2020</t>
        </is>
      </c>
      <c r="B2864" s="1" t="n">
        <v>44019</v>
      </c>
      <c r="C2864" s="1" t="n">
        <v>45736</v>
      </c>
      <c r="D2864" t="inlineStr">
        <is>
          <t>VÄRMLANDS LÄN</t>
        </is>
      </c>
      <c r="E2864" t="inlineStr">
        <is>
          <t>TORSBY</t>
        </is>
      </c>
      <c r="F2864" t="inlineStr">
        <is>
          <t>Kommuner</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33027-2020</t>
        </is>
      </c>
      <c r="B2865" s="1" t="n">
        <v>44019</v>
      </c>
      <c r="C2865" s="1" t="n">
        <v>45736</v>
      </c>
      <c r="D2865" t="inlineStr">
        <is>
          <t>VÄRMLANDS LÄN</t>
        </is>
      </c>
      <c r="E2865" t="inlineStr">
        <is>
          <t>SUNNE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32705-2020</t>
        </is>
      </c>
      <c r="B2866" s="1" t="n">
        <v>44019</v>
      </c>
      <c r="C2866" s="1" t="n">
        <v>45736</v>
      </c>
      <c r="D2866" t="inlineStr">
        <is>
          <t>VÄRMLANDS LÄN</t>
        </is>
      </c>
      <c r="E2866" t="inlineStr">
        <is>
          <t>GRUMS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32956-2020</t>
        </is>
      </c>
      <c r="B2867" s="1" t="n">
        <v>44019</v>
      </c>
      <c r="C2867" s="1" t="n">
        <v>45736</v>
      </c>
      <c r="D2867" t="inlineStr">
        <is>
          <t>VÄRMLANDS LÄN</t>
        </is>
      </c>
      <c r="E2867" t="inlineStr">
        <is>
          <t>ÅRJÄNG</t>
        </is>
      </c>
      <c r="F2867" t="inlineStr">
        <is>
          <t>Övriga Aktiebolag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32962-2020</t>
        </is>
      </c>
      <c r="B2868" s="1" t="n">
        <v>44019</v>
      </c>
      <c r="C2868" s="1" t="n">
        <v>45736</v>
      </c>
      <c r="D2868" t="inlineStr">
        <is>
          <t>VÄRMLANDS LÄN</t>
        </is>
      </c>
      <c r="E2868" t="inlineStr">
        <is>
          <t>ÅRJÄNG</t>
        </is>
      </c>
      <c r="F2868" t="inlineStr">
        <is>
          <t>Övriga Aktiebolag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32978-2020</t>
        </is>
      </c>
      <c r="B2869" s="1" t="n">
        <v>44020</v>
      </c>
      <c r="C2869" s="1" t="n">
        <v>45736</v>
      </c>
      <c r="D2869" t="inlineStr">
        <is>
          <t>VÄRMLANDS LÄN</t>
        </is>
      </c>
      <c r="E2869" t="inlineStr">
        <is>
          <t>EDA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33075-2020</t>
        </is>
      </c>
      <c r="B2870" s="1" t="n">
        <v>44021</v>
      </c>
      <c r="C2870" s="1" t="n">
        <v>45736</v>
      </c>
      <c r="D2870" t="inlineStr">
        <is>
          <t>VÄRMLANDS LÄN</t>
        </is>
      </c>
      <c r="E2870" t="inlineStr">
        <is>
          <t>EDA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33157-2020</t>
        </is>
      </c>
      <c r="B2871" s="1" t="n">
        <v>44021</v>
      </c>
      <c r="C2871" s="1" t="n">
        <v>45736</v>
      </c>
      <c r="D2871" t="inlineStr">
        <is>
          <t>VÄRMLANDS LÄN</t>
        </is>
      </c>
      <c r="E2871" t="inlineStr">
        <is>
          <t>KARLSTAD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33124-2020</t>
        </is>
      </c>
      <c r="B2872" s="1" t="n">
        <v>44021</v>
      </c>
      <c r="C2872" s="1" t="n">
        <v>45736</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33164-2020</t>
        </is>
      </c>
      <c r="B2873" s="1" t="n">
        <v>44021</v>
      </c>
      <c r="C2873" s="1" t="n">
        <v>45736</v>
      </c>
      <c r="D2873" t="inlineStr">
        <is>
          <t>VÄRMLANDS LÄN</t>
        </is>
      </c>
      <c r="E2873" t="inlineStr">
        <is>
          <t>KARLSTAD</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33173-2020</t>
        </is>
      </c>
      <c r="B2874" s="1" t="n">
        <v>44021</v>
      </c>
      <c r="C2874" s="1" t="n">
        <v>45736</v>
      </c>
      <c r="D2874" t="inlineStr">
        <is>
          <t>VÄRMLANDS LÄN</t>
        </is>
      </c>
      <c r="E2874" t="inlineStr">
        <is>
          <t>KARLSTAD</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33095-2020</t>
        </is>
      </c>
      <c r="B2875" s="1" t="n">
        <v>44021</v>
      </c>
      <c r="C2875" s="1" t="n">
        <v>45736</v>
      </c>
      <c r="D2875" t="inlineStr">
        <is>
          <t>VÄRMLANDS LÄN</t>
        </is>
      </c>
      <c r="E2875" t="inlineStr">
        <is>
          <t>TORSBY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33126-2020</t>
        </is>
      </c>
      <c r="B2876" s="1" t="n">
        <v>44021</v>
      </c>
      <c r="C2876" s="1" t="n">
        <v>45736</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33160-2020</t>
        </is>
      </c>
      <c r="B2877" s="1" t="n">
        <v>44021</v>
      </c>
      <c r="C2877" s="1" t="n">
        <v>45736</v>
      </c>
      <c r="D2877" t="inlineStr">
        <is>
          <t>VÄRMLANDS LÄN</t>
        </is>
      </c>
      <c r="E2877" t="inlineStr">
        <is>
          <t>KARLSTAD</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33167-2020</t>
        </is>
      </c>
      <c r="B2878" s="1" t="n">
        <v>44021</v>
      </c>
      <c r="C2878" s="1" t="n">
        <v>45736</v>
      </c>
      <c r="D2878" t="inlineStr">
        <is>
          <t>VÄRMLANDS LÄN</t>
        </is>
      </c>
      <c r="E2878" t="inlineStr">
        <is>
          <t>KARLSTAD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33150-2020</t>
        </is>
      </c>
      <c r="B2879" s="1" t="n">
        <v>44021</v>
      </c>
      <c r="C2879" s="1" t="n">
        <v>45736</v>
      </c>
      <c r="D2879" t="inlineStr">
        <is>
          <t>VÄRMLANDS LÄN</t>
        </is>
      </c>
      <c r="E2879" t="inlineStr">
        <is>
          <t>KARLSTAD</t>
        </is>
      </c>
      <c r="G2879" t="n">
        <v>25.3</v>
      </c>
      <c r="H2879" t="n">
        <v>0</v>
      </c>
      <c r="I2879" t="n">
        <v>0</v>
      </c>
      <c r="J2879" t="n">
        <v>0</v>
      </c>
      <c r="K2879" t="n">
        <v>0</v>
      </c>
      <c r="L2879" t="n">
        <v>0</v>
      </c>
      <c r="M2879" t="n">
        <v>0</v>
      </c>
      <c r="N2879" t="n">
        <v>0</v>
      </c>
      <c r="O2879" t="n">
        <v>0</v>
      </c>
      <c r="P2879" t="n">
        <v>0</v>
      </c>
      <c r="Q2879" t="n">
        <v>0</v>
      </c>
      <c r="R2879" s="2" t="inlineStr"/>
    </row>
    <row r="2880" ht="15" customHeight="1">
      <c r="A2880" t="inlineStr">
        <is>
          <t>A 33161-2020</t>
        </is>
      </c>
      <c r="B2880" s="1" t="n">
        <v>44021</v>
      </c>
      <c r="C2880" s="1" t="n">
        <v>45736</v>
      </c>
      <c r="D2880" t="inlineStr">
        <is>
          <t>VÄRMLANDS LÄN</t>
        </is>
      </c>
      <c r="E2880" t="inlineStr">
        <is>
          <t>KARLSTAD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33169-2020</t>
        </is>
      </c>
      <c r="B2881" s="1" t="n">
        <v>44021</v>
      </c>
      <c r="C2881" s="1" t="n">
        <v>45736</v>
      </c>
      <c r="D2881" t="inlineStr">
        <is>
          <t>VÄRMLANDS LÄN</t>
        </is>
      </c>
      <c r="E2881" t="inlineStr">
        <is>
          <t>KARLSTAD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33163-2020</t>
        </is>
      </c>
      <c r="B2882" s="1" t="n">
        <v>44021</v>
      </c>
      <c r="C2882" s="1" t="n">
        <v>45736</v>
      </c>
      <c r="D2882" t="inlineStr">
        <is>
          <t>VÄRMLANDS LÄN</t>
        </is>
      </c>
      <c r="E2882" t="inlineStr">
        <is>
          <t>KARLSTAD</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33691-2020</t>
        </is>
      </c>
      <c r="B2883" s="1" t="n">
        <v>44022</v>
      </c>
      <c r="C2883" s="1" t="n">
        <v>45736</v>
      </c>
      <c r="D2883" t="inlineStr">
        <is>
          <t>VÄRMLANDS LÄN</t>
        </is>
      </c>
      <c r="E2883" t="inlineStr">
        <is>
          <t>TORSBY</t>
        </is>
      </c>
      <c r="F2883" t="inlineStr">
        <is>
          <t>Övriga Aktiebolag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33653-2020</t>
        </is>
      </c>
      <c r="B2884" s="1" t="n">
        <v>44022</v>
      </c>
      <c r="C2884" s="1" t="n">
        <v>45736</v>
      </c>
      <c r="D2884" t="inlineStr">
        <is>
          <t>VÄRMLANDS LÄN</t>
        </is>
      </c>
      <c r="E2884" t="inlineStr">
        <is>
          <t>SUNNE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33695-2020</t>
        </is>
      </c>
      <c r="B2885" s="1" t="n">
        <v>44022</v>
      </c>
      <c r="C2885" s="1" t="n">
        <v>45736</v>
      </c>
      <c r="D2885" t="inlineStr">
        <is>
          <t>VÄRMLANDS LÄN</t>
        </is>
      </c>
      <c r="E2885" t="inlineStr">
        <is>
          <t>HAGFORS</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34901-2020</t>
        </is>
      </c>
      <c r="B2886" s="1" t="n">
        <v>44022</v>
      </c>
      <c r="C2886" s="1" t="n">
        <v>45736</v>
      </c>
      <c r="D2886" t="inlineStr">
        <is>
          <t>VÄRMLANDS LÄN</t>
        </is>
      </c>
      <c r="E2886" t="inlineStr">
        <is>
          <t>TORSBY</t>
        </is>
      </c>
      <c r="F2886" t="inlineStr">
        <is>
          <t>Övriga Aktiebolag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33476-2020</t>
        </is>
      </c>
      <c r="B2887" s="1" t="n">
        <v>44023</v>
      </c>
      <c r="C2887" s="1" t="n">
        <v>45736</v>
      </c>
      <c r="D2887" t="inlineStr">
        <is>
          <t>VÄRMLANDS LÄN</t>
        </is>
      </c>
      <c r="E2887" t="inlineStr">
        <is>
          <t>FORSHAGA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33547-2020</t>
        </is>
      </c>
      <c r="B2888" s="1" t="n">
        <v>44025</v>
      </c>
      <c r="C2888" s="1" t="n">
        <v>45736</v>
      </c>
      <c r="D2888" t="inlineStr">
        <is>
          <t>VÄRMLANDS LÄN</t>
        </is>
      </c>
      <c r="E2888" t="inlineStr">
        <is>
          <t>EDA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34053-2020</t>
        </is>
      </c>
      <c r="B2889" s="1" t="n">
        <v>44026</v>
      </c>
      <c r="C2889" s="1" t="n">
        <v>45736</v>
      </c>
      <c r="D2889" t="inlineStr">
        <is>
          <t>VÄRMLANDS LÄN</t>
        </is>
      </c>
      <c r="E2889" t="inlineStr">
        <is>
          <t>ARVIKA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34035-2020</t>
        </is>
      </c>
      <c r="B2890" s="1" t="n">
        <v>44026</v>
      </c>
      <c r="C2890" s="1" t="n">
        <v>45736</v>
      </c>
      <c r="D2890" t="inlineStr">
        <is>
          <t>VÄRMLANDS LÄN</t>
        </is>
      </c>
      <c r="E2890" t="inlineStr">
        <is>
          <t>ARVIKA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34044-2020</t>
        </is>
      </c>
      <c r="B2891" s="1" t="n">
        <v>44026</v>
      </c>
      <c r="C2891" s="1" t="n">
        <v>45736</v>
      </c>
      <c r="D2891" t="inlineStr">
        <is>
          <t>VÄRMLANDS LÄN</t>
        </is>
      </c>
      <c r="E2891" t="inlineStr">
        <is>
          <t>ARVIKA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34005-2020</t>
        </is>
      </c>
      <c r="B2892" s="1" t="n">
        <v>44026</v>
      </c>
      <c r="C2892" s="1" t="n">
        <v>45736</v>
      </c>
      <c r="D2892" t="inlineStr">
        <is>
          <t>VÄRMLANDS LÄN</t>
        </is>
      </c>
      <c r="E2892" t="inlineStr">
        <is>
          <t>SÄFFLE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33822-2020</t>
        </is>
      </c>
      <c r="B2893" s="1" t="n">
        <v>44027</v>
      </c>
      <c r="C2893" s="1" t="n">
        <v>45736</v>
      </c>
      <c r="D2893" t="inlineStr">
        <is>
          <t>VÄRMLANDS LÄN</t>
        </is>
      </c>
      <c r="E2893" t="inlineStr">
        <is>
          <t>SUNNE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33872-2020</t>
        </is>
      </c>
      <c r="B2894" s="1" t="n">
        <v>44027</v>
      </c>
      <c r="C2894" s="1" t="n">
        <v>45736</v>
      </c>
      <c r="D2894" t="inlineStr">
        <is>
          <t>VÄRMLANDS LÄN</t>
        </is>
      </c>
      <c r="E2894" t="inlineStr">
        <is>
          <t>FILIPSTAD</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33847-2020</t>
        </is>
      </c>
      <c r="B2895" s="1" t="n">
        <v>44027</v>
      </c>
      <c r="C2895" s="1" t="n">
        <v>45736</v>
      </c>
      <c r="D2895" t="inlineStr">
        <is>
          <t>VÄRMLANDS LÄN</t>
        </is>
      </c>
      <c r="E2895" t="inlineStr">
        <is>
          <t>ARVIKA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33904-2020</t>
        </is>
      </c>
      <c r="B2896" s="1" t="n">
        <v>44027</v>
      </c>
      <c r="C2896" s="1" t="n">
        <v>45736</v>
      </c>
      <c r="D2896" t="inlineStr">
        <is>
          <t>VÄRMLANDS LÄN</t>
        </is>
      </c>
      <c r="E2896" t="inlineStr">
        <is>
          <t>KIL</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33908-2020</t>
        </is>
      </c>
      <c r="B2897" s="1" t="n">
        <v>44027</v>
      </c>
      <c r="C2897" s="1" t="n">
        <v>45736</v>
      </c>
      <c r="D2897" t="inlineStr">
        <is>
          <t>VÄRMLANDS LÄN</t>
        </is>
      </c>
      <c r="E2897" t="inlineStr">
        <is>
          <t>TORSBY</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33896-2020</t>
        </is>
      </c>
      <c r="B2898" s="1" t="n">
        <v>44027</v>
      </c>
      <c r="C2898" s="1" t="n">
        <v>45736</v>
      </c>
      <c r="D2898" t="inlineStr">
        <is>
          <t>VÄRMLANDS LÄN</t>
        </is>
      </c>
      <c r="E2898" t="inlineStr">
        <is>
          <t>KIL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33864-2020</t>
        </is>
      </c>
      <c r="B2899" s="1" t="n">
        <v>44027</v>
      </c>
      <c r="C2899" s="1" t="n">
        <v>45736</v>
      </c>
      <c r="D2899" t="inlineStr">
        <is>
          <t>VÄRMLANDS LÄN</t>
        </is>
      </c>
      <c r="E2899" t="inlineStr">
        <is>
          <t>TORSBY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34009-2020</t>
        </is>
      </c>
      <c r="B2900" s="1" t="n">
        <v>44028</v>
      </c>
      <c r="C2900" s="1" t="n">
        <v>45736</v>
      </c>
      <c r="D2900" t="inlineStr">
        <is>
          <t>VÄRMLANDS LÄN</t>
        </is>
      </c>
      <c r="E2900" t="inlineStr">
        <is>
          <t>SUNNE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34105-2020</t>
        </is>
      </c>
      <c r="B2901" s="1" t="n">
        <v>44028</v>
      </c>
      <c r="C2901" s="1" t="n">
        <v>45736</v>
      </c>
      <c r="D2901" t="inlineStr">
        <is>
          <t>VÄRMLANDS LÄN</t>
        </is>
      </c>
      <c r="E2901" t="inlineStr">
        <is>
          <t>FILIPSTAD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33969-2020</t>
        </is>
      </c>
      <c r="B2902" s="1" t="n">
        <v>44028</v>
      </c>
      <c r="C2902" s="1" t="n">
        <v>45736</v>
      </c>
      <c r="D2902" t="inlineStr">
        <is>
          <t>VÄRMLANDS LÄN</t>
        </is>
      </c>
      <c r="E2902" t="inlineStr">
        <is>
          <t>FILIPSTAD</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33996-2020</t>
        </is>
      </c>
      <c r="B2903" s="1" t="n">
        <v>44028</v>
      </c>
      <c r="C2903" s="1" t="n">
        <v>45736</v>
      </c>
      <c r="D2903" t="inlineStr">
        <is>
          <t>VÄRMLANDS LÄN</t>
        </is>
      </c>
      <c r="E2903" t="inlineStr">
        <is>
          <t>KRISTINEHAMN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34003-2020</t>
        </is>
      </c>
      <c r="B2904" s="1" t="n">
        <v>44028</v>
      </c>
      <c r="C2904" s="1" t="n">
        <v>45736</v>
      </c>
      <c r="D2904" t="inlineStr">
        <is>
          <t>VÄRMLANDS LÄN</t>
        </is>
      </c>
      <c r="E2904" t="inlineStr">
        <is>
          <t>SUNNE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34118-2020</t>
        </is>
      </c>
      <c r="B2905" s="1" t="n">
        <v>44028</v>
      </c>
      <c r="C2905" s="1" t="n">
        <v>45736</v>
      </c>
      <c r="D2905" t="inlineStr">
        <is>
          <t>VÄRMLANDS LÄN</t>
        </is>
      </c>
      <c r="E2905" t="inlineStr">
        <is>
          <t>TORSBY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34132-2020</t>
        </is>
      </c>
      <c r="B2906" s="1" t="n">
        <v>44029</v>
      </c>
      <c r="C2906" s="1" t="n">
        <v>45736</v>
      </c>
      <c r="D2906" t="inlineStr">
        <is>
          <t>VÄRMLANDS LÄN</t>
        </is>
      </c>
      <c r="E2906" t="inlineStr">
        <is>
          <t>ÅRJÄNG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34421-2020</t>
        </is>
      </c>
      <c r="B2907" s="1" t="n">
        <v>44029</v>
      </c>
      <c r="C2907" s="1" t="n">
        <v>45736</v>
      </c>
      <c r="D2907" t="inlineStr">
        <is>
          <t>VÄRMLANDS LÄN</t>
        </is>
      </c>
      <c r="E2907" t="inlineStr">
        <is>
          <t>STORFORS</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34166-2020</t>
        </is>
      </c>
      <c r="B2908" s="1" t="n">
        <v>44029</v>
      </c>
      <c r="C2908" s="1" t="n">
        <v>45736</v>
      </c>
      <c r="D2908" t="inlineStr">
        <is>
          <t>VÄRMLANDS LÄN</t>
        </is>
      </c>
      <c r="E2908" t="inlineStr">
        <is>
          <t>KRISTINEHAMN</t>
        </is>
      </c>
      <c r="F2908" t="inlineStr">
        <is>
          <t>Sveaskog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34407-2020</t>
        </is>
      </c>
      <c r="B2909" s="1" t="n">
        <v>44029</v>
      </c>
      <c r="C2909" s="1" t="n">
        <v>45736</v>
      </c>
      <c r="D2909" t="inlineStr">
        <is>
          <t>VÄRMLANDS LÄN</t>
        </is>
      </c>
      <c r="E2909" t="inlineStr">
        <is>
          <t>STORFORS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34247-2020</t>
        </is>
      </c>
      <c r="B2910" s="1" t="n">
        <v>44029</v>
      </c>
      <c r="C2910" s="1" t="n">
        <v>45736</v>
      </c>
      <c r="D2910" t="inlineStr">
        <is>
          <t>VÄRMLANDS LÄN</t>
        </is>
      </c>
      <c r="E2910" t="inlineStr">
        <is>
          <t>TORSBY</t>
        </is>
      </c>
      <c r="F2910" t="inlineStr">
        <is>
          <t>Kommuner</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34295-2020</t>
        </is>
      </c>
      <c r="B2911" s="1" t="n">
        <v>44030</v>
      </c>
      <c r="C2911" s="1" t="n">
        <v>45736</v>
      </c>
      <c r="D2911" t="inlineStr">
        <is>
          <t>VÄRMLANDS LÄN</t>
        </is>
      </c>
      <c r="E2911" t="inlineStr">
        <is>
          <t>EDA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34296-2020</t>
        </is>
      </c>
      <c r="B2912" s="1" t="n">
        <v>44030</v>
      </c>
      <c r="C2912" s="1" t="n">
        <v>45736</v>
      </c>
      <c r="D2912" t="inlineStr">
        <is>
          <t>VÄRMLANDS LÄN</t>
        </is>
      </c>
      <c r="E2912" t="inlineStr">
        <is>
          <t>ARVIKA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34293-2020</t>
        </is>
      </c>
      <c r="B2913" s="1" t="n">
        <v>44030</v>
      </c>
      <c r="C2913" s="1" t="n">
        <v>45736</v>
      </c>
      <c r="D2913" t="inlineStr">
        <is>
          <t>VÄRMLANDS LÄN</t>
        </is>
      </c>
      <c r="E2913" t="inlineStr">
        <is>
          <t>EDA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34297-2020</t>
        </is>
      </c>
      <c r="B2914" s="1" t="n">
        <v>44030</v>
      </c>
      <c r="C2914" s="1" t="n">
        <v>45736</v>
      </c>
      <c r="D2914" t="inlineStr">
        <is>
          <t>VÄRMLANDS LÄN</t>
        </is>
      </c>
      <c r="E2914" t="inlineStr">
        <is>
          <t>ARVIKA</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34526-2020</t>
        </is>
      </c>
      <c r="B2915" s="1" t="n">
        <v>44031</v>
      </c>
      <c r="C2915" s="1" t="n">
        <v>45736</v>
      </c>
      <c r="D2915" t="inlineStr">
        <is>
          <t>VÄRMLANDS LÄN</t>
        </is>
      </c>
      <c r="E2915" t="inlineStr">
        <is>
          <t>KIL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34305-2020</t>
        </is>
      </c>
      <c r="B2916" s="1" t="n">
        <v>44031</v>
      </c>
      <c r="C2916" s="1" t="n">
        <v>45736</v>
      </c>
      <c r="D2916" t="inlineStr">
        <is>
          <t>VÄRMLANDS LÄN</t>
        </is>
      </c>
      <c r="E2916" t="inlineStr">
        <is>
          <t>SUNNE</t>
        </is>
      </c>
      <c r="G2916" t="n">
        <v>11.5</v>
      </c>
      <c r="H2916" t="n">
        <v>0</v>
      </c>
      <c r="I2916" t="n">
        <v>0</v>
      </c>
      <c r="J2916" t="n">
        <v>0</v>
      </c>
      <c r="K2916" t="n">
        <v>0</v>
      </c>
      <c r="L2916" t="n">
        <v>0</v>
      </c>
      <c r="M2916" t="n">
        <v>0</v>
      </c>
      <c r="N2916" t="n">
        <v>0</v>
      </c>
      <c r="O2916" t="n">
        <v>0</v>
      </c>
      <c r="P2916" t="n">
        <v>0</v>
      </c>
      <c r="Q2916" t="n">
        <v>0</v>
      </c>
      <c r="R2916" s="2" t="inlineStr"/>
    </row>
    <row r="2917" ht="15" customHeight="1">
      <c r="A2917" t="inlineStr">
        <is>
          <t>A 34534-2020</t>
        </is>
      </c>
      <c r="B2917" s="1" t="n">
        <v>44031</v>
      </c>
      <c r="C2917" s="1" t="n">
        <v>45736</v>
      </c>
      <c r="D2917" t="inlineStr">
        <is>
          <t>VÄRMLANDS LÄN</t>
        </is>
      </c>
      <c r="E2917" t="inlineStr">
        <is>
          <t>ARVIKA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34537-2020</t>
        </is>
      </c>
      <c r="B2918" s="1" t="n">
        <v>44031</v>
      </c>
      <c r="C2918" s="1" t="n">
        <v>45736</v>
      </c>
      <c r="D2918" t="inlineStr">
        <is>
          <t>VÄRMLANDS LÄN</t>
        </is>
      </c>
      <c r="E2918" t="inlineStr">
        <is>
          <t>KIL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34535-2020</t>
        </is>
      </c>
      <c r="B2919" s="1" t="n">
        <v>44031</v>
      </c>
      <c r="C2919" s="1" t="n">
        <v>45736</v>
      </c>
      <c r="D2919" t="inlineStr">
        <is>
          <t>VÄRMLANDS LÄN</t>
        </is>
      </c>
      <c r="E2919" t="inlineStr">
        <is>
          <t>ARVIKA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34370-2020</t>
        </is>
      </c>
      <c r="B2920" s="1" t="n">
        <v>44032</v>
      </c>
      <c r="C2920" s="1" t="n">
        <v>45736</v>
      </c>
      <c r="D2920" t="inlineStr">
        <is>
          <t>VÄRMLANDS LÄN</t>
        </is>
      </c>
      <c r="E2920" t="inlineStr">
        <is>
          <t>SÄFFLE</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34461-2020</t>
        </is>
      </c>
      <c r="B2921" s="1" t="n">
        <v>44032</v>
      </c>
      <c r="C2921" s="1" t="n">
        <v>45736</v>
      </c>
      <c r="D2921" t="inlineStr">
        <is>
          <t>VÄRMLANDS LÄN</t>
        </is>
      </c>
      <c r="E2921" t="inlineStr">
        <is>
          <t>FILIPSTAD</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34481-2020</t>
        </is>
      </c>
      <c r="B2922" s="1" t="n">
        <v>44033</v>
      </c>
      <c r="C2922" s="1" t="n">
        <v>45736</v>
      </c>
      <c r="D2922" t="inlineStr">
        <is>
          <t>VÄRMLANDS LÄN</t>
        </is>
      </c>
      <c r="E2922" t="inlineStr">
        <is>
          <t>SUNNE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34593-2020</t>
        </is>
      </c>
      <c r="B2923" s="1" t="n">
        <v>44034</v>
      </c>
      <c r="C2923" s="1" t="n">
        <v>45736</v>
      </c>
      <c r="D2923" t="inlineStr">
        <is>
          <t>VÄRMLANDS LÄN</t>
        </is>
      </c>
      <c r="E2923" t="inlineStr">
        <is>
          <t>SUNNE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34639-2020</t>
        </is>
      </c>
      <c r="B2924" s="1" t="n">
        <v>44034</v>
      </c>
      <c r="C2924" s="1" t="n">
        <v>45736</v>
      </c>
      <c r="D2924" t="inlineStr">
        <is>
          <t>VÄRMLANDS LÄN</t>
        </is>
      </c>
      <c r="E2924" t="inlineStr">
        <is>
          <t>GRUMS</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34652-2020</t>
        </is>
      </c>
      <c r="B2925" s="1" t="n">
        <v>44034</v>
      </c>
      <c r="C2925" s="1" t="n">
        <v>45736</v>
      </c>
      <c r="D2925" t="inlineStr">
        <is>
          <t>VÄRMLANDS LÄN</t>
        </is>
      </c>
      <c r="E2925" t="inlineStr">
        <is>
          <t>SUNNE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34641-2020</t>
        </is>
      </c>
      <c r="B2926" s="1" t="n">
        <v>44034</v>
      </c>
      <c r="C2926" s="1" t="n">
        <v>45736</v>
      </c>
      <c r="D2926" t="inlineStr">
        <is>
          <t>VÄRMLANDS LÄN</t>
        </is>
      </c>
      <c r="E2926" t="inlineStr">
        <is>
          <t>GRUMS</t>
        </is>
      </c>
      <c r="G2926" t="n">
        <v>9.9</v>
      </c>
      <c r="H2926" t="n">
        <v>0</v>
      </c>
      <c r="I2926" t="n">
        <v>0</v>
      </c>
      <c r="J2926" t="n">
        <v>0</v>
      </c>
      <c r="K2926" t="n">
        <v>0</v>
      </c>
      <c r="L2926" t="n">
        <v>0</v>
      </c>
      <c r="M2926" t="n">
        <v>0</v>
      </c>
      <c r="N2926" t="n">
        <v>0</v>
      </c>
      <c r="O2926" t="n">
        <v>0</v>
      </c>
      <c r="P2926" t="n">
        <v>0</v>
      </c>
      <c r="Q2926" t="n">
        <v>0</v>
      </c>
      <c r="R2926" s="2" t="inlineStr"/>
    </row>
    <row r="2927" ht="15" customHeight="1">
      <c r="A2927" t="inlineStr">
        <is>
          <t>A 34707-2020</t>
        </is>
      </c>
      <c r="B2927" s="1" t="n">
        <v>44035</v>
      </c>
      <c r="C2927" s="1" t="n">
        <v>45736</v>
      </c>
      <c r="D2927" t="inlineStr">
        <is>
          <t>VÄRMLANDS LÄN</t>
        </is>
      </c>
      <c r="E2927" t="inlineStr">
        <is>
          <t>SUNNE</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34834-2020</t>
        </is>
      </c>
      <c r="B2928" s="1" t="n">
        <v>44036</v>
      </c>
      <c r="C2928" s="1" t="n">
        <v>45736</v>
      </c>
      <c r="D2928" t="inlineStr">
        <is>
          <t>VÄRMLANDS LÄN</t>
        </is>
      </c>
      <c r="E2928" t="inlineStr">
        <is>
          <t>ÅRJÄNG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34849-2020</t>
        </is>
      </c>
      <c r="B2929" s="1" t="n">
        <v>44036</v>
      </c>
      <c r="C2929" s="1" t="n">
        <v>45736</v>
      </c>
      <c r="D2929" t="inlineStr">
        <is>
          <t>VÄRMLANDS LÄN</t>
        </is>
      </c>
      <c r="E2929" t="inlineStr">
        <is>
          <t>ÅRJÄNG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34825-2020</t>
        </is>
      </c>
      <c r="B2930" s="1" t="n">
        <v>44036</v>
      </c>
      <c r="C2930" s="1" t="n">
        <v>45736</v>
      </c>
      <c r="D2930" t="inlineStr">
        <is>
          <t>VÄRMLANDS LÄN</t>
        </is>
      </c>
      <c r="E2930" t="inlineStr">
        <is>
          <t>ÅRJÄNG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34830-2020</t>
        </is>
      </c>
      <c r="B2931" s="1" t="n">
        <v>44036</v>
      </c>
      <c r="C2931" s="1" t="n">
        <v>45736</v>
      </c>
      <c r="D2931" t="inlineStr">
        <is>
          <t>VÄRMLANDS LÄN</t>
        </is>
      </c>
      <c r="E2931" t="inlineStr">
        <is>
          <t>ÅRJÄNG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34835-2020</t>
        </is>
      </c>
      <c r="B2932" s="1" t="n">
        <v>44036</v>
      </c>
      <c r="C2932" s="1" t="n">
        <v>45736</v>
      </c>
      <c r="D2932" t="inlineStr">
        <is>
          <t>VÄRMLANDS LÄN</t>
        </is>
      </c>
      <c r="E2932" t="inlineStr">
        <is>
          <t>ÅRJÄNG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34844-2020</t>
        </is>
      </c>
      <c r="B2933" s="1" t="n">
        <v>44036</v>
      </c>
      <c r="C2933" s="1" t="n">
        <v>45736</v>
      </c>
      <c r="D2933" t="inlineStr">
        <is>
          <t>VÄRMLANDS LÄN</t>
        </is>
      </c>
      <c r="E2933" t="inlineStr">
        <is>
          <t>ÅRJÄNG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34851-2020</t>
        </is>
      </c>
      <c r="B2934" s="1" t="n">
        <v>44036</v>
      </c>
      <c r="C2934" s="1" t="n">
        <v>45736</v>
      </c>
      <c r="D2934" t="inlineStr">
        <is>
          <t>VÄRMLANDS LÄN</t>
        </is>
      </c>
      <c r="E2934" t="inlineStr">
        <is>
          <t>ÅRJÄNG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34803-2020</t>
        </is>
      </c>
      <c r="B2935" s="1" t="n">
        <v>44036</v>
      </c>
      <c r="C2935" s="1" t="n">
        <v>45736</v>
      </c>
      <c r="D2935" t="inlineStr">
        <is>
          <t>VÄRMLANDS LÄN</t>
        </is>
      </c>
      <c r="E2935" t="inlineStr">
        <is>
          <t>KIL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34833-2020</t>
        </is>
      </c>
      <c r="B2936" s="1" t="n">
        <v>44036</v>
      </c>
      <c r="C2936" s="1" t="n">
        <v>45736</v>
      </c>
      <c r="D2936" t="inlineStr">
        <is>
          <t>VÄRMLANDS LÄN</t>
        </is>
      </c>
      <c r="E2936" t="inlineStr">
        <is>
          <t>ÅRJÄNG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34832-2020</t>
        </is>
      </c>
      <c r="B2937" s="1" t="n">
        <v>44036</v>
      </c>
      <c r="C2937" s="1" t="n">
        <v>45736</v>
      </c>
      <c r="D2937" t="inlineStr">
        <is>
          <t>VÄRMLANDS LÄN</t>
        </is>
      </c>
      <c r="E2937" t="inlineStr">
        <is>
          <t>ÅRJÄNG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34827-2020</t>
        </is>
      </c>
      <c r="B2938" s="1" t="n">
        <v>44036</v>
      </c>
      <c r="C2938" s="1" t="n">
        <v>45736</v>
      </c>
      <c r="D2938" t="inlineStr">
        <is>
          <t>VÄRMLANDS LÄN</t>
        </is>
      </c>
      <c r="E2938" t="inlineStr">
        <is>
          <t>ÅRJÄNG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35163-2020</t>
        </is>
      </c>
      <c r="B2939" s="1" t="n">
        <v>44040</v>
      </c>
      <c r="C2939" s="1" t="n">
        <v>45736</v>
      </c>
      <c r="D2939" t="inlineStr">
        <is>
          <t>VÄRMLANDS LÄN</t>
        </is>
      </c>
      <c r="E2939" t="inlineStr">
        <is>
          <t>ÅRJÄNG</t>
        </is>
      </c>
      <c r="F2939" t="inlineStr">
        <is>
          <t>Övriga Aktiebolag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35154-2020</t>
        </is>
      </c>
      <c r="B2940" s="1" t="n">
        <v>44040</v>
      </c>
      <c r="C2940" s="1" t="n">
        <v>45736</v>
      </c>
      <c r="D2940" t="inlineStr">
        <is>
          <t>VÄRMLANDS LÄN</t>
        </is>
      </c>
      <c r="E2940" t="inlineStr">
        <is>
          <t>SÄFFLE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35194-2020</t>
        </is>
      </c>
      <c r="B2941" s="1" t="n">
        <v>44040</v>
      </c>
      <c r="C2941" s="1" t="n">
        <v>45736</v>
      </c>
      <c r="D2941" t="inlineStr">
        <is>
          <t>VÄRMLANDS LÄN</t>
        </is>
      </c>
      <c r="E2941" t="inlineStr">
        <is>
          <t>FILIPSTAD</t>
        </is>
      </c>
      <c r="F2941" t="inlineStr">
        <is>
          <t>Bergvik skog väst AB</t>
        </is>
      </c>
      <c r="G2941" t="n">
        <v>20.4</v>
      </c>
      <c r="H2941" t="n">
        <v>0</v>
      </c>
      <c r="I2941" t="n">
        <v>0</v>
      </c>
      <c r="J2941" t="n">
        <v>0</v>
      </c>
      <c r="K2941" t="n">
        <v>0</v>
      </c>
      <c r="L2941" t="n">
        <v>0</v>
      </c>
      <c r="M2941" t="n">
        <v>0</v>
      </c>
      <c r="N2941" t="n">
        <v>0</v>
      </c>
      <c r="O2941" t="n">
        <v>0</v>
      </c>
      <c r="P2941" t="n">
        <v>0</v>
      </c>
      <c r="Q2941" t="n">
        <v>0</v>
      </c>
      <c r="R2941" s="2" t="inlineStr"/>
    </row>
    <row r="2942" ht="15" customHeight="1">
      <c r="A2942" t="inlineStr">
        <is>
          <t>A 35132-2020</t>
        </is>
      </c>
      <c r="B2942" s="1" t="n">
        <v>44040</v>
      </c>
      <c r="C2942" s="1" t="n">
        <v>45736</v>
      </c>
      <c r="D2942" t="inlineStr">
        <is>
          <t>VÄRMLANDS LÄN</t>
        </is>
      </c>
      <c r="E2942" t="inlineStr">
        <is>
          <t>TORSBY</t>
        </is>
      </c>
      <c r="F2942" t="inlineStr">
        <is>
          <t>Kommuner</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35105-2020</t>
        </is>
      </c>
      <c r="B2943" s="1" t="n">
        <v>44040</v>
      </c>
      <c r="C2943" s="1" t="n">
        <v>45736</v>
      </c>
      <c r="D2943" t="inlineStr">
        <is>
          <t>VÄRMLANDS LÄN</t>
        </is>
      </c>
      <c r="E2943" t="inlineStr">
        <is>
          <t>EDA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35174-2020</t>
        </is>
      </c>
      <c r="B2944" s="1" t="n">
        <v>44040</v>
      </c>
      <c r="C2944" s="1" t="n">
        <v>45736</v>
      </c>
      <c r="D2944" t="inlineStr">
        <is>
          <t>VÄRMLANDS LÄN</t>
        </is>
      </c>
      <c r="E2944" t="inlineStr">
        <is>
          <t>TORSBY</t>
        </is>
      </c>
      <c r="F2944" t="inlineStr">
        <is>
          <t>Kommuner</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35155-2020</t>
        </is>
      </c>
      <c r="B2945" s="1" t="n">
        <v>44040</v>
      </c>
      <c r="C2945" s="1" t="n">
        <v>45736</v>
      </c>
      <c r="D2945" t="inlineStr">
        <is>
          <t>VÄRMLANDS LÄN</t>
        </is>
      </c>
      <c r="E2945" t="inlineStr">
        <is>
          <t>SÄFFLE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35310-2020</t>
        </is>
      </c>
      <c r="B2946" s="1" t="n">
        <v>44041</v>
      </c>
      <c r="C2946" s="1" t="n">
        <v>45736</v>
      </c>
      <c r="D2946" t="inlineStr">
        <is>
          <t>VÄRMLANDS LÄN</t>
        </is>
      </c>
      <c r="E2946" t="inlineStr">
        <is>
          <t>SUNNE</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35278-2020</t>
        </is>
      </c>
      <c r="B2947" s="1" t="n">
        <v>44041</v>
      </c>
      <c r="C2947" s="1" t="n">
        <v>45736</v>
      </c>
      <c r="D2947" t="inlineStr">
        <is>
          <t>VÄRMLANDS LÄN</t>
        </is>
      </c>
      <c r="E2947" t="inlineStr">
        <is>
          <t>KRISTINEHAMN</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35307-2020</t>
        </is>
      </c>
      <c r="B2948" s="1" t="n">
        <v>44041</v>
      </c>
      <c r="C2948" s="1" t="n">
        <v>45736</v>
      </c>
      <c r="D2948" t="inlineStr">
        <is>
          <t>VÄRMLANDS LÄN</t>
        </is>
      </c>
      <c r="E2948" t="inlineStr">
        <is>
          <t>EDA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35420-2020</t>
        </is>
      </c>
      <c r="B2949" s="1" t="n">
        <v>44042</v>
      </c>
      <c r="C2949" s="1" t="n">
        <v>45736</v>
      </c>
      <c r="D2949" t="inlineStr">
        <is>
          <t>VÄRMLANDS LÄN</t>
        </is>
      </c>
      <c r="E2949" t="inlineStr">
        <is>
          <t>ARVIKA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35424-2020</t>
        </is>
      </c>
      <c r="B2950" s="1" t="n">
        <v>44042</v>
      </c>
      <c r="C2950" s="1" t="n">
        <v>45736</v>
      </c>
      <c r="D2950" t="inlineStr">
        <is>
          <t>VÄRMLANDS LÄN</t>
        </is>
      </c>
      <c r="E2950" t="inlineStr">
        <is>
          <t>ARVIKA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35431-2020</t>
        </is>
      </c>
      <c r="B2951" s="1" t="n">
        <v>44042</v>
      </c>
      <c r="C2951" s="1" t="n">
        <v>45736</v>
      </c>
      <c r="D2951" t="inlineStr">
        <is>
          <t>VÄRMLANDS LÄN</t>
        </is>
      </c>
      <c r="E2951" t="inlineStr">
        <is>
          <t>ARVIKA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35481-2020</t>
        </is>
      </c>
      <c r="B2952" s="1" t="n">
        <v>44042</v>
      </c>
      <c r="C2952" s="1" t="n">
        <v>45736</v>
      </c>
      <c r="D2952" t="inlineStr">
        <is>
          <t>VÄRMLANDS LÄN</t>
        </is>
      </c>
      <c r="E2952" t="inlineStr">
        <is>
          <t>SUNNE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35429-2020</t>
        </is>
      </c>
      <c r="B2953" s="1" t="n">
        <v>44042</v>
      </c>
      <c r="C2953" s="1" t="n">
        <v>45736</v>
      </c>
      <c r="D2953" t="inlineStr">
        <is>
          <t>VÄRMLANDS LÄN</t>
        </is>
      </c>
      <c r="E2953" t="inlineStr">
        <is>
          <t>ARVIKA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35421-2020</t>
        </is>
      </c>
      <c r="B2954" s="1" t="n">
        <v>44042</v>
      </c>
      <c r="C2954" s="1" t="n">
        <v>45736</v>
      </c>
      <c r="D2954" t="inlineStr">
        <is>
          <t>VÄRMLANDS LÄN</t>
        </is>
      </c>
      <c r="E2954" t="inlineStr">
        <is>
          <t>ARVIKA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35410-2020</t>
        </is>
      </c>
      <c r="B2955" s="1" t="n">
        <v>44042</v>
      </c>
      <c r="C2955" s="1" t="n">
        <v>45736</v>
      </c>
      <c r="D2955" t="inlineStr">
        <is>
          <t>VÄRMLANDS LÄN</t>
        </is>
      </c>
      <c r="E2955" t="inlineStr">
        <is>
          <t>ÅRJÄNG</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35417-2020</t>
        </is>
      </c>
      <c r="B2956" s="1" t="n">
        <v>44042</v>
      </c>
      <c r="C2956" s="1" t="n">
        <v>45736</v>
      </c>
      <c r="D2956" t="inlineStr">
        <is>
          <t>VÄRMLANDS LÄN</t>
        </is>
      </c>
      <c r="E2956" t="inlineStr">
        <is>
          <t>EDA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35502-2020</t>
        </is>
      </c>
      <c r="B2957" s="1" t="n">
        <v>44043</v>
      </c>
      <c r="C2957" s="1" t="n">
        <v>45736</v>
      </c>
      <c r="D2957" t="inlineStr">
        <is>
          <t>VÄRMLANDS LÄN</t>
        </is>
      </c>
      <c r="E2957" t="inlineStr">
        <is>
          <t>STORFORS</t>
        </is>
      </c>
      <c r="F2957" t="inlineStr">
        <is>
          <t>Kyrkan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35500-2020</t>
        </is>
      </c>
      <c r="B2958" s="1" t="n">
        <v>44043</v>
      </c>
      <c r="C2958" s="1" t="n">
        <v>45736</v>
      </c>
      <c r="D2958" t="inlineStr">
        <is>
          <t>VÄRMLANDS LÄN</t>
        </is>
      </c>
      <c r="E2958" t="inlineStr">
        <is>
          <t>TORSBY</t>
        </is>
      </c>
      <c r="F2958" t="inlineStr">
        <is>
          <t>Bergvik skog väst AB</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35704-2020</t>
        </is>
      </c>
      <c r="B2959" s="1" t="n">
        <v>44046</v>
      </c>
      <c r="C2959" s="1" t="n">
        <v>45736</v>
      </c>
      <c r="D2959" t="inlineStr">
        <is>
          <t>VÄRMLANDS LÄN</t>
        </is>
      </c>
      <c r="E2959" t="inlineStr">
        <is>
          <t>GRUMS</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35725-2020</t>
        </is>
      </c>
      <c r="B2960" s="1" t="n">
        <v>44046</v>
      </c>
      <c r="C2960" s="1" t="n">
        <v>45736</v>
      </c>
      <c r="D2960" t="inlineStr">
        <is>
          <t>VÄRMLANDS LÄN</t>
        </is>
      </c>
      <c r="E2960" t="inlineStr">
        <is>
          <t>SUNNE</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35745-2020</t>
        </is>
      </c>
      <c r="B2961" s="1" t="n">
        <v>44046</v>
      </c>
      <c r="C2961" s="1" t="n">
        <v>45736</v>
      </c>
      <c r="D2961" t="inlineStr">
        <is>
          <t>VÄRMLANDS LÄN</t>
        </is>
      </c>
      <c r="E2961" t="inlineStr">
        <is>
          <t>GRUMS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35778-2020</t>
        </is>
      </c>
      <c r="B2962" s="1" t="n">
        <v>44046</v>
      </c>
      <c r="C2962" s="1" t="n">
        <v>45736</v>
      </c>
      <c r="D2962" t="inlineStr">
        <is>
          <t>VÄRMLANDS LÄN</t>
        </is>
      </c>
      <c r="E2962" t="inlineStr">
        <is>
          <t>TORSBY</t>
        </is>
      </c>
      <c r="G2962" t="n">
        <v>10.2</v>
      </c>
      <c r="H2962" t="n">
        <v>0</v>
      </c>
      <c r="I2962" t="n">
        <v>0</v>
      </c>
      <c r="J2962" t="n">
        <v>0</v>
      </c>
      <c r="K2962" t="n">
        <v>0</v>
      </c>
      <c r="L2962" t="n">
        <v>0</v>
      </c>
      <c r="M2962" t="n">
        <v>0</v>
      </c>
      <c r="N2962" t="n">
        <v>0</v>
      </c>
      <c r="O2962" t="n">
        <v>0</v>
      </c>
      <c r="P2962" t="n">
        <v>0</v>
      </c>
      <c r="Q2962" t="n">
        <v>0</v>
      </c>
      <c r="R2962" s="2" t="inlineStr"/>
    </row>
    <row r="2963" ht="15" customHeight="1">
      <c r="A2963" t="inlineStr">
        <is>
          <t>A 35842-2020</t>
        </is>
      </c>
      <c r="B2963" s="1" t="n">
        <v>44047</v>
      </c>
      <c r="C2963" s="1" t="n">
        <v>45736</v>
      </c>
      <c r="D2963" t="inlineStr">
        <is>
          <t>VÄRMLANDS LÄN</t>
        </is>
      </c>
      <c r="E2963" t="inlineStr">
        <is>
          <t>ÅRJÄNG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35895-2020</t>
        </is>
      </c>
      <c r="B2964" s="1" t="n">
        <v>44047</v>
      </c>
      <c r="C2964" s="1" t="n">
        <v>45736</v>
      </c>
      <c r="D2964" t="inlineStr">
        <is>
          <t>VÄRMLANDS LÄN</t>
        </is>
      </c>
      <c r="E2964" t="inlineStr">
        <is>
          <t>HAGFORS</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35900-2020</t>
        </is>
      </c>
      <c r="B2965" s="1" t="n">
        <v>44047</v>
      </c>
      <c r="C2965" s="1" t="n">
        <v>45736</v>
      </c>
      <c r="D2965" t="inlineStr">
        <is>
          <t>VÄRMLANDS LÄN</t>
        </is>
      </c>
      <c r="E2965" t="inlineStr">
        <is>
          <t>TORSBY</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35935-2020</t>
        </is>
      </c>
      <c r="B2966" s="1" t="n">
        <v>44047</v>
      </c>
      <c r="C2966" s="1" t="n">
        <v>45736</v>
      </c>
      <c r="D2966" t="inlineStr">
        <is>
          <t>VÄRMLANDS LÄN</t>
        </is>
      </c>
      <c r="E2966" t="inlineStr">
        <is>
          <t>HAGFORS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35955-2020</t>
        </is>
      </c>
      <c r="B2967" s="1" t="n">
        <v>44047</v>
      </c>
      <c r="C2967" s="1" t="n">
        <v>45736</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35977-2020</t>
        </is>
      </c>
      <c r="B2968" s="1" t="n">
        <v>44047</v>
      </c>
      <c r="C2968" s="1" t="n">
        <v>45736</v>
      </c>
      <c r="D2968" t="inlineStr">
        <is>
          <t>VÄRMLANDS LÄN</t>
        </is>
      </c>
      <c r="E2968" t="inlineStr">
        <is>
          <t>MUNKFORS</t>
        </is>
      </c>
      <c r="F2968" t="inlineStr">
        <is>
          <t>Kyrkan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35826-2020</t>
        </is>
      </c>
      <c r="B2969" s="1" t="n">
        <v>44047</v>
      </c>
      <c r="C2969" s="1" t="n">
        <v>45736</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35887-2020</t>
        </is>
      </c>
      <c r="B2970" s="1" t="n">
        <v>44047</v>
      </c>
      <c r="C2970" s="1" t="n">
        <v>45736</v>
      </c>
      <c r="D2970" t="inlineStr">
        <is>
          <t>VÄRMLANDS LÄN</t>
        </is>
      </c>
      <c r="E2970" t="inlineStr">
        <is>
          <t>SUNNE</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36005-2020</t>
        </is>
      </c>
      <c r="B2971" s="1" t="n">
        <v>44047</v>
      </c>
      <c r="C2971" s="1" t="n">
        <v>45736</v>
      </c>
      <c r="D2971" t="inlineStr">
        <is>
          <t>VÄRMLANDS LÄN</t>
        </is>
      </c>
      <c r="E2971" t="inlineStr">
        <is>
          <t>KIL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35852-2020</t>
        </is>
      </c>
      <c r="B2972" s="1" t="n">
        <v>44047</v>
      </c>
      <c r="C2972" s="1" t="n">
        <v>45736</v>
      </c>
      <c r="D2972" t="inlineStr">
        <is>
          <t>VÄRMLANDS LÄN</t>
        </is>
      </c>
      <c r="E2972" t="inlineStr">
        <is>
          <t>EDA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35905-2020</t>
        </is>
      </c>
      <c r="B2973" s="1" t="n">
        <v>44047</v>
      </c>
      <c r="C2973" s="1" t="n">
        <v>45736</v>
      </c>
      <c r="D2973" t="inlineStr">
        <is>
          <t>VÄRMLANDS LÄN</t>
        </is>
      </c>
      <c r="E2973" t="inlineStr">
        <is>
          <t>TORSBY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35925-2020</t>
        </is>
      </c>
      <c r="B2974" s="1" t="n">
        <v>44047</v>
      </c>
      <c r="C2974" s="1" t="n">
        <v>45736</v>
      </c>
      <c r="D2974" t="inlineStr">
        <is>
          <t>VÄRMLANDS LÄN</t>
        </is>
      </c>
      <c r="E2974" t="inlineStr">
        <is>
          <t>HAGFORS</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35999-2020</t>
        </is>
      </c>
      <c r="B2975" s="1" t="n">
        <v>44047</v>
      </c>
      <c r="C2975" s="1" t="n">
        <v>45736</v>
      </c>
      <c r="D2975" t="inlineStr">
        <is>
          <t>VÄRMLANDS LÄN</t>
        </is>
      </c>
      <c r="E2975" t="inlineStr">
        <is>
          <t>KARLSTAD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36004-2020</t>
        </is>
      </c>
      <c r="B2976" s="1" t="n">
        <v>44047</v>
      </c>
      <c r="C2976" s="1" t="n">
        <v>45736</v>
      </c>
      <c r="D2976" t="inlineStr">
        <is>
          <t>VÄRMLANDS LÄN</t>
        </is>
      </c>
      <c r="E2976" t="inlineStr">
        <is>
          <t>KIL</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36038-2020</t>
        </is>
      </c>
      <c r="B2977" s="1" t="n">
        <v>44047</v>
      </c>
      <c r="C2977" s="1" t="n">
        <v>45736</v>
      </c>
      <c r="D2977" t="inlineStr">
        <is>
          <t>VÄRMLANDS LÄN</t>
        </is>
      </c>
      <c r="E2977" t="inlineStr">
        <is>
          <t>KARLSTAD</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35921-2020</t>
        </is>
      </c>
      <c r="B2978" s="1" t="n">
        <v>44047</v>
      </c>
      <c r="C2978" s="1" t="n">
        <v>45736</v>
      </c>
      <c r="D2978" t="inlineStr">
        <is>
          <t>VÄRMLANDS LÄN</t>
        </is>
      </c>
      <c r="E2978" t="inlineStr">
        <is>
          <t>HAGFORS</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35952-2020</t>
        </is>
      </c>
      <c r="B2979" s="1" t="n">
        <v>44047</v>
      </c>
      <c r="C2979" s="1" t="n">
        <v>45736</v>
      </c>
      <c r="D2979" t="inlineStr">
        <is>
          <t>VÄRMLANDS LÄN</t>
        </is>
      </c>
      <c r="E2979" t="inlineStr">
        <is>
          <t>SUNNE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36006-2020</t>
        </is>
      </c>
      <c r="B2980" s="1" t="n">
        <v>44047</v>
      </c>
      <c r="C2980" s="1" t="n">
        <v>45736</v>
      </c>
      <c r="D2980" t="inlineStr">
        <is>
          <t>VÄRMLANDS LÄN</t>
        </is>
      </c>
      <c r="E2980" t="inlineStr">
        <is>
          <t>KIL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36482-2020</t>
        </is>
      </c>
      <c r="B2981" s="1" t="n">
        <v>44048</v>
      </c>
      <c r="C2981" s="1" t="n">
        <v>45736</v>
      </c>
      <c r="D2981" t="inlineStr">
        <is>
          <t>VÄRMLANDS LÄN</t>
        </is>
      </c>
      <c r="E2981" t="inlineStr">
        <is>
          <t>TORSBY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36056-2020</t>
        </is>
      </c>
      <c r="B2982" s="1" t="n">
        <v>44048</v>
      </c>
      <c r="C2982" s="1" t="n">
        <v>45736</v>
      </c>
      <c r="D2982" t="inlineStr">
        <is>
          <t>VÄRMLANDS LÄN</t>
        </is>
      </c>
      <c r="E2982" t="inlineStr">
        <is>
          <t>KARLSTAD</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36176-2020</t>
        </is>
      </c>
      <c r="B2983" s="1" t="n">
        <v>44048</v>
      </c>
      <c r="C2983" s="1" t="n">
        <v>45736</v>
      </c>
      <c r="D2983" t="inlineStr">
        <is>
          <t>VÄRMLANDS LÄN</t>
        </is>
      </c>
      <c r="E2983" t="inlineStr">
        <is>
          <t>SUNNE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36126-2020</t>
        </is>
      </c>
      <c r="B2984" s="1" t="n">
        <v>44048</v>
      </c>
      <c r="C2984" s="1" t="n">
        <v>45736</v>
      </c>
      <c r="D2984" t="inlineStr">
        <is>
          <t>VÄRMLANDS LÄN</t>
        </is>
      </c>
      <c r="E2984" t="inlineStr">
        <is>
          <t>FILIPSTAD</t>
        </is>
      </c>
      <c r="F2984" t="inlineStr">
        <is>
          <t>Bergvik skog väst AB</t>
        </is>
      </c>
      <c r="G2984" t="n">
        <v>18.7</v>
      </c>
      <c r="H2984" t="n">
        <v>0</v>
      </c>
      <c r="I2984" t="n">
        <v>0</v>
      </c>
      <c r="J2984" t="n">
        <v>0</v>
      </c>
      <c r="K2984" t="n">
        <v>0</v>
      </c>
      <c r="L2984" t="n">
        <v>0</v>
      </c>
      <c r="M2984" t="n">
        <v>0</v>
      </c>
      <c r="N2984" t="n">
        <v>0</v>
      </c>
      <c r="O2984" t="n">
        <v>0</v>
      </c>
      <c r="P2984" t="n">
        <v>0</v>
      </c>
      <c r="Q2984" t="n">
        <v>0</v>
      </c>
      <c r="R2984" s="2" t="inlineStr"/>
    </row>
    <row r="2985" ht="15" customHeight="1">
      <c r="A2985" t="inlineStr">
        <is>
          <t>A 36109-2020</t>
        </is>
      </c>
      <c r="B2985" s="1" t="n">
        <v>44048</v>
      </c>
      <c r="C2985" s="1" t="n">
        <v>45736</v>
      </c>
      <c r="D2985" t="inlineStr">
        <is>
          <t>VÄRMLANDS LÄN</t>
        </is>
      </c>
      <c r="E2985" t="inlineStr">
        <is>
          <t>EDA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36090-2020</t>
        </is>
      </c>
      <c r="B2986" s="1" t="n">
        <v>44048</v>
      </c>
      <c r="C2986" s="1" t="n">
        <v>45736</v>
      </c>
      <c r="D2986" t="inlineStr">
        <is>
          <t>VÄRMLANDS LÄN</t>
        </is>
      </c>
      <c r="E2986" t="inlineStr">
        <is>
          <t>FILIPSTAD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36104-2020</t>
        </is>
      </c>
      <c r="B2987" s="1" t="n">
        <v>44048</v>
      </c>
      <c r="C2987" s="1" t="n">
        <v>45736</v>
      </c>
      <c r="D2987" t="inlineStr">
        <is>
          <t>VÄRMLANDS LÄN</t>
        </is>
      </c>
      <c r="E2987" t="inlineStr">
        <is>
          <t>TORSBY</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36192-2020</t>
        </is>
      </c>
      <c r="B2988" s="1" t="n">
        <v>44048</v>
      </c>
      <c r="C2988" s="1" t="n">
        <v>45736</v>
      </c>
      <c r="D2988" t="inlineStr">
        <is>
          <t>VÄRMLANDS LÄN</t>
        </is>
      </c>
      <c r="E2988" t="inlineStr">
        <is>
          <t>SUNNE</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36034-2020</t>
        </is>
      </c>
      <c r="B2989" s="1" t="n">
        <v>44048</v>
      </c>
      <c r="C2989" s="1" t="n">
        <v>45736</v>
      </c>
      <c r="D2989" t="inlineStr">
        <is>
          <t>VÄRMLANDS LÄN</t>
        </is>
      </c>
      <c r="E2989" t="inlineStr">
        <is>
          <t>SUNNE</t>
        </is>
      </c>
      <c r="F2989" t="inlineStr">
        <is>
          <t>Övriga statliga verk och myndigheter</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36062-2020</t>
        </is>
      </c>
      <c r="B2990" s="1" t="n">
        <v>44048</v>
      </c>
      <c r="C2990" s="1" t="n">
        <v>45736</v>
      </c>
      <c r="D2990" t="inlineStr">
        <is>
          <t>VÄRMLANDS LÄN</t>
        </is>
      </c>
      <c r="E2990" t="inlineStr">
        <is>
          <t>KARLSTAD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36265-2020</t>
        </is>
      </c>
      <c r="B2991" s="1" t="n">
        <v>44049</v>
      </c>
      <c r="C2991" s="1" t="n">
        <v>45736</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36370-2020</t>
        </is>
      </c>
      <c r="B2992" s="1" t="n">
        <v>44049</v>
      </c>
      <c r="C2992" s="1" t="n">
        <v>45736</v>
      </c>
      <c r="D2992" t="inlineStr">
        <is>
          <t>VÄRMLANDS LÄN</t>
        </is>
      </c>
      <c r="E2992" t="inlineStr">
        <is>
          <t>STORFORS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36396-2020</t>
        </is>
      </c>
      <c r="B2993" s="1" t="n">
        <v>44049</v>
      </c>
      <c r="C2993" s="1" t="n">
        <v>45736</v>
      </c>
      <c r="D2993" t="inlineStr">
        <is>
          <t>VÄRMLANDS LÄN</t>
        </is>
      </c>
      <c r="E2993" t="inlineStr">
        <is>
          <t>TORSBY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36476-2020</t>
        </is>
      </c>
      <c r="B2994" s="1" t="n">
        <v>44049</v>
      </c>
      <c r="C2994" s="1" t="n">
        <v>45736</v>
      </c>
      <c r="D2994" t="inlineStr">
        <is>
          <t>VÄRMLANDS LÄN</t>
        </is>
      </c>
      <c r="E2994" t="inlineStr">
        <is>
          <t>KARLSTAD</t>
        </is>
      </c>
      <c r="G2994" t="n">
        <v>13.6</v>
      </c>
      <c r="H2994" t="n">
        <v>0</v>
      </c>
      <c r="I2994" t="n">
        <v>0</v>
      </c>
      <c r="J2994" t="n">
        <v>0</v>
      </c>
      <c r="K2994" t="n">
        <v>0</v>
      </c>
      <c r="L2994" t="n">
        <v>0</v>
      </c>
      <c r="M2994" t="n">
        <v>0</v>
      </c>
      <c r="N2994" t="n">
        <v>0</v>
      </c>
      <c r="O2994" t="n">
        <v>0</v>
      </c>
      <c r="P2994" t="n">
        <v>0</v>
      </c>
      <c r="Q2994" t="n">
        <v>0</v>
      </c>
      <c r="R2994" s="2" t="inlineStr"/>
    </row>
    <row r="2995" ht="15" customHeight="1">
      <c r="A2995" t="inlineStr">
        <is>
          <t>A 36301-2020</t>
        </is>
      </c>
      <c r="B2995" s="1" t="n">
        <v>44049</v>
      </c>
      <c r="C2995" s="1" t="n">
        <v>45736</v>
      </c>
      <c r="D2995" t="inlineStr">
        <is>
          <t>VÄRMLANDS LÄN</t>
        </is>
      </c>
      <c r="E2995" t="inlineStr">
        <is>
          <t>ARVIKA</t>
        </is>
      </c>
      <c r="F2995" t="inlineStr">
        <is>
          <t>Bergvik skog väst AB</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36394-2020</t>
        </is>
      </c>
      <c r="B2996" s="1" t="n">
        <v>44049</v>
      </c>
      <c r="C2996" s="1" t="n">
        <v>45736</v>
      </c>
      <c r="D2996" t="inlineStr">
        <is>
          <t>VÄRMLANDS LÄN</t>
        </is>
      </c>
      <c r="E2996" t="inlineStr">
        <is>
          <t>TORSBY</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36537-2020</t>
        </is>
      </c>
      <c r="B2997" s="1" t="n">
        <v>44050</v>
      </c>
      <c r="C2997" s="1" t="n">
        <v>45736</v>
      </c>
      <c r="D2997" t="inlineStr">
        <is>
          <t>VÄRMLANDS LÄN</t>
        </is>
      </c>
      <c r="E2997" t="inlineStr">
        <is>
          <t>ÅRJÄNG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36548-2020</t>
        </is>
      </c>
      <c r="B2998" s="1" t="n">
        <v>44050</v>
      </c>
      <c r="C2998" s="1" t="n">
        <v>45736</v>
      </c>
      <c r="D2998" t="inlineStr">
        <is>
          <t>VÄRMLANDS LÄN</t>
        </is>
      </c>
      <c r="E2998" t="inlineStr">
        <is>
          <t>ARVIKA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36635-2020</t>
        </is>
      </c>
      <c r="B2999" s="1" t="n">
        <v>44050</v>
      </c>
      <c r="C2999" s="1" t="n">
        <v>45736</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36629-2020</t>
        </is>
      </c>
      <c r="B3000" s="1" t="n">
        <v>44050</v>
      </c>
      <c r="C3000" s="1" t="n">
        <v>45736</v>
      </c>
      <c r="D3000" t="inlineStr">
        <is>
          <t>VÄRMLANDS LÄN</t>
        </is>
      </c>
      <c r="E3000" t="inlineStr">
        <is>
          <t>EDA</t>
        </is>
      </c>
      <c r="F3000" t="inlineStr">
        <is>
          <t>Kyrkan</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36637-2020</t>
        </is>
      </c>
      <c r="B3001" s="1" t="n">
        <v>44050</v>
      </c>
      <c r="C3001" s="1" t="n">
        <v>45736</v>
      </c>
      <c r="D3001" t="inlineStr">
        <is>
          <t>VÄRMLANDS LÄN</t>
        </is>
      </c>
      <c r="E3001" t="inlineStr">
        <is>
          <t>SÄFFLE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36715-2020</t>
        </is>
      </c>
      <c r="B3002" s="1" t="n">
        <v>44050</v>
      </c>
      <c r="C3002" s="1" t="n">
        <v>45736</v>
      </c>
      <c r="D3002" t="inlineStr">
        <is>
          <t>VÄRMLANDS LÄN</t>
        </is>
      </c>
      <c r="E3002" t="inlineStr">
        <is>
          <t>GRUMS</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36619-2020</t>
        </is>
      </c>
      <c r="B3003" s="1" t="n">
        <v>44050</v>
      </c>
      <c r="C3003" s="1" t="n">
        <v>45736</v>
      </c>
      <c r="D3003" t="inlineStr">
        <is>
          <t>VÄRMLANDS LÄN</t>
        </is>
      </c>
      <c r="E3003" t="inlineStr">
        <is>
          <t>KARLSTAD</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36634-2020</t>
        </is>
      </c>
      <c r="B3004" s="1" t="n">
        <v>44050</v>
      </c>
      <c r="C3004" s="1" t="n">
        <v>45736</v>
      </c>
      <c r="D3004" t="inlineStr">
        <is>
          <t>VÄRMLANDS LÄN</t>
        </is>
      </c>
      <c r="E3004" t="inlineStr">
        <is>
          <t>SÄFFLE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36712-2020</t>
        </is>
      </c>
      <c r="B3005" s="1" t="n">
        <v>44050</v>
      </c>
      <c r="C3005" s="1" t="n">
        <v>45736</v>
      </c>
      <c r="D3005" t="inlineStr">
        <is>
          <t>VÄRMLANDS LÄN</t>
        </is>
      </c>
      <c r="E3005" t="inlineStr">
        <is>
          <t>GRUMS</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36720-2020</t>
        </is>
      </c>
      <c r="B3006" s="1" t="n">
        <v>44050</v>
      </c>
      <c r="C3006" s="1" t="n">
        <v>45736</v>
      </c>
      <c r="D3006" t="inlineStr">
        <is>
          <t>VÄRMLANDS LÄN</t>
        </is>
      </c>
      <c r="E3006" t="inlineStr">
        <is>
          <t>GRUMS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36732-2020</t>
        </is>
      </c>
      <c r="B3007" s="1" t="n">
        <v>44053</v>
      </c>
      <c r="C3007" s="1" t="n">
        <v>45736</v>
      </c>
      <c r="D3007" t="inlineStr">
        <is>
          <t>VÄRMLANDS LÄN</t>
        </is>
      </c>
      <c r="E3007" t="inlineStr">
        <is>
          <t>KIL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36827-2020</t>
        </is>
      </c>
      <c r="B3008" s="1" t="n">
        <v>44053</v>
      </c>
      <c r="C3008" s="1" t="n">
        <v>45736</v>
      </c>
      <c r="D3008" t="inlineStr">
        <is>
          <t>VÄRMLANDS LÄN</t>
        </is>
      </c>
      <c r="E3008" t="inlineStr">
        <is>
          <t>ARVIKA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36689-2020</t>
        </is>
      </c>
      <c r="B3009" s="1" t="n">
        <v>44053</v>
      </c>
      <c r="C3009" s="1" t="n">
        <v>45736</v>
      </c>
      <c r="D3009" t="inlineStr">
        <is>
          <t>VÄRMLANDS LÄN</t>
        </is>
      </c>
      <c r="E3009" t="inlineStr">
        <is>
          <t>EDA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36820-2020</t>
        </is>
      </c>
      <c r="B3010" s="1" t="n">
        <v>44053</v>
      </c>
      <c r="C3010" s="1" t="n">
        <v>45736</v>
      </c>
      <c r="D3010" t="inlineStr">
        <is>
          <t>VÄRMLANDS LÄN</t>
        </is>
      </c>
      <c r="E3010" t="inlineStr">
        <is>
          <t>ARVIKA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36847-2020</t>
        </is>
      </c>
      <c r="B3011" s="1" t="n">
        <v>44053</v>
      </c>
      <c r="C3011" s="1" t="n">
        <v>45736</v>
      </c>
      <c r="D3011" t="inlineStr">
        <is>
          <t>VÄRMLANDS LÄN</t>
        </is>
      </c>
      <c r="E3011" t="inlineStr">
        <is>
          <t>TORSBY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36901-2020</t>
        </is>
      </c>
      <c r="B3012" s="1" t="n">
        <v>44053</v>
      </c>
      <c r="C3012" s="1" t="n">
        <v>45736</v>
      </c>
      <c r="D3012" t="inlineStr">
        <is>
          <t>VÄRMLANDS LÄN</t>
        </is>
      </c>
      <c r="E3012" t="inlineStr">
        <is>
          <t>TORSBY</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37059-2020</t>
        </is>
      </c>
      <c r="B3013" s="1" t="n">
        <v>44053</v>
      </c>
      <c r="C3013" s="1" t="n">
        <v>45736</v>
      </c>
      <c r="D3013" t="inlineStr">
        <is>
          <t>VÄRMLANDS LÄN</t>
        </is>
      </c>
      <c r="E3013" t="inlineStr">
        <is>
          <t>GRUMS</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37050-2020</t>
        </is>
      </c>
      <c r="B3014" s="1" t="n">
        <v>44053</v>
      </c>
      <c r="C3014" s="1" t="n">
        <v>45736</v>
      </c>
      <c r="D3014" t="inlineStr">
        <is>
          <t>VÄRMLANDS LÄN</t>
        </is>
      </c>
      <c r="E3014" t="inlineStr">
        <is>
          <t>SÄFFLE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37055-2020</t>
        </is>
      </c>
      <c r="B3015" s="1" t="n">
        <v>44053</v>
      </c>
      <c r="C3015" s="1" t="n">
        <v>45736</v>
      </c>
      <c r="D3015" t="inlineStr">
        <is>
          <t>VÄRMLANDS LÄN</t>
        </is>
      </c>
      <c r="E3015" t="inlineStr">
        <is>
          <t>SÄFFLE</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36699-2020</t>
        </is>
      </c>
      <c r="B3016" s="1" t="n">
        <v>44053</v>
      </c>
      <c r="C3016" s="1" t="n">
        <v>45736</v>
      </c>
      <c r="D3016" t="inlineStr">
        <is>
          <t>VÄRMLANDS LÄN</t>
        </is>
      </c>
      <c r="E3016" t="inlineStr">
        <is>
          <t>FORSHAGA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37060-2020</t>
        </is>
      </c>
      <c r="B3017" s="1" t="n">
        <v>44054</v>
      </c>
      <c r="C3017" s="1" t="n">
        <v>45736</v>
      </c>
      <c r="D3017" t="inlineStr">
        <is>
          <t>VÄRMLANDS LÄN</t>
        </is>
      </c>
      <c r="E3017" t="inlineStr">
        <is>
          <t>EDA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37058-2020</t>
        </is>
      </c>
      <c r="B3018" s="1" t="n">
        <v>44054</v>
      </c>
      <c r="C3018" s="1" t="n">
        <v>45736</v>
      </c>
      <c r="D3018" t="inlineStr">
        <is>
          <t>VÄRMLANDS LÄN</t>
        </is>
      </c>
      <c r="E3018" t="inlineStr">
        <is>
          <t>ÅRJÄNG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37151-2020</t>
        </is>
      </c>
      <c r="B3019" s="1" t="n">
        <v>44054</v>
      </c>
      <c r="C3019" s="1" t="n">
        <v>45736</v>
      </c>
      <c r="D3019" t="inlineStr">
        <is>
          <t>VÄRMLANDS LÄN</t>
        </is>
      </c>
      <c r="E3019" t="inlineStr">
        <is>
          <t>GRUMS</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37208-2020</t>
        </is>
      </c>
      <c r="B3020" s="1" t="n">
        <v>44054</v>
      </c>
      <c r="C3020" s="1" t="n">
        <v>45736</v>
      </c>
      <c r="D3020" t="inlineStr">
        <is>
          <t>VÄRMLANDS LÄN</t>
        </is>
      </c>
      <c r="E3020" t="inlineStr">
        <is>
          <t>SUNNE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37010-2020</t>
        </is>
      </c>
      <c r="B3021" s="1" t="n">
        <v>44054</v>
      </c>
      <c r="C3021" s="1" t="n">
        <v>45736</v>
      </c>
      <c r="D3021" t="inlineStr">
        <is>
          <t>VÄRMLANDS LÄN</t>
        </is>
      </c>
      <c r="E3021" t="inlineStr">
        <is>
          <t>ÅRJÄNG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37305-2020</t>
        </is>
      </c>
      <c r="B3022" s="1" t="n">
        <v>44055</v>
      </c>
      <c r="C3022" s="1" t="n">
        <v>45736</v>
      </c>
      <c r="D3022" t="inlineStr">
        <is>
          <t>VÄRMLANDS LÄN</t>
        </is>
      </c>
      <c r="E3022" t="inlineStr">
        <is>
          <t>TORSBY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37302-2020</t>
        </is>
      </c>
      <c r="B3023" s="1" t="n">
        <v>44055</v>
      </c>
      <c r="C3023" s="1" t="n">
        <v>45736</v>
      </c>
      <c r="D3023" t="inlineStr">
        <is>
          <t>VÄRMLANDS LÄN</t>
        </is>
      </c>
      <c r="E3023" t="inlineStr">
        <is>
          <t>TORSBY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37307-2020</t>
        </is>
      </c>
      <c r="B3024" s="1" t="n">
        <v>44055</v>
      </c>
      <c r="C3024" s="1" t="n">
        <v>45736</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37303-2020</t>
        </is>
      </c>
      <c r="B3025" s="1" t="n">
        <v>44055</v>
      </c>
      <c r="C3025" s="1" t="n">
        <v>45736</v>
      </c>
      <c r="D3025" t="inlineStr">
        <is>
          <t>VÄRMLANDS LÄN</t>
        </is>
      </c>
      <c r="E3025" t="inlineStr">
        <is>
          <t>TORSBY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37465-2020</t>
        </is>
      </c>
      <c r="B3026" s="1" t="n">
        <v>44055</v>
      </c>
      <c r="C3026" s="1" t="n">
        <v>45736</v>
      </c>
      <c r="D3026" t="inlineStr">
        <is>
          <t>VÄRMLANDS LÄN</t>
        </is>
      </c>
      <c r="E3026" t="inlineStr">
        <is>
          <t>FILIPSTAD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37458-2020</t>
        </is>
      </c>
      <c r="B3027" s="1" t="n">
        <v>44055</v>
      </c>
      <c r="C3027" s="1" t="n">
        <v>45736</v>
      </c>
      <c r="D3027" t="inlineStr">
        <is>
          <t>VÄRMLANDS LÄN</t>
        </is>
      </c>
      <c r="E3027" t="inlineStr">
        <is>
          <t>FILIPSTAD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37547-2020</t>
        </is>
      </c>
      <c r="B3028" s="1" t="n">
        <v>44056</v>
      </c>
      <c r="C3028" s="1" t="n">
        <v>45736</v>
      </c>
      <c r="D3028" t="inlineStr">
        <is>
          <t>VÄRMLANDS LÄN</t>
        </is>
      </c>
      <c r="E3028" t="inlineStr">
        <is>
          <t>SUNNE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37620-2020</t>
        </is>
      </c>
      <c r="B3029" s="1" t="n">
        <v>44056</v>
      </c>
      <c r="C3029" s="1" t="n">
        <v>45736</v>
      </c>
      <c r="D3029" t="inlineStr">
        <is>
          <t>VÄRMLANDS LÄN</t>
        </is>
      </c>
      <c r="E3029" t="inlineStr">
        <is>
          <t>EDA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37617-2020</t>
        </is>
      </c>
      <c r="B3030" s="1" t="n">
        <v>44056</v>
      </c>
      <c r="C3030" s="1" t="n">
        <v>45736</v>
      </c>
      <c r="D3030" t="inlineStr">
        <is>
          <t>VÄRMLANDS LÄN</t>
        </is>
      </c>
      <c r="E3030" t="inlineStr">
        <is>
          <t>SUNNE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37755-2020</t>
        </is>
      </c>
      <c r="B3031" s="1" t="n">
        <v>44056</v>
      </c>
      <c r="C3031" s="1" t="n">
        <v>45736</v>
      </c>
      <c r="D3031" t="inlineStr">
        <is>
          <t>VÄRMLANDS LÄN</t>
        </is>
      </c>
      <c r="E3031" t="inlineStr">
        <is>
          <t>KIL</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37751-2020</t>
        </is>
      </c>
      <c r="B3032" s="1" t="n">
        <v>44056</v>
      </c>
      <c r="C3032" s="1" t="n">
        <v>45736</v>
      </c>
      <c r="D3032" t="inlineStr">
        <is>
          <t>VÄRMLANDS LÄN</t>
        </is>
      </c>
      <c r="E3032" t="inlineStr">
        <is>
          <t>KIL</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37877-2020</t>
        </is>
      </c>
      <c r="B3033" s="1" t="n">
        <v>44057</v>
      </c>
      <c r="C3033" s="1" t="n">
        <v>45736</v>
      </c>
      <c r="D3033" t="inlineStr">
        <is>
          <t>VÄRMLANDS LÄN</t>
        </is>
      </c>
      <c r="E3033" t="inlineStr">
        <is>
          <t>GRUMS</t>
        </is>
      </c>
      <c r="F3033" t="inlineStr">
        <is>
          <t>Bergvik skog väst AB</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37831-2020</t>
        </is>
      </c>
      <c r="B3034" s="1" t="n">
        <v>44057</v>
      </c>
      <c r="C3034" s="1" t="n">
        <v>45736</v>
      </c>
      <c r="D3034" t="inlineStr">
        <is>
          <t>VÄRMLANDS LÄN</t>
        </is>
      </c>
      <c r="E3034" t="inlineStr">
        <is>
          <t>SÄFFLE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37880-2020</t>
        </is>
      </c>
      <c r="B3035" s="1" t="n">
        <v>44057</v>
      </c>
      <c r="C3035" s="1" t="n">
        <v>45736</v>
      </c>
      <c r="D3035" t="inlineStr">
        <is>
          <t>VÄRMLANDS LÄN</t>
        </is>
      </c>
      <c r="E3035" t="inlineStr">
        <is>
          <t>FILIPSTAD</t>
        </is>
      </c>
      <c r="F3035" t="inlineStr">
        <is>
          <t>Bergvik skog väst AB</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37805-2020</t>
        </is>
      </c>
      <c r="B3036" s="1" t="n">
        <v>44057</v>
      </c>
      <c r="C3036" s="1" t="n">
        <v>45736</v>
      </c>
      <c r="D3036" t="inlineStr">
        <is>
          <t>VÄRMLANDS LÄN</t>
        </is>
      </c>
      <c r="E3036" t="inlineStr">
        <is>
          <t>EDA</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37879-2020</t>
        </is>
      </c>
      <c r="B3037" s="1" t="n">
        <v>44057</v>
      </c>
      <c r="C3037" s="1" t="n">
        <v>45736</v>
      </c>
      <c r="D3037" t="inlineStr">
        <is>
          <t>VÄRMLANDS LÄN</t>
        </is>
      </c>
      <c r="E3037" t="inlineStr">
        <is>
          <t>GRUMS</t>
        </is>
      </c>
      <c r="F3037" t="inlineStr">
        <is>
          <t>Bergvik skog väst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38055-2020</t>
        </is>
      </c>
      <c r="B3038" s="1" t="n">
        <v>44057</v>
      </c>
      <c r="C3038" s="1" t="n">
        <v>45736</v>
      </c>
      <c r="D3038" t="inlineStr">
        <is>
          <t>VÄRMLANDS LÄN</t>
        </is>
      </c>
      <c r="E3038" t="inlineStr">
        <is>
          <t>KARLSTAD</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37995-2020</t>
        </is>
      </c>
      <c r="B3039" s="1" t="n">
        <v>44057</v>
      </c>
      <c r="C3039" s="1" t="n">
        <v>45736</v>
      </c>
      <c r="D3039" t="inlineStr">
        <is>
          <t>VÄRMLANDS LÄN</t>
        </is>
      </c>
      <c r="E3039" t="inlineStr">
        <is>
          <t>ARVIKA</t>
        </is>
      </c>
      <c r="F3039" t="inlineStr">
        <is>
          <t>Bergvik skog väst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38030-2020</t>
        </is>
      </c>
      <c r="B3040" s="1" t="n">
        <v>44057</v>
      </c>
      <c r="C3040" s="1" t="n">
        <v>45736</v>
      </c>
      <c r="D3040" t="inlineStr">
        <is>
          <t>VÄRMLANDS LÄN</t>
        </is>
      </c>
      <c r="E3040" t="inlineStr">
        <is>
          <t>SUNNE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38177-2020</t>
        </is>
      </c>
      <c r="B3041" s="1" t="n">
        <v>44060</v>
      </c>
      <c r="C3041" s="1" t="n">
        <v>45736</v>
      </c>
      <c r="D3041" t="inlineStr">
        <is>
          <t>VÄRMLANDS LÄN</t>
        </is>
      </c>
      <c r="E3041" t="inlineStr">
        <is>
          <t>ÅRJÄNG</t>
        </is>
      </c>
      <c r="F3041" t="inlineStr">
        <is>
          <t>Övriga Aktiebolag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38323-2020</t>
        </is>
      </c>
      <c r="B3042" s="1" t="n">
        <v>44060</v>
      </c>
      <c r="C3042" s="1" t="n">
        <v>45736</v>
      </c>
      <c r="D3042" t="inlineStr">
        <is>
          <t>VÄRMLANDS LÄN</t>
        </is>
      </c>
      <c r="E3042" t="inlineStr">
        <is>
          <t>SUNNE</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38438-2020</t>
        </is>
      </c>
      <c r="B3043" s="1" t="n">
        <v>44060</v>
      </c>
      <c r="C3043" s="1" t="n">
        <v>45736</v>
      </c>
      <c r="D3043" t="inlineStr">
        <is>
          <t>VÄRMLANDS LÄN</t>
        </is>
      </c>
      <c r="E3043" t="inlineStr">
        <is>
          <t>GRUMS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38444-2020</t>
        </is>
      </c>
      <c r="B3044" s="1" t="n">
        <v>44060</v>
      </c>
      <c r="C3044" s="1" t="n">
        <v>45736</v>
      </c>
      <c r="D3044" t="inlineStr">
        <is>
          <t>VÄRMLANDS LÄN</t>
        </is>
      </c>
      <c r="E3044" t="inlineStr">
        <is>
          <t>GRUMS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38519-2020</t>
        </is>
      </c>
      <c r="B3045" s="1" t="n">
        <v>44060</v>
      </c>
      <c r="C3045" s="1" t="n">
        <v>45736</v>
      </c>
      <c r="D3045" t="inlineStr">
        <is>
          <t>VÄRMLANDS LÄN</t>
        </is>
      </c>
      <c r="E3045" t="inlineStr">
        <is>
          <t>GRUMS</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38165-2020</t>
        </is>
      </c>
      <c r="B3046" s="1" t="n">
        <v>44060</v>
      </c>
      <c r="C3046" s="1" t="n">
        <v>45736</v>
      </c>
      <c r="D3046" t="inlineStr">
        <is>
          <t>VÄRMLANDS LÄN</t>
        </is>
      </c>
      <c r="E3046" t="inlineStr">
        <is>
          <t>SUNNE</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38522-2020</t>
        </is>
      </c>
      <c r="B3047" s="1" t="n">
        <v>44060</v>
      </c>
      <c r="C3047" s="1" t="n">
        <v>45736</v>
      </c>
      <c r="D3047" t="inlineStr">
        <is>
          <t>VÄRMLANDS LÄN</t>
        </is>
      </c>
      <c r="E3047" t="inlineStr">
        <is>
          <t>GRUMS</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38506-2020</t>
        </is>
      </c>
      <c r="B3048" s="1" t="n">
        <v>44061</v>
      </c>
      <c r="C3048" s="1" t="n">
        <v>45736</v>
      </c>
      <c r="D3048" t="inlineStr">
        <is>
          <t>VÄRMLANDS LÄN</t>
        </is>
      </c>
      <c r="E3048" t="inlineStr">
        <is>
          <t>TORSBY</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38513-2020</t>
        </is>
      </c>
      <c r="B3049" s="1" t="n">
        <v>44061</v>
      </c>
      <c r="C3049" s="1" t="n">
        <v>45736</v>
      </c>
      <c r="D3049" t="inlineStr">
        <is>
          <t>VÄRMLANDS LÄN</t>
        </is>
      </c>
      <c r="E3049" t="inlineStr">
        <is>
          <t>SUNNE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38562-2020</t>
        </is>
      </c>
      <c r="B3050" s="1" t="n">
        <v>44061</v>
      </c>
      <c r="C3050" s="1" t="n">
        <v>45736</v>
      </c>
      <c r="D3050" t="inlineStr">
        <is>
          <t>VÄRMLANDS LÄN</t>
        </is>
      </c>
      <c r="E3050" t="inlineStr">
        <is>
          <t>SUNNE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38576-2020</t>
        </is>
      </c>
      <c r="B3051" s="1" t="n">
        <v>44061</v>
      </c>
      <c r="C3051" s="1" t="n">
        <v>45736</v>
      </c>
      <c r="D3051" t="inlineStr">
        <is>
          <t>VÄRMLANDS LÄN</t>
        </is>
      </c>
      <c r="E3051" t="inlineStr">
        <is>
          <t>SÄFFLE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38603-2020</t>
        </is>
      </c>
      <c r="B3052" s="1" t="n">
        <v>44061</v>
      </c>
      <c r="C3052" s="1" t="n">
        <v>45736</v>
      </c>
      <c r="D3052" t="inlineStr">
        <is>
          <t>VÄRMLANDS LÄN</t>
        </is>
      </c>
      <c r="E3052" t="inlineStr">
        <is>
          <t>MUNKFORS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38618-2020</t>
        </is>
      </c>
      <c r="B3053" s="1" t="n">
        <v>44061</v>
      </c>
      <c r="C3053" s="1" t="n">
        <v>45736</v>
      </c>
      <c r="D3053" t="inlineStr">
        <is>
          <t>VÄRMLANDS LÄN</t>
        </is>
      </c>
      <c r="E3053" t="inlineStr">
        <is>
          <t>KARLSTAD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38696-2020</t>
        </is>
      </c>
      <c r="B3054" s="1" t="n">
        <v>44061</v>
      </c>
      <c r="C3054" s="1" t="n">
        <v>45736</v>
      </c>
      <c r="D3054" t="inlineStr">
        <is>
          <t>VÄRMLANDS LÄN</t>
        </is>
      </c>
      <c r="E3054" t="inlineStr">
        <is>
          <t>ÅRJÄNG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38693-2020</t>
        </is>
      </c>
      <c r="B3055" s="1" t="n">
        <v>44061</v>
      </c>
      <c r="C3055" s="1" t="n">
        <v>45736</v>
      </c>
      <c r="D3055" t="inlineStr">
        <is>
          <t>VÄRMLANDS LÄN</t>
        </is>
      </c>
      <c r="E3055" t="inlineStr">
        <is>
          <t>MUNKFORS</t>
        </is>
      </c>
      <c r="F3055" t="inlineStr">
        <is>
          <t>Bergvik skog väst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38727-2020</t>
        </is>
      </c>
      <c r="B3056" s="1" t="n">
        <v>44061</v>
      </c>
      <c r="C3056" s="1" t="n">
        <v>45736</v>
      </c>
      <c r="D3056" t="inlineStr">
        <is>
          <t>VÄRMLANDS LÄN</t>
        </is>
      </c>
      <c r="E3056" t="inlineStr">
        <is>
          <t>SUNNE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38748-2020</t>
        </is>
      </c>
      <c r="B3057" s="1" t="n">
        <v>44061</v>
      </c>
      <c r="C3057" s="1" t="n">
        <v>45736</v>
      </c>
      <c r="D3057" t="inlineStr">
        <is>
          <t>VÄRMLANDS LÄN</t>
        </is>
      </c>
      <c r="E3057" t="inlineStr">
        <is>
          <t>SUNNE</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38775-2020</t>
        </is>
      </c>
      <c r="B3058" s="1" t="n">
        <v>44061</v>
      </c>
      <c r="C3058" s="1" t="n">
        <v>45736</v>
      </c>
      <c r="D3058" t="inlineStr">
        <is>
          <t>VÄRMLANDS LÄN</t>
        </is>
      </c>
      <c r="E3058" t="inlineStr">
        <is>
          <t>SUNNE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38729-2020</t>
        </is>
      </c>
      <c r="B3059" s="1" t="n">
        <v>44061</v>
      </c>
      <c r="C3059" s="1" t="n">
        <v>45736</v>
      </c>
      <c r="D3059" t="inlineStr">
        <is>
          <t>VÄRMLANDS LÄN</t>
        </is>
      </c>
      <c r="E3059" t="inlineStr">
        <is>
          <t>KIL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38933-2020</t>
        </is>
      </c>
      <c r="B3060" s="1" t="n">
        <v>44062</v>
      </c>
      <c r="C3060" s="1" t="n">
        <v>45736</v>
      </c>
      <c r="D3060" t="inlineStr">
        <is>
          <t>VÄRMLANDS LÄN</t>
        </is>
      </c>
      <c r="E3060" t="inlineStr">
        <is>
          <t>EDA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38969-2020</t>
        </is>
      </c>
      <c r="B3061" s="1" t="n">
        <v>44062</v>
      </c>
      <c r="C3061" s="1" t="n">
        <v>45736</v>
      </c>
      <c r="D3061" t="inlineStr">
        <is>
          <t>VÄRMLANDS LÄN</t>
        </is>
      </c>
      <c r="E3061" t="inlineStr">
        <is>
          <t>FORSHAGA</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38978-2020</t>
        </is>
      </c>
      <c r="B3062" s="1" t="n">
        <v>44062</v>
      </c>
      <c r="C3062" s="1" t="n">
        <v>45736</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38940-2020</t>
        </is>
      </c>
      <c r="B3063" s="1" t="n">
        <v>44062</v>
      </c>
      <c r="C3063" s="1" t="n">
        <v>45736</v>
      </c>
      <c r="D3063" t="inlineStr">
        <is>
          <t>VÄRMLANDS LÄN</t>
        </is>
      </c>
      <c r="E3063" t="inlineStr">
        <is>
          <t>ARVIKA</t>
        </is>
      </c>
      <c r="G3063" t="n">
        <v>14.3</v>
      </c>
      <c r="H3063" t="n">
        <v>0</v>
      </c>
      <c r="I3063" t="n">
        <v>0</v>
      </c>
      <c r="J3063" t="n">
        <v>0</v>
      </c>
      <c r="K3063" t="n">
        <v>0</v>
      </c>
      <c r="L3063" t="n">
        <v>0</v>
      </c>
      <c r="M3063" t="n">
        <v>0</v>
      </c>
      <c r="N3063" t="n">
        <v>0</v>
      </c>
      <c r="O3063" t="n">
        <v>0</v>
      </c>
      <c r="P3063" t="n">
        <v>0</v>
      </c>
      <c r="Q3063" t="n">
        <v>0</v>
      </c>
      <c r="R3063" s="2" t="inlineStr"/>
    </row>
    <row r="3064" ht="15" customHeight="1">
      <c r="A3064" t="inlineStr">
        <is>
          <t>A 38817-2020</t>
        </is>
      </c>
      <c r="B3064" s="1" t="n">
        <v>44062</v>
      </c>
      <c r="C3064" s="1" t="n">
        <v>45736</v>
      </c>
      <c r="D3064" t="inlineStr">
        <is>
          <t>VÄRMLANDS LÄN</t>
        </is>
      </c>
      <c r="E3064" t="inlineStr">
        <is>
          <t>EDA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41972-2020</t>
        </is>
      </c>
      <c r="B3065" s="1" t="n">
        <v>44062</v>
      </c>
      <c r="C3065" s="1" t="n">
        <v>45736</v>
      </c>
      <c r="D3065" t="inlineStr">
        <is>
          <t>VÄRMLANDS LÄN</t>
        </is>
      </c>
      <c r="E3065" t="inlineStr">
        <is>
          <t>KARLSTAD</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39201-2020</t>
        </is>
      </c>
      <c r="B3066" s="1" t="n">
        <v>44063</v>
      </c>
      <c r="C3066" s="1" t="n">
        <v>45736</v>
      </c>
      <c r="D3066" t="inlineStr">
        <is>
          <t>VÄRMLANDS LÄN</t>
        </is>
      </c>
      <c r="E3066" t="inlineStr">
        <is>
          <t>SUNNE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39215-2020</t>
        </is>
      </c>
      <c r="B3067" s="1" t="n">
        <v>44063</v>
      </c>
      <c r="C3067" s="1" t="n">
        <v>45736</v>
      </c>
      <c r="D3067" t="inlineStr">
        <is>
          <t>VÄRMLANDS LÄN</t>
        </is>
      </c>
      <c r="E3067" t="inlineStr">
        <is>
          <t>ÅRJÄNG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39265-2020</t>
        </is>
      </c>
      <c r="B3068" s="1" t="n">
        <v>44063</v>
      </c>
      <c r="C3068" s="1" t="n">
        <v>45736</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39140-2020</t>
        </is>
      </c>
      <c r="B3069" s="1" t="n">
        <v>44063</v>
      </c>
      <c r="C3069" s="1" t="n">
        <v>45736</v>
      </c>
      <c r="D3069" t="inlineStr">
        <is>
          <t>VÄRMLANDS LÄN</t>
        </is>
      </c>
      <c r="E3069" t="inlineStr">
        <is>
          <t>SUNNE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39377-2020</t>
        </is>
      </c>
      <c r="B3070" s="1" t="n">
        <v>44064</v>
      </c>
      <c r="C3070" s="1" t="n">
        <v>45736</v>
      </c>
      <c r="D3070" t="inlineStr">
        <is>
          <t>VÄRMLANDS LÄN</t>
        </is>
      </c>
      <c r="E3070" t="inlineStr">
        <is>
          <t>SUNNE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39443-2020</t>
        </is>
      </c>
      <c r="B3071" s="1" t="n">
        <v>44064</v>
      </c>
      <c r="C3071" s="1" t="n">
        <v>45736</v>
      </c>
      <c r="D3071" t="inlineStr">
        <is>
          <t>VÄRMLANDS LÄN</t>
        </is>
      </c>
      <c r="E3071" t="inlineStr">
        <is>
          <t>KRISTINEHAMN</t>
        </is>
      </c>
      <c r="F3071" t="inlineStr">
        <is>
          <t>Sveaskog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39417-2020</t>
        </is>
      </c>
      <c r="B3072" s="1" t="n">
        <v>44064</v>
      </c>
      <c r="C3072" s="1" t="n">
        <v>45736</v>
      </c>
      <c r="D3072" t="inlineStr">
        <is>
          <t>VÄRMLANDS LÄN</t>
        </is>
      </c>
      <c r="E3072" t="inlineStr">
        <is>
          <t>EDA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39447-2020</t>
        </is>
      </c>
      <c r="B3073" s="1" t="n">
        <v>44064</v>
      </c>
      <c r="C3073" s="1" t="n">
        <v>45736</v>
      </c>
      <c r="D3073" t="inlineStr">
        <is>
          <t>VÄRMLANDS LÄN</t>
        </is>
      </c>
      <c r="E3073" t="inlineStr">
        <is>
          <t>KRISTINEHAMN</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39462-2020</t>
        </is>
      </c>
      <c r="B3074" s="1" t="n">
        <v>44064</v>
      </c>
      <c r="C3074" s="1" t="n">
        <v>45736</v>
      </c>
      <c r="D3074" t="inlineStr">
        <is>
          <t>VÄRMLANDS LÄN</t>
        </is>
      </c>
      <c r="E3074" t="inlineStr">
        <is>
          <t>KRISTINEHAMN</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39509-2020</t>
        </is>
      </c>
      <c r="B3075" s="1" t="n">
        <v>44064</v>
      </c>
      <c r="C3075" s="1" t="n">
        <v>45736</v>
      </c>
      <c r="D3075" t="inlineStr">
        <is>
          <t>VÄRMLANDS LÄN</t>
        </is>
      </c>
      <c r="E3075" t="inlineStr">
        <is>
          <t>SÄFFLE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39528-2020</t>
        </is>
      </c>
      <c r="B3076" s="1" t="n">
        <v>44064</v>
      </c>
      <c r="C3076" s="1" t="n">
        <v>45736</v>
      </c>
      <c r="D3076" t="inlineStr">
        <is>
          <t>VÄRMLANDS LÄN</t>
        </is>
      </c>
      <c r="E3076" t="inlineStr">
        <is>
          <t>ARVIKA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39458-2020</t>
        </is>
      </c>
      <c r="B3077" s="1" t="n">
        <v>44064</v>
      </c>
      <c r="C3077" s="1" t="n">
        <v>45736</v>
      </c>
      <c r="D3077" t="inlineStr">
        <is>
          <t>VÄRMLANDS LÄN</t>
        </is>
      </c>
      <c r="E3077" t="inlineStr">
        <is>
          <t>KRISTINEHAMN</t>
        </is>
      </c>
      <c r="F3077" t="inlineStr">
        <is>
          <t>Sveaskog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39538-2020</t>
        </is>
      </c>
      <c r="B3078" s="1" t="n">
        <v>44064</v>
      </c>
      <c r="C3078" s="1" t="n">
        <v>45736</v>
      </c>
      <c r="D3078" t="inlineStr">
        <is>
          <t>VÄRMLANDS LÄN</t>
        </is>
      </c>
      <c r="E3078" t="inlineStr">
        <is>
          <t>KRISTINEHAMN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39518-2020</t>
        </is>
      </c>
      <c r="B3079" s="1" t="n">
        <v>44064</v>
      </c>
      <c r="C3079" s="1" t="n">
        <v>45736</v>
      </c>
      <c r="D3079" t="inlineStr">
        <is>
          <t>VÄRMLANDS LÄN</t>
        </is>
      </c>
      <c r="E3079" t="inlineStr">
        <is>
          <t>KIL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40218-2020</t>
        </is>
      </c>
      <c r="B3080" s="1" t="n">
        <v>44064</v>
      </c>
      <c r="C3080" s="1" t="n">
        <v>45736</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39731-2020</t>
        </is>
      </c>
      <c r="B3081" s="1" t="n">
        <v>44067</v>
      </c>
      <c r="C3081" s="1" t="n">
        <v>45736</v>
      </c>
      <c r="D3081" t="inlineStr">
        <is>
          <t>VÄRMLANDS LÄN</t>
        </is>
      </c>
      <c r="E3081" t="inlineStr">
        <is>
          <t>KARLSTAD</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39838-2020</t>
        </is>
      </c>
      <c r="B3082" s="1" t="n">
        <v>44067</v>
      </c>
      <c r="C3082" s="1" t="n">
        <v>45736</v>
      </c>
      <c r="D3082" t="inlineStr">
        <is>
          <t>VÄRMLANDS LÄN</t>
        </is>
      </c>
      <c r="E3082" t="inlineStr">
        <is>
          <t>EDA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39803-2020</t>
        </is>
      </c>
      <c r="B3083" s="1" t="n">
        <v>44067</v>
      </c>
      <c r="C3083" s="1" t="n">
        <v>45736</v>
      </c>
      <c r="D3083" t="inlineStr">
        <is>
          <t>VÄRMLANDS LÄN</t>
        </is>
      </c>
      <c r="E3083" t="inlineStr">
        <is>
          <t>KARLSTAD</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39824-2020</t>
        </is>
      </c>
      <c r="B3084" s="1" t="n">
        <v>44067</v>
      </c>
      <c r="C3084" s="1" t="n">
        <v>45736</v>
      </c>
      <c r="D3084" t="inlineStr">
        <is>
          <t>VÄRMLANDS LÄN</t>
        </is>
      </c>
      <c r="E3084" t="inlineStr">
        <is>
          <t>KRISTINEHAMN</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39841-2020</t>
        </is>
      </c>
      <c r="B3085" s="1" t="n">
        <v>44067</v>
      </c>
      <c r="C3085" s="1" t="n">
        <v>45736</v>
      </c>
      <c r="D3085" t="inlineStr">
        <is>
          <t>VÄRMLANDS LÄN</t>
        </is>
      </c>
      <c r="E3085" t="inlineStr">
        <is>
          <t>EDA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39883-2020</t>
        </is>
      </c>
      <c r="B3086" s="1" t="n">
        <v>44067</v>
      </c>
      <c r="C3086" s="1" t="n">
        <v>45736</v>
      </c>
      <c r="D3086" t="inlineStr">
        <is>
          <t>VÄRMLANDS LÄN</t>
        </is>
      </c>
      <c r="E3086" t="inlineStr">
        <is>
          <t>ARVIKA</t>
        </is>
      </c>
      <c r="F3086" t="inlineStr">
        <is>
          <t>Kommuner</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39947-2020</t>
        </is>
      </c>
      <c r="B3087" s="1" t="n">
        <v>44067</v>
      </c>
      <c r="C3087" s="1" t="n">
        <v>45736</v>
      </c>
      <c r="D3087" t="inlineStr">
        <is>
          <t>VÄRMLANDS LÄN</t>
        </is>
      </c>
      <c r="E3087" t="inlineStr">
        <is>
          <t>SUNNE</t>
        </is>
      </c>
      <c r="F3087" t="inlineStr">
        <is>
          <t>Kommuner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39738-2020</t>
        </is>
      </c>
      <c r="B3088" s="1" t="n">
        <v>44067</v>
      </c>
      <c r="C3088" s="1" t="n">
        <v>45736</v>
      </c>
      <c r="D3088" t="inlineStr">
        <is>
          <t>VÄRMLANDS LÄN</t>
        </is>
      </c>
      <c r="E3088" t="inlineStr">
        <is>
          <t>KARLSTAD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39856-2020</t>
        </is>
      </c>
      <c r="B3089" s="1" t="n">
        <v>44067</v>
      </c>
      <c r="C3089" s="1" t="n">
        <v>45736</v>
      </c>
      <c r="D3089" t="inlineStr">
        <is>
          <t>VÄRMLANDS LÄN</t>
        </is>
      </c>
      <c r="E3089" t="inlineStr">
        <is>
          <t>FORSHAGA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39952-2020</t>
        </is>
      </c>
      <c r="B3090" s="1" t="n">
        <v>44067</v>
      </c>
      <c r="C3090" s="1" t="n">
        <v>45736</v>
      </c>
      <c r="D3090" t="inlineStr">
        <is>
          <t>VÄRMLANDS LÄN</t>
        </is>
      </c>
      <c r="E3090" t="inlineStr">
        <is>
          <t>SUNNE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39806-2020</t>
        </is>
      </c>
      <c r="B3091" s="1" t="n">
        <v>44067</v>
      </c>
      <c r="C3091" s="1" t="n">
        <v>45736</v>
      </c>
      <c r="D3091" t="inlineStr">
        <is>
          <t>VÄRMLANDS LÄN</t>
        </is>
      </c>
      <c r="E3091" t="inlineStr">
        <is>
          <t>KARLSTAD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39813-2020</t>
        </is>
      </c>
      <c r="B3092" s="1" t="n">
        <v>44067</v>
      </c>
      <c r="C3092" s="1" t="n">
        <v>45736</v>
      </c>
      <c r="D3092" t="inlineStr">
        <is>
          <t>VÄRMLANDS LÄN</t>
        </is>
      </c>
      <c r="E3092" t="inlineStr">
        <is>
          <t>FILIPSTAD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39985-2020</t>
        </is>
      </c>
      <c r="B3093" s="1" t="n">
        <v>44067</v>
      </c>
      <c r="C3093" s="1" t="n">
        <v>45736</v>
      </c>
      <c r="D3093" t="inlineStr">
        <is>
          <t>VÄRMLANDS LÄN</t>
        </is>
      </c>
      <c r="E3093" t="inlineStr">
        <is>
          <t>FORSHAGA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40015-2020</t>
        </is>
      </c>
      <c r="B3094" s="1" t="n">
        <v>44067</v>
      </c>
      <c r="C3094" s="1" t="n">
        <v>45736</v>
      </c>
      <c r="D3094" t="inlineStr">
        <is>
          <t>VÄRMLANDS LÄN</t>
        </is>
      </c>
      <c r="E3094" t="inlineStr">
        <is>
          <t>TORSBY</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40328-2020</t>
        </is>
      </c>
      <c r="B3095" s="1" t="n">
        <v>44067</v>
      </c>
      <c r="C3095" s="1" t="n">
        <v>45736</v>
      </c>
      <c r="D3095" t="inlineStr">
        <is>
          <t>VÄRMLANDS LÄN</t>
        </is>
      </c>
      <c r="E3095" t="inlineStr">
        <is>
          <t>KIL</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40331-2020</t>
        </is>
      </c>
      <c r="B3096" s="1" t="n">
        <v>44067</v>
      </c>
      <c r="C3096" s="1" t="n">
        <v>45736</v>
      </c>
      <c r="D3096" t="inlineStr">
        <is>
          <t>VÄRMLANDS LÄN</t>
        </is>
      </c>
      <c r="E3096" t="inlineStr">
        <is>
          <t>ARVIKA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39996-2020</t>
        </is>
      </c>
      <c r="B3097" s="1" t="n">
        <v>44067</v>
      </c>
      <c r="C3097" s="1" t="n">
        <v>45736</v>
      </c>
      <c r="D3097" t="inlineStr">
        <is>
          <t>VÄRMLANDS LÄN</t>
        </is>
      </c>
      <c r="E3097" t="inlineStr">
        <is>
          <t>SUNNE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40824-2020</t>
        </is>
      </c>
      <c r="B3098" s="1" t="n">
        <v>44067</v>
      </c>
      <c r="C3098" s="1" t="n">
        <v>45736</v>
      </c>
      <c r="D3098" t="inlineStr">
        <is>
          <t>VÄRMLANDS LÄN</t>
        </is>
      </c>
      <c r="E3098" t="inlineStr">
        <is>
          <t>HAGFORS</t>
        </is>
      </c>
      <c r="F3098" t="inlineStr">
        <is>
          <t>Kyrkan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40332-2020</t>
        </is>
      </c>
      <c r="B3099" s="1" t="n">
        <v>44067</v>
      </c>
      <c r="C3099" s="1" t="n">
        <v>45736</v>
      </c>
      <c r="D3099" t="inlineStr">
        <is>
          <t>VÄRMLANDS LÄN</t>
        </is>
      </c>
      <c r="E3099" t="inlineStr">
        <is>
          <t>SÄFFLE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40177-2020</t>
        </is>
      </c>
      <c r="B3100" s="1" t="n">
        <v>44068</v>
      </c>
      <c r="C3100" s="1" t="n">
        <v>45736</v>
      </c>
      <c r="D3100" t="inlineStr">
        <is>
          <t>VÄRMLANDS LÄN</t>
        </is>
      </c>
      <c r="E3100" t="inlineStr">
        <is>
          <t>GRUMS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40245-2020</t>
        </is>
      </c>
      <c r="B3101" s="1" t="n">
        <v>44068</v>
      </c>
      <c r="C3101" s="1" t="n">
        <v>45736</v>
      </c>
      <c r="D3101" t="inlineStr">
        <is>
          <t>VÄRMLANDS LÄN</t>
        </is>
      </c>
      <c r="E3101" t="inlineStr">
        <is>
          <t>SUNNE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40240-2020</t>
        </is>
      </c>
      <c r="B3102" s="1" t="n">
        <v>44068</v>
      </c>
      <c r="C3102" s="1" t="n">
        <v>45736</v>
      </c>
      <c r="D3102" t="inlineStr">
        <is>
          <t>VÄRMLANDS LÄN</t>
        </is>
      </c>
      <c r="E3102" t="inlineStr">
        <is>
          <t>HAGFORS</t>
        </is>
      </c>
      <c r="F3102" t="inlineStr">
        <is>
          <t>Bergvik skog väst AB</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40317-2020</t>
        </is>
      </c>
      <c r="B3103" s="1" t="n">
        <v>44068</v>
      </c>
      <c r="C3103" s="1" t="n">
        <v>45736</v>
      </c>
      <c r="D3103" t="inlineStr">
        <is>
          <t>VÄRMLANDS LÄN</t>
        </is>
      </c>
      <c r="E3103" t="inlineStr">
        <is>
          <t>EDA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40975-2020</t>
        </is>
      </c>
      <c r="B3104" s="1" t="n">
        <v>44068</v>
      </c>
      <c r="C3104" s="1" t="n">
        <v>45736</v>
      </c>
      <c r="D3104" t="inlineStr">
        <is>
          <t>VÄRMLANDS LÄN</t>
        </is>
      </c>
      <c r="E3104" t="inlineStr">
        <is>
          <t>ARVIKA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41000-2020</t>
        </is>
      </c>
      <c r="B3105" s="1" t="n">
        <v>44068</v>
      </c>
      <c r="C3105" s="1" t="n">
        <v>45736</v>
      </c>
      <c r="D3105" t="inlineStr">
        <is>
          <t>VÄRMLANDS LÄN</t>
        </is>
      </c>
      <c r="E3105" t="inlineStr">
        <is>
          <t>ARVIKA</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40429-2020</t>
        </is>
      </c>
      <c r="B3106" s="1" t="n">
        <v>44069</v>
      </c>
      <c r="C3106" s="1" t="n">
        <v>45736</v>
      </c>
      <c r="D3106" t="inlineStr">
        <is>
          <t>VÄRMLANDS LÄN</t>
        </is>
      </c>
      <c r="E3106" t="inlineStr">
        <is>
          <t>KIL</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40550-2020</t>
        </is>
      </c>
      <c r="B3107" s="1" t="n">
        <v>44069</v>
      </c>
      <c r="C3107" s="1" t="n">
        <v>45736</v>
      </c>
      <c r="D3107" t="inlineStr">
        <is>
          <t>VÄRMLANDS LÄN</t>
        </is>
      </c>
      <c r="E3107" t="inlineStr">
        <is>
          <t>TORSBY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40594-2020</t>
        </is>
      </c>
      <c r="B3108" s="1" t="n">
        <v>44069</v>
      </c>
      <c r="C3108" s="1" t="n">
        <v>45736</v>
      </c>
      <c r="D3108" t="inlineStr">
        <is>
          <t>VÄRMLANDS LÄN</t>
        </is>
      </c>
      <c r="E3108" t="inlineStr">
        <is>
          <t>TORSBY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40639-2020</t>
        </is>
      </c>
      <c r="B3109" s="1" t="n">
        <v>44069</v>
      </c>
      <c r="C3109" s="1" t="n">
        <v>45736</v>
      </c>
      <c r="D3109" t="inlineStr">
        <is>
          <t>VÄRMLANDS LÄN</t>
        </is>
      </c>
      <c r="E3109" t="inlineStr">
        <is>
          <t>KIL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40653-2020</t>
        </is>
      </c>
      <c r="B3110" s="1" t="n">
        <v>44069</v>
      </c>
      <c r="C3110" s="1" t="n">
        <v>45736</v>
      </c>
      <c r="D3110" t="inlineStr">
        <is>
          <t>VÄRMLANDS LÄN</t>
        </is>
      </c>
      <c r="E3110" t="inlineStr">
        <is>
          <t>KRISTINEHAMN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40436-2020</t>
        </is>
      </c>
      <c r="B3111" s="1" t="n">
        <v>44069</v>
      </c>
      <c r="C3111" s="1" t="n">
        <v>45736</v>
      </c>
      <c r="D3111" t="inlineStr">
        <is>
          <t>VÄRMLANDS LÄN</t>
        </is>
      </c>
      <c r="E3111" t="inlineStr">
        <is>
          <t>KRISTINEHAMN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40511-2020</t>
        </is>
      </c>
      <c r="B3112" s="1" t="n">
        <v>44069</v>
      </c>
      <c r="C3112" s="1" t="n">
        <v>45736</v>
      </c>
      <c r="D3112" t="inlineStr">
        <is>
          <t>VÄRMLANDS LÄN</t>
        </is>
      </c>
      <c r="E3112" t="inlineStr">
        <is>
          <t>EDA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40535-2020</t>
        </is>
      </c>
      <c r="B3113" s="1" t="n">
        <v>44069</v>
      </c>
      <c r="C3113" s="1" t="n">
        <v>45736</v>
      </c>
      <c r="D3113" t="inlineStr">
        <is>
          <t>VÄRMLANDS LÄN</t>
        </is>
      </c>
      <c r="E3113" t="inlineStr">
        <is>
          <t>EDA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40553-2020</t>
        </is>
      </c>
      <c r="B3114" s="1" t="n">
        <v>44069</v>
      </c>
      <c r="C3114" s="1" t="n">
        <v>45736</v>
      </c>
      <c r="D3114" t="inlineStr">
        <is>
          <t>VÄRMLANDS LÄN</t>
        </is>
      </c>
      <c r="E3114" t="inlineStr">
        <is>
          <t>ÅRJÄNG</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40572-2020</t>
        </is>
      </c>
      <c r="B3115" s="1" t="n">
        <v>44069</v>
      </c>
      <c r="C3115" s="1" t="n">
        <v>45736</v>
      </c>
      <c r="D3115" t="inlineStr">
        <is>
          <t>VÄRMLANDS LÄN</t>
        </is>
      </c>
      <c r="E3115" t="inlineStr">
        <is>
          <t>ÅRJÄNG</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40509-2020</t>
        </is>
      </c>
      <c r="B3116" s="1" t="n">
        <v>44069</v>
      </c>
      <c r="C3116" s="1" t="n">
        <v>45736</v>
      </c>
      <c r="D3116" t="inlineStr">
        <is>
          <t>VÄRMLANDS LÄN</t>
        </is>
      </c>
      <c r="E3116" t="inlineStr">
        <is>
          <t>TORSBY</t>
        </is>
      </c>
      <c r="F3116" t="inlineStr">
        <is>
          <t>Naturvårdsverket</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40616-2020</t>
        </is>
      </c>
      <c r="B3117" s="1" t="n">
        <v>44069</v>
      </c>
      <c r="C3117" s="1" t="n">
        <v>45736</v>
      </c>
      <c r="D3117" t="inlineStr">
        <is>
          <t>VÄRMLANDS LÄN</t>
        </is>
      </c>
      <c r="E3117" t="inlineStr">
        <is>
          <t>KIL</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40528-2020</t>
        </is>
      </c>
      <c r="B3118" s="1" t="n">
        <v>44069</v>
      </c>
      <c r="C3118" s="1" t="n">
        <v>45736</v>
      </c>
      <c r="D3118" t="inlineStr">
        <is>
          <t>VÄRMLANDS LÄN</t>
        </is>
      </c>
      <c r="E3118" t="inlineStr">
        <is>
          <t>EDA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40601-2020</t>
        </is>
      </c>
      <c r="B3119" s="1" t="n">
        <v>44069</v>
      </c>
      <c r="C3119" s="1" t="n">
        <v>45736</v>
      </c>
      <c r="D3119" t="inlineStr">
        <is>
          <t>VÄRMLANDS LÄN</t>
        </is>
      </c>
      <c r="E3119" t="inlineStr">
        <is>
          <t>TORSBY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40698-2020</t>
        </is>
      </c>
      <c r="B3120" s="1" t="n">
        <v>44069</v>
      </c>
      <c r="C3120" s="1" t="n">
        <v>45736</v>
      </c>
      <c r="D3120" t="inlineStr">
        <is>
          <t>VÄRMLANDS LÄN</t>
        </is>
      </c>
      <c r="E3120" t="inlineStr">
        <is>
          <t>SÄFFLE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40687-2020</t>
        </is>
      </c>
      <c r="B3121" s="1" t="n">
        <v>44069</v>
      </c>
      <c r="C3121" s="1" t="n">
        <v>45736</v>
      </c>
      <c r="D3121" t="inlineStr">
        <is>
          <t>VÄRMLANDS LÄN</t>
        </is>
      </c>
      <c r="E3121" t="inlineStr">
        <is>
          <t>KRISTINEHAMN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40777-2020</t>
        </is>
      </c>
      <c r="B3122" s="1" t="n">
        <v>44070</v>
      </c>
      <c r="C3122" s="1" t="n">
        <v>45736</v>
      </c>
      <c r="D3122" t="inlineStr">
        <is>
          <t>VÄRMLANDS LÄN</t>
        </is>
      </c>
      <c r="E3122" t="inlineStr">
        <is>
          <t>GRUMS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40787-2020</t>
        </is>
      </c>
      <c r="B3123" s="1" t="n">
        <v>44070</v>
      </c>
      <c r="C3123" s="1" t="n">
        <v>45736</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40985-2020</t>
        </is>
      </c>
      <c r="B3124" s="1" t="n">
        <v>44070</v>
      </c>
      <c r="C3124" s="1" t="n">
        <v>45736</v>
      </c>
      <c r="D3124" t="inlineStr">
        <is>
          <t>VÄRMLANDS LÄN</t>
        </is>
      </c>
      <c r="E3124" t="inlineStr">
        <is>
          <t>SUNNE</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40994-2020</t>
        </is>
      </c>
      <c r="B3125" s="1" t="n">
        <v>44070</v>
      </c>
      <c r="C3125" s="1" t="n">
        <v>45736</v>
      </c>
      <c r="D3125" t="inlineStr">
        <is>
          <t>VÄRMLANDS LÄN</t>
        </is>
      </c>
      <c r="E3125" t="inlineStr">
        <is>
          <t>TORSBY</t>
        </is>
      </c>
      <c r="F3125" t="inlineStr">
        <is>
          <t>Bergvik skog väst AB</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41613-2020</t>
        </is>
      </c>
      <c r="B3126" s="1" t="n">
        <v>44070</v>
      </c>
      <c r="C3126" s="1" t="n">
        <v>45736</v>
      </c>
      <c r="D3126" t="inlineStr">
        <is>
          <t>VÄRMLANDS LÄN</t>
        </is>
      </c>
      <c r="E3126" t="inlineStr">
        <is>
          <t>GRUMS</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40771-2020</t>
        </is>
      </c>
      <c r="B3127" s="1" t="n">
        <v>44070</v>
      </c>
      <c r="C3127" s="1" t="n">
        <v>45736</v>
      </c>
      <c r="D3127" t="inlineStr">
        <is>
          <t>VÄRMLANDS LÄN</t>
        </is>
      </c>
      <c r="E3127" t="inlineStr">
        <is>
          <t>SÄFFLE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40926-2020</t>
        </is>
      </c>
      <c r="B3128" s="1" t="n">
        <v>44070</v>
      </c>
      <c r="C3128" s="1" t="n">
        <v>45736</v>
      </c>
      <c r="D3128" t="inlineStr">
        <is>
          <t>VÄRMLANDS LÄN</t>
        </is>
      </c>
      <c r="E3128" t="inlineStr">
        <is>
          <t>ARVIKA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40987-2020</t>
        </is>
      </c>
      <c r="B3129" s="1" t="n">
        <v>44070</v>
      </c>
      <c r="C3129" s="1" t="n">
        <v>45736</v>
      </c>
      <c r="D3129" t="inlineStr">
        <is>
          <t>VÄRMLANDS LÄN</t>
        </is>
      </c>
      <c r="E3129" t="inlineStr">
        <is>
          <t>TORSBY</t>
        </is>
      </c>
      <c r="F3129" t="inlineStr">
        <is>
          <t>Bergvik skog väst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40781-2020</t>
        </is>
      </c>
      <c r="B3130" s="1" t="n">
        <v>44070</v>
      </c>
      <c r="C3130" s="1" t="n">
        <v>45736</v>
      </c>
      <c r="D3130" t="inlineStr">
        <is>
          <t>VÄRMLANDS LÄN</t>
        </is>
      </c>
      <c r="E3130" t="inlineStr">
        <is>
          <t>ÅRJÄNG</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40819-2020</t>
        </is>
      </c>
      <c r="B3131" s="1" t="n">
        <v>44070</v>
      </c>
      <c r="C3131" s="1" t="n">
        <v>45736</v>
      </c>
      <c r="D3131" t="inlineStr">
        <is>
          <t>VÄRMLANDS LÄN</t>
        </is>
      </c>
      <c r="E3131" t="inlineStr">
        <is>
          <t>HAGFORS</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40873-2020</t>
        </is>
      </c>
      <c r="B3132" s="1" t="n">
        <v>44070</v>
      </c>
      <c r="C3132" s="1" t="n">
        <v>45736</v>
      </c>
      <c r="D3132" t="inlineStr">
        <is>
          <t>VÄRMLANDS LÄN</t>
        </is>
      </c>
      <c r="E3132" t="inlineStr">
        <is>
          <t>FILIPSTAD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40900-2020</t>
        </is>
      </c>
      <c r="B3133" s="1" t="n">
        <v>44070</v>
      </c>
      <c r="C3133" s="1" t="n">
        <v>45736</v>
      </c>
      <c r="D3133" t="inlineStr">
        <is>
          <t>VÄRMLANDS LÄN</t>
        </is>
      </c>
      <c r="E3133" t="inlineStr">
        <is>
          <t>SUNNE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40993-2020</t>
        </is>
      </c>
      <c r="B3134" s="1" t="n">
        <v>44070</v>
      </c>
      <c r="C3134" s="1" t="n">
        <v>45736</v>
      </c>
      <c r="D3134" t="inlineStr">
        <is>
          <t>VÄRMLANDS LÄN</t>
        </is>
      </c>
      <c r="E3134" t="inlineStr">
        <is>
          <t>TORSBY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40780-2020</t>
        </is>
      </c>
      <c r="B3135" s="1" t="n">
        <v>44070</v>
      </c>
      <c r="C3135" s="1" t="n">
        <v>45736</v>
      </c>
      <c r="D3135" t="inlineStr">
        <is>
          <t>VÄRMLANDS LÄN</t>
        </is>
      </c>
      <c r="E3135" t="inlineStr">
        <is>
          <t>GRUMS</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40829-2020</t>
        </is>
      </c>
      <c r="B3136" s="1" t="n">
        <v>44070</v>
      </c>
      <c r="C3136" s="1" t="n">
        <v>45736</v>
      </c>
      <c r="D3136" t="inlineStr">
        <is>
          <t>VÄRMLANDS LÄN</t>
        </is>
      </c>
      <c r="E3136" t="inlineStr">
        <is>
          <t>FILIPSTAD</t>
        </is>
      </c>
      <c r="G3136" t="n">
        <v>12.5</v>
      </c>
      <c r="H3136" t="n">
        <v>0</v>
      </c>
      <c r="I3136" t="n">
        <v>0</v>
      </c>
      <c r="J3136" t="n">
        <v>0</v>
      </c>
      <c r="K3136" t="n">
        <v>0</v>
      </c>
      <c r="L3136" t="n">
        <v>0</v>
      </c>
      <c r="M3136" t="n">
        <v>0</v>
      </c>
      <c r="N3136" t="n">
        <v>0</v>
      </c>
      <c r="O3136" t="n">
        <v>0</v>
      </c>
      <c r="P3136" t="n">
        <v>0</v>
      </c>
      <c r="Q3136" t="n">
        <v>0</v>
      </c>
      <c r="R3136" s="2" t="inlineStr"/>
    </row>
    <row r="3137" ht="15" customHeight="1">
      <c r="A3137" t="inlineStr">
        <is>
          <t>A 41621-2020</t>
        </is>
      </c>
      <c r="B3137" s="1" t="n">
        <v>44070</v>
      </c>
      <c r="C3137" s="1" t="n">
        <v>45736</v>
      </c>
      <c r="D3137" t="inlineStr">
        <is>
          <t>VÄRMLANDS LÄN</t>
        </is>
      </c>
      <c r="E3137" t="inlineStr">
        <is>
          <t>GRUMS</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41274-2020</t>
        </is>
      </c>
      <c r="B3138" s="1" t="n">
        <v>44071</v>
      </c>
      <c r="C3138" s="1" t="n">
        <v>45736</v>
      </c>
      <c r="D3138" t="inlineStr">
        <is>
          <t>VÄRMLANDS LÄN</t>
        </is>
      </c>
      <c r="E3138" t="inlineStr">
        <is>
          <t>ARVIKA</t>
        </is>
      </c>
      <c r="F3138" t="inlineStr">
        <is>
          <t>Bergvik skog väst AB</t>
        </is>
      </c>
      <c r="G3138" t="n">
        <v>16.5</v>
      </c>
      <c r="H3138" t="n">
        <v>0</v>
      </c>
      <c r="I3138" t="n">
        <v>0</v>
      </c>
      <c r="J3138" t="n">
        <v>0</v>
      </c>
      <c r="K3138" t="n">
        <v>0</v>
      </c>
      <c r="L3138" t="n">
        <v>0</v>
      </c>
      <c r="M3138" t="n">
        <v>0</v>
      </c>
      <c r="N3138" t="n">
        <v>0</v>
      </c>
      <c r="O3138" t="n">
        <v>0</v>
      </c>
      <c r="P3138" t="n">
        <v>0</v>
      </c>
      <c r="Q3138" t="n">
        <v>0</v>
      </c>
      <c r="R3138" s="2" t="inlineStr"/>
    </row>
    <row r="3139" ht="15" customHeight="1">
      <c r="A3139" t="inlineStr">
        <is>
          <t>A 41117-2020</t>
        </is>
      </c>
      <c r="B3139" s="1" t="n">
        <v>44071</v>
      </c>
      <c r="C3139" s="1" t="n">
        <v>45736</v>
      </c>
      <c r="D3139" t="inlineStr">
        <is>
          <t>VÄRMLANDS LÄN</t>
        </is>
      </c>
      <c r="E3139" t="inlineStr">
        <is>
          <t>SUNNE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41130-2020</t>
        </is>
      </c>
      <c r="B3140" s="1" t="n">
        <v>44071</v>
      </c>
      <c r="C3140" s="1" t="n">
        <v>45736</v>
      </c>
      <c r="D3140" t="inlineStr">
        <is>
          <t>VÄRMLANDS LÄN</t>
        </is>
      </c>
      <c r="E3140" t="inlineStr">
        <is>
          <t>ARVIKA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41241-2020</t>
        </is>
      </c>
      <c r="B3141" s="1" t="n">
        <v>44071</v>
      </c>
      <c r="C3141" s="1" t="n">
        <v>45736</v>
      </c>
      <c r="D3141" t="inlineStr">
        <is>
          <t>VÄRMLANDS LÄN</t>
        </is>
      </c>
      <c r="E3141" t="inlineStr">
        <is>
          <t>SUNNE</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41332-2020</t>
        </is>
      </c>
      <c r="B3142" s="1" t="n">
        <v>44071</v>
      </c>
      <c r="C3142" s="1" t="n">
        <v>45736</v>
      </c>
      <c r="D3142" t="inlineStr">
        <is>
          <t>VÄRMLANDS LÄN</t>
        </is>
      </c>
      <c r="E3142" t="inlineStr">
        <is>
          <t>FORSHAGA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41444-2020</t>
        </is>
      </c>
      <c r="B3143" s="1" t="n">
        <v>44073</v>
      </c>
      <c r="C3143" s="1" t="n">
        <v>45736</v>
      </c>
      <c r="D3143" t="inlineStr">
        <is>
          <t>VÄRMLANDS LÄN</t>
        </is>
      </c>
      <c r="E3143" t="inlineStr">
        <is>
          <t>KIL</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41547-2020</t>
        </is>
      </c>
      <c r="B3144" s="1" t="n">
        <v>44074</v>
      </c>
      <c r="C3144" s="1" t="n">
        <v>45736</v>
      </c>
      <c r="D3144" t="inlineStr">
        <is>
          <t>VÄRMLANDS LÄN</t>
        </is>
      </c>
      <c r="E3144" t="inlineStr">
        <is>
          <t>SUNNE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41657-2020</t>
        </is>
      </c>
      <c r="B3145" s="1" t="n">
        <v>44074</v>
      </c>
      <c r="C3145" s="1" t="n">
        <v>45736</v>
      </c>
      <c r="D3145" t="inlineStr">
        <is>
          <t>VÄRMLANDS LÄN</t>
        </is>
      </c>
      <c r="E3145" t="inlineStr">
        <is>
          <t>HAGFORS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41545-2020</t>
        </is>
      </c>
      <c r="B3146" s="1" t="n">
        <v>44074</v>
      </c>
      <c r="C3146" s="1" t="n">
        <v>45736</v>
      </c>
      <c r="D3146" t="inlineStr">
        <is>
          <t>VÄRMLANDS LÄN</t>
        </is>
      </c>
      <c r="E3146" t="inlineStr">
        <is>
          <t>SUNNE</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41653-2020</t>
        </is>
      </c>
      <c r="B3147" s="1" t="n">
        <v>44074</v>
      </c>
      <c r="C3147" s="1" t="n">
        <v>45736</v>
      </c>
      <c r="D3147" t="inlineStr">
        <is>
          <t>VÄRMLANDS LÄN</t>
        </is>
      </c>
      <c r="E3147" t="inlineStr">
        <is>
          <t>KARLSTAD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41830-2020</t>
        </is>
      </c>
      <c r="B3148" s="1" t="n">
        <v>44074</v>
      </c>
      <c r="C3148" s="1" t="n">
        <v>45736</v>
      </c>
      <c r="D3148" t="inlineStr">
        <is>
          <t>VÄRMLANDS LÄN</t>
        </is>
      </c>
      <c r="E3148" t="inlineStr">
        <is>
          <t>GRUMS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42103-2020</t>
        </is>
      </c>
      <c r="B3149" s="1" t="n">
        <v>44074</v>
      </c>
      <c r="C3149" s="1" t="n">
        <v>45736</v>
      </c>
      <c r="D3149" t="inlineStr">
        <is>
          <t>VÄRMLANDS LÄN</t>
        </is>
      </c>
      <c r="E3149" t="inlineStr">
        <is>
          <t>KARLSTAD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42431-2020</t>
        </is>
      </c>
      <c r="B3150" s="1" t="n">
        <v>44074</v>
      </c>
      <c r="C3150" s="1" t="n">
        <v>45736</v>
      </c>
      <c r="D3150" t="inlineStr">
        <is>
          <t>VÄRMLANDS LÄN</t>
        </is>
      </c>
      <c r="E3150" t="inlineStr">
        <is>
          <t>ÅRJÄNG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41469-2020</t>
        </is>
      </c>
      <c r="B3151" s="1" t="n">
        <v>44074</v>
      </c>
      <c r="C3151" s="1" t="n">
        <v>45736</v>
      </c>
      <c r="D3151" t="inlineStr">
        <is>
          <t>VÄRMLANDS LÄN</t>
        </is>
      </c>
      <c r="E3151" t="inlineStr">
        <is>
          <t>TORSBY</t>
        </is>
      </c>
      <c r="F3151" t="inlineStr">
        <is>
          <t>Bergvik skog väst AB</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42427-2020</t>
        </is>
      </c>
      <c r="B3152" s="1" t="n">
        <v>44074</v>
      </c>
      <c r="C3152" s="1" t="n">
        <v>45736</v>
      </c>
      <c r="D3152" t="inlineStr">
        <is>
          <t>VÄRMLANDS LÄN</t>
        </is>
      </c>
      <c r="E3152" t="inlineStr">
        <is>
          <t>ÅRJÄNG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42128-2020</t>
        </is>
      </c>
      <c r="B3153" s="1" t="n">
        <v>44075</v>
      </c>
      <c r="C3153" s="1" t="n">
        <v>45736</v>
      </c>
      <c r="D3153" t="inlineStr">
        <is>
          <t>VÄRMLANDS LÄN</t>
        </is>
      </c>
      <c r="E3153" t="inlineStr">
        <is>
          <t>ARVIKA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42034-2020</t>
        </is>
      </c>
      <c r="B3154" s="1" t="n">
        <v>44075</v>
      </c>
      <c r="C3154" s="1" t="n">
        <v>45736</v>
      </c>
      <c r="D3154" t="inlineStr">
        <is>
          <t>VÄRMLANDS LÄN</t>
        </is>
      </c>
      <c r="E3154" t="inlineStr">
        <is>
          <t>SUNNE</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41975-2020</t>
        </is>
      </c>
      <c r="B3155" s="1" t="n">
        <v>44075</v>
      </c>
      <c r="C3155" s="1" t="n">
        <v>45736</v>
      </c>
      <c r="D3155" t="inlineStr">
        <is>
          <t>VÄRMLANDS LÄN</t>
        </is>
      </c>
      <c r="E3155" t="inlineStr">
        <is>
          <t>KIL</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42175-2020</t>
        </is>
      </c>
      <c r="B3156" s="1" t="n">
        <v>44075</v>
      </c>
      <c r="C3156" s="1" t="n">
        <v>45736</v>
      </c>
      <c r="D3156" t="inlineStr">
        <is>
          <t>VÄRMLANDS LÄN</t>
        </is>
      </c>
      <c r="E3156" t="inlineStr">
        <is>
          <t>KARLSTAD</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42238-2020</t>
        </is>
      </c>
      <c r="B3157" s="1" t="n">
        <v>44075</v>
      </c>
      <c r="C3157" s="1" t="n">
        <v>45736</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42278-2020</t>
        </is>
      </c>
      <c r="B3158" s="1" t="n">
        <v>44076</v>
      </c>
      <c r="C3158" s="1" t="n">
        <v>45736</v>
      </c>
      <c r="D3158" t="inlineStr">
        <is>
          <t>VÄRMLANDS LÄN</t>
        </is>
      </c>
      <c r="E3158" t="inlineStr">
        <is>
          <t>SÄFFLE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42292-2020</t>
        </is>
      </c>
      <c r="B3159" s="1" t="n">
        <v>44076</v>
      </c>
      <c r="C3159" s="1" t="n">
        <v>45736</v>
      </c>
      <c r="D3159" t="inlineStr">
        <is>
          <t>VÄRMLANDS LÄN</t>
        </is>
      </c>
      <c r="E3159" t="inlineStr">
        <is>
          <t>SÄFFLE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42294-2020</t>
        </is>
      </c>
      <c r="B3160" s="1" t="n">
        <v>44076</v>
      </c>
      <c r="C3160" s="1" t="n">
        <v>45736</v>
      </c>
      <c r="D3160" t="inlineStr">
        <is>
          <t>VÄRMLANDS LÄN</t>
        </is>
      </c>
      <c r="E3160" t="inlineStr">
        <is>
          <t>ARVIKA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42322-2020</t>
        </is>
      </c>
      <c r="B3161" s="1" t="n">
        <v>44076</v>
      </c>
      <c r="C3161" s="1" t="n">
        <v>45736</v>
      </c>
      <c r="D3161" t="inlineStr">
        <is>
          <t>VÄRMLANDS LÄN</t>
        </is>
      </c>
      <c r="E3161" t="inlineStr">
        <is>
          <t>SUNNE</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42267-2020</t>
        </is>
      </c>
      <c r="B3162" s="1" t="n">
        <v>44076</v>
      </c>
      <c r="C3162" s="1" t="n">
        <v>45736</v>
      </c>
      <c r="D3162" t="inlineStr">
        <is>
          <t>VÄRMLANDS LÄN</t>
        </is>
      </c>
      <c r="E3162" t="inlineStr">
        <is>
          <t>ÅRJÄNG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42391-2020</t>
        </is>
      </c>
      <c r="B3163" s="1" t="n">
        <v>44076</v>
      </c>
      <c r="C3163" s="1" t="n">
        <v>45736</v>
      </c>
      <c r="D3163" t="inlineStr">
        <is>
          <t>VÄRMLANDS LÄN</t>
        </is>
      </c>
      <c r="E3163" t="inlineStr">
        <is>
          <t>TORSBY</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42522-2020</t>
        </is>
      </c>
      <c r="B3164" s="1" t="n">
        <v>44077</v>
      </c>
      <c r="C3164" s="1" t="n">
        <v>45736</v>
      </c>
      <c r="D3164" t="inlineStr">
        <is>
          <t>VÄRMLANDS LÄN</t>
        </is>
      </c>
      <c r="E3164" t="inlineStr">
        <is>
          <t>MUNKFORS</t>
        </is>
      </c>
      <c r="F3164" t="inlineStr">
        <is>
          <t>Bergvik skog väst AB</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42566-2020</t>
        </is>
      </c>
      <c r="B3165" s="1" t="n">
        <v>44077</v>
      </c>
      <c r="C3165" s="1" t="n">
        <v>45736</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42623-2020</t>
        </is>
      </c>
      <c r="B3166" s="1" t="n">
        <v>44077</v>
      </c>
      <c r="C3166" s="1" t="n">
        <v>45736</v>
      </c>
      <c r="D3166" t="inlineStr">
        <is>
          <t>VÄRMLANDS LÄN</t>
        </is>
      </c>
      <c r="E3166" t="inlineStr">
        <is>
          <t>KRISTINEHAMN</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42681-2020</t>
        </is>
      </c>
      <c r="B3167" s="1" t="n">
        <v>44077</v>
      </c>
      <c r="C3167" s="1" t="n">
        <v>45736</v>
      </c>
      <c r="D3167" t="inlineStr">
        <is>
          <t>VÄRMLANDS LÄN</t>
        </is>
      </c>
      <c r="E3167" t="inlineStr">
        <is>
          <t>SUNNE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42539-2020</t>
        </is>
      </c>
      <c r="B3168" s="1" t="n">
        <v>44077</v>
      </c>
      <c r="C3168" s="1" t="n">
        <v>45736</v>
      </c>
      <c r="D3168" t="inlineStr">
        <is>
          <t>VÄRMLANDS LÄN</t>
        </is>
      </c>
      <c r="E3168" t="inlineStr">
        <is>
          <t>MUNKFORS</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42584-2020</t>
        </is>
      </c>
      <c r="B3169" s="1" t="n">
        <v>44077</v>
      </c>
      <c r="C3169" s="1" t="n">
        <v>45736</v>
      </c>
      <c r="D3169" t="inlineStr">
        <is>
          <t>VÄRMLANDS LÄN</t>
        </is>
      </c>
      <c r="E3169" t="inlineStr">
        <is>
          <t>FILIPSTAD</t>
        </is>
      </c>
      <c r="F3169" t="inlineStr">
        <is>
          <t>Bergvik skog väst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42531-2020</t>
        </is>
      </c>
      <c r="B3170" s="1" t="n">
        <v>44077</v>
      </c>
      <c r="C3170" s="1" t="n">
        <v>45736</v>
      </c>
      <c r="D3170" t="inlineStr">
        <is>
          <t>VÄRMLANDS LÄN</t>
        </is>
      </c>
      <c r="E3170" t="inlineStr">
        <is>
          <t>KARLSTAD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42572-2020</t>
        </is>
      </c>
      <c r="B3171" s="1" t="n">
        <v>44077</v>
      </c>
      <c r="C3171" s="1" t="n">
        <v>45736</v>
      </c>
      <c r="D3171" t="inlineStr">
        <is>
          <t>VÄRMLANDS LÄN</t>
        </is>
      </c>
      <c r="E3171" t="inlineStr">
        <is>
          <t>EDA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42710-2020</t>
        </is>
      </c>
      <c r="B3172" s="1" t="n">
        <v>44077</v>
      </c>
      <c r="C3172" s="1" t="n">
        <v>45736</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42707-2020</t>
        </is>
      </c>
      <c r="B3173" s="1" t="n">
        <v>44077</v>
      </c>
      <c r="C3173" s="1" t="n">
        <v>45736</v>
      </c>
      <c r="D3173" t="inlineStr">
        <is>
          <t>VÄRMLANDS LÄN</t>
        </is>
      </c>
      <c r="E3173" t="inlineStr">
        <is>
          <t>SUNNE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42627-2020</t>
        </is>
      </c>
      <c r="B3174" s="1" t="n">
        <v>44077</v>
      </c>
      <c r="C3174" s="1" t="n">
        <v>45736</v>
      </c>
      <c r="D3174" t="inlineStr">
        <is>
          <t>VÄRMLANDS LÄN</t>
        </is>
      </c>
      <c r="E3174" t="inlineStr">
        <is>
          <t>KRISTINEHAMN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42716-2020</t>
        </is>
      </c>
      <c r="B3175" s="1" t="n">
        <v>44077</v>
      </c>
      <c r="C3175" s="1" t="n">
        <v>45736</v>
      </c>
      <c r="D3175" t="inlineStr">
        <is>
          <t>VÄRMLANDS LÄN</t>
        </is>
      </c>
      <c r="E3175" t="inlineStr">
        <is>
          <t>KIL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42597-2020</t>
        </is>
      </c>
      <c r="B3176" s="1" t="n">
        <v>44077</v>
      </c>
      <c r="C3176" s="1" t="n">
        <v>45736</v>
      </c>
      <c r="D3176" t="inlineStr">
        <is>
          <t>VÄRMLANDS LÄN</t>
        </is>
      </c>
      <c r="E3176" t="inlineStr">
        <is>
          <t>FILIPSTAD</t>
        </is>
      </c>
      <c r="G3176" t="n">
        <v>0</v>
      </c>
      <c r="H3176" t="n">
        <v>0</v>
      </c>
      <c r="I3176" t="n">
        <v>0</v>
      </c>
      <c r="J3176" t="n">
        <v>0</v>
      </c>
      <c r="K3176" t="n">
        <v>0</v>
      </c>
      <c r="L3176" t="n">
        <v>0</v>
      </c>
      <c r="M3176" t="n">
        <v>0</v>
      </c>
      <c r="N3176" t="n">
        <v>0</v>
      </c>
      <c r="O3176" t="n">
        <v>0</v>
      </c>
      <c r="P3176" t="n">
        <v>0</v>
      </c>
      <c r="Q3176" t="n">
        <v>0</v>
      </c>
      <c r="R3176" s="2" t="inlineStr"/>
    </row>
    <row r="3177" ht="15" customHeight="1">
      <c r="A3177" t="inlineStr">
        <is>
          <t>A 42877-2020</t>
        </is>
      </c>
      <c r="B3177" s="1" t="n">
        <v>44078</v>
      </c>
      <c r="C3177" s="1" t="n">
        <v>45736</v>
      </c>
      <c r="D3177" t="inlineStr">
        <is>
          <t>VÄRMLANDS LÄN</t>
        </is>
      </c>
      <c r="E3177" t="inlineStr">
        <is>
          <t>KARLSTAD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42960-2020</t>
        </is>
      </c>
      <c r="B3178" s="1" t="n">
        <v>44078</v>
      </c>
      <c r="C3178" s="1" t="n">
        <v>45736</v>
      </c>
      <c r="D3178" t="inlineStr">
        <is>
          <t>VÄRMLANDS LÄN</t>
        </is>
      </c>
      <c r="E3178" t="inlineStr">
        <is>
          <t>FORSHAGA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42967-2020</t>
        </is>
      </c>
      <c r="B3179" s="1" t="n">
        <v>44078</v>
      </c>
      <c r="C3179" s="1" t="n">
        <v>45736</v>
      </c>
      <c r="D3179" t="inlineStr">
        <is>
          <t>VÄRMLANDS LÄN</t>
        </is>
      </c>
      <c r="E3179" t="inlineStr">
        <is>
          <t>FORSHAGA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42982-2020</t>
        </is>
      </c>
      <c r="B3180" s="1" t="n">
        <v>44078</v>
      </c>
      <c r="C3180" s="1" t="n">
        <v>45736</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42993-2020</t>
        </is>
      </c>
      <c r="B3181" s="1" t="n">
        <v>44078</v>
      </c>
      <c r="C3181" s="1" t="n">
        <v>45736</v>
      </c>
      <c r="D3181" t="inlineStr">
        <is>
          <t>VÄRMLANDS LÄN</t>
        </is>
      </c>
      <c r="E3181" t="inlineStr">
        <is>
          <t>FORSHAGA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43208-2020</t>
        </is>
      </c>
      <c r="B3182" s="1" t="n">
        <v>44078</v>
      </c>
      <c r="C3182" s="1" t="n">
        <v>45736</v>
      </c>
      <c r="D3182" t="inlineStr">
        <is>
          <t>VÄRMLANDS LÄN</t>
        </is>
      </c>
      <c r="E3182" t="inlineStr">
        <is>
          <t>SUNNE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42964-2020</t>
        </is>
      </c>
      <c r="B3183" s="1" t="n">
        <v>44078</v>
      </c>
      <c r="C3183" s="1" t="n">
        <v>45736</v>
      </c>
      <c r="D3183" t="inlineStr">
        <is>
          <t>VÄRMLANDS LÄN</t>
        </is>
      </c>
      <c r="E3183" t="inlineStr">
        <is>
          <t>HAGFORS</t>
        </is>
      </c>
      <c r="F3183" t="inlineStr">
        <is>
          <t>Bergvik skog väst AB</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43052-2020</t>
        </is>
      </c>
      <c r="B3184" s="1" t="n">
        <v>44078</v>
      </c>
      <c r="C3184" s="1" t="n">
        <v>45736</v>
      </c>
      <c r="D3184" t="inlineStr">
        <is>
          <t>VÄRMLANDS LÄN</t>
        </is>
      </c>
      <c r="E3184" t="inlineStr">
        <is>
          <t>SUNNE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42910-2020</t>
        </is>
      </c>
      <c r="B3185" s="1" t="n">
        <v>44078</v>
      </c>
      <c r="C3185" s="1" t="n">
        <v>45736</v>
      </c>
      <c r="D3185" t="inlineStr">
        <is>
          <t>VÄRMLANDS LÄN</t>
        </is>
      </c>
      <c r="E3185" t="inlineStr">
        <is>
          <t>FORSHAGA</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42970-2020</t>
        </is>
      </c>
      <c r="B3186" s="1" t="n">
        <v>44078</v>
      </c>
      <c r="C3186" s="1" t="n">
        <v>45736</v>
      </c>
      <c r="D3186" t="inlineStr">
        <is>
          <t>VÄRMLANDS LÄN</t>
        </is>
      </c>
      <c r="E3186" t="inlineStr">
        <is>
          <t>FORSHAGA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42984-2020</t>
        </is>
      </c>
      <c r="B3187" s="1" t="n">
        <v>44078</v>
      </c>
      <c r="C3187" s="1" t="n">
        <v>45736</v>
      </c>
      <c r="D3187" t="inlineStr">
        <is>
          <t>VÄRMLANDS LÄN</t>
        </is>
      </c>
      <c r="E3187" t="inlineStr">
        <is>
          <t>FORSHAGA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43679-2020</t>
        </is>
      </c>
      <c r="B3188" s="1" t="n">
        <v>44078</v>
      </c>
      <c r="C3188" s="1" t="n">
        <v>45736</v>
      </c>
      <c r="D3188" t="inlineStr">
        <is>
          <t>VÄRMLANDS LÄN</t>
        </is>
      </c>
      <c r="E3188" t="inlineStr">
        <is>
          <t>KARLSTAD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43049-2020</t>
        </is>
      </c>
      <c r="B3189" s="1" t="n">
        <v>44078</v>
      </c>
      <c r="C3189" s="1" t="n">
        <v>45736</v>
      </c>
      <c r="D3189" t="inlineStr">
        <is>
          <t>VÄRMLANDS LÄN</t>
        </is>
      </c>
      <c r="E3189" t="inlineStr">
        <is>
          <t>KARLSTAD</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43669-2020</t>
        </is>
      </c>
      <c r="B3190" s="1" t="n">
        <v>44078</v>
      </c>
      <c r="C3190" s="1" t="n">
        <v>45736</v>
      </c>
      <c r="D3190" t="inlineStr">
        <is>
          <t>VÄRMLANDS LÄN</t>
        </is>
      </c>
      <c r="E3190" t="inlineStr">
        <is>
          <t>KARLSTAD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44722-2020</t>
        </is>
      </c>
      <c r="B3191" s="1" t="n">
        <v>44078</v>
      </c>
      <c r="C3191" s="1" t="n">
        <v>45736</v>
      </c>
      <c r="D3191" t="inlineStr">
        <is>
          <t>VÄRMLANDS LÄN</t>
        </is>
      </c>
      <c r="E3191" t="inlineStr">
        <is>
          <t>TORSBY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42965-2020</t>
        </is>
      </c>
      <c r="B3192" s="1" t="n">
        <v>44078</v>
      </c>
      <c r="C3192" s="1" t="n">
        <v>45736</v>
      </c>
      <c r="D3192" t="inlineStr">
        <is>
          <t>VÄRMLANDS LÄN</t>
        </is>
      </c>
      <c r="E3192" t="inlineStr">
        <is>
          <t>FORSHAGA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43547-2020</t>
        </is>
      </c>
      <c r="B3193" s="1" t="n">
        <v>44078</v>
      </c>
      <c r="C3193" s="1" t="n">
        <v>45736</v>
      </c>
      <c r="D3193" t="inlineStr">
        <is>
          <t>VÄRMLANDS LÄN</t>
        </is>
      </c>
      <c r="E3193" t="inlineStr">
        <is>
          <t>TORSBY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44715-2020</t>
        </is>
      </c>
      <c r="B3194" s="1" t="n">
        <v>44078</v>
      </c>
      <c r="C3194" s="1" t="n">
        <v>45736</v>
      </c>
      <c r="D3194" t="inlineStr">
        <is>
          <t>VÄRMLANDS LÄN</t>
        </is>
      </c>
      <c r="E3194" t="inlineStr">
        <is>
          <t>TORSBY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44720-2020</t>
        </is>
      </c>
      <c r="B3195" s="1" t="n">
        <v>44078</v>
      </c>
      <c r="C3195" s="1" t="n">
        <v>45736</v>
      </c>
      <c r="D3195" t="inlineStr">
        <is>
          <t>VÄRMLANDS LÄN</t>
        </is>
      </c>
      <c r="E3195" t="inlineStr">
        <is>
          <t>TORSBY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43133-2020</t>
        </is>
      </c>
      <c r="B3196" s="1" t="n">
        <v>44080</v>
      </c>
      <c r="C3196" s="1" t="n">
        <v>45736</v>
      </c>
      <c r="D3196" t="inlineStr">
        <is>
          <t>VÄRMLANDS LÄN</t>
        </is>
      </c>
      <c r="E3196" t="inlineStr">
        <is>
          <t>KRISTINEHAMN</t>
        </is>
      </c>
      <c r="F3196" t="inlineStr">
        <is>
          <t>Bergvik skog väst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43132-2020</t>
        </is>
      </c>
      <c r="B3197" s="1" t="n">
        <v>44080</v>
      </c>
      <c r="C3197" s="1" t="n">
        <v>45736</v>
      </c>
      <c r="D3197" t="inlineStr">
        <is>
          <t>VÄRMLANDS LÄN</t>
        </is>
      </c>
      <c r="E3197" t="inlineStr">
        <is>
          <t>KRISTINEHAMN</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43179-2020</t>
        </is>
      </c>
      <c r="B3198" s="1" t="n">
        <v>44081</v>
      </c>
      <c r="C3198" s="1" t="n">
        <v>45736</v>
      </c>
      <c r="D3198" t="inlineStr">
        <is>
          <t>VÄRMLANDS LÄN</t>
        </is>
      </c>
      <c r="E3198" t="inlineStr">
        <is>
          <t>KARLSTAD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43267-2020</t>
        </is>
      </c>
      <c r="B3199" s="1" t="n">
        <v>44081</v>
      </c>
      <c r="C3199" s="1" t="n">
        <v>45736</v>
      </c>
      <c r="D3199" t="inlineStr">
        <is>
          <t>VÄRMLANDS LÄN</t>
        </is>
      </c>
      <c r="E3199" t="inlineStr">
        <is>
          <t>ÅRJÄNG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43428-2020</t>
        </is>
      </c>
      <c r="B3200" s="1" t="n">
        <v>44081</v>
      </c>
      <c r="C3200" s="1" t="n">
        <v>45736</v>
      </c>
      <c r="D3200" t="inlineStr">
        <is>
          <t>VÄRMLANDS LÄN</t>
        </is>
      </c>
      <c r="E3200" t="inlineStr">
        <is>
          <t>KRISTINEHAMN</t>
        </is>
      </c>
      <c r="F3200" t="inlineStr">
        <is>
          <t>Bergvik skog väst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43193-2020</t>
        </is>
      </c>
      <c r="B3201" s="1" t="n">
        <v>44081</v>
      </c>
      <c r="C3201" s="1" t="n">
        <v>45736</v>
      </c>
      <c r="D3201" t="inlineStr">
        <is>
          <t>VÄRMLANDS LÄN</t>
        </is>
      </c>
      <c r="E3201" t="inlineStr">
        <is>
          <t>ARVIKA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43426-2020</t>
        </is>
      </c>
      <c r="B3202" s="1" t="n">
        <v>44081</v>
      </c>
      <c r="C3202" s="1" t="n">
        <v>45736</v>
      </c>
      <c r="D3202" t="inlineStr">
        <is>
          <t>VÄRMLANDS LÄN</t>
        </is>
      </c>
      <c r="E3202" t="inlineStr">
        <is>
          <t>KRISTINEHAMN</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43618-2020</t>
        </is>
      </c>
      <c r="B3203" s="1" t="n">
        <v>44082</v>
      </c>
      <c r="C3203" s="1" t="n">
        <v>45736</v>
      </c>
      <c r="D3203" t="inlineStr">
        <is>
          <t>VÄRMLANDS LÄN</t>
        </is>
      </c>
      <c r="E3203" t="inlineStr">
        <is>
          <t>SÄFFLE</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43613-2020</t>
        </is>
      </c>
      <c r="B3204" s="1" t="n">
        <v>44082</v>
      </c>
      <c r="C3204" s="1" t="n">
        <v>45736</v>
      </c>
      <c r="D3204" t="inlineStr">
        <is>
          <t>VÄRMLANDS LÄN</t>
        </is>
      </c>
      <c r="E3204" t="inlineStr">
        <is>
          <t>FILIPSTAD</t>
        </is>
      </c>
      <c r="F3204" t="inlineStr">
        <is>
          <t>Bergvik skog väst AB</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43671-2020</t>
        </is>
      </c>
      <c r="B3205" s="1" t="n">
        <v>44082</v>
      </c>
      <c r="C3205" s="1" t="n">
        <v>45736</v>
      </c>
      <c r="D3205" t="inlineStr">
        <is>
          <t>VÄRMLANDS LÄN</t>
        </is>
      </c>
      <c r="E3205" t="inlineStr">
        <is>
          <t>FILIPSTAD</t>
        </is>
      </c>
      <c r="F3205" t="inlineStr">
        <is>
          <t>Bergvik skog väst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43725-2020</t>
        </is>
      </c>
      <c r="B3206" s="1" t="n">
        <v>44082</v>
      </c>
      <c r="C3206" s="1" t="n">
        <v>45736</v>
      </c>
      <c r="D3206" t="inlineStr">
        <is>
          <t>VÄRMLANDS LÄN</t>
        </is>
      </c>
      <c r="E3206" t="inlineStr">
        <is>
          <t>TORSBY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44127-2020</t>
        </is>
      </c>
      <c r="B3207" s="1" t="n">
        <v>44082</v>
      </c>
      <c r="C3207" s="1" t="n">
        <v>45736</v>
      </c>
      <c r="D3207" t="inlineStr">
        <is>
          <t>VÄRMLANDS LÄN</t>
        </is>
      </c>
      <c r="E3207" t="inlineStr">
        <is>
          <t>SUNNE</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44304-2020</t>
        </is>
      </c>
      <c r="B3208" s="1" t="n">
        <v>44082</v>
      </c>
      <c r="C3208" s="1" t="n">
        <v>45736</v>
      </c>
      <c r="D3208" t="inlineStr">
        <is>
          <t>VÄRMLANDS LÄN</t>
        </is>
      </c>
      <c r="E3208" t="inlineStr">
        <is>
          <t>KARLSTAD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44309-2020</t>
        </is>
      </c>
      <c r="B3209" s="1" t="n">
        <v>44082</v>
      </c>
      <c r="C3209" s="1" t="n">
        <v>45736</v>
      </c>
      <c r="D3209" t="inlineStr">
        <is>
          <t>VÄRMLANDS LÄN</t>
        </is>
      </c>
      <c r="E3209" t="inlineStr">
        <is>
          <t>KARLSTAD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43879-2020</t>
        </is>
      </c>
      <c r="B3210" s="1" t="n">
        <v>44083</v>
      </c>
      <c r="C3210" s="1" t="n">
        <v>45736</v>
      </c>
      <c r="D3210" t="inlineStr">
        <is>
          <t>VÄRMLANDS LÄN</t>
        </is>
      </c>
      <c r="E3210" t="inlineStr">
        <is>
          <t>HAGFORS</t>
        </is>
      </c>
      <c r="F3210" t="inlineStr">
        <is>
          <t>Bergvik skog väst AB</t>
        </is>
      </c>
      <c r="G3210" t="n">
        <v>9.800000000000001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43870-2020</t>
        </is>
      </c>
      <c r="B3211" s="1" t="n">
        <v>44083</v>
      </c>
      <c r="C3211" s="1" t="n">
        <v>45736</v>
      </c>
      <c r="D3211" t="inlineStr">
        <is>
          <t>VÄRMLANDS LÄN</t>
        </is>
      </c>
      <c r="E3211" t="inlineStr">
        <is>
          <t>EDA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43869-2020</t>
        </is>
      </c>
      <c r="B3212" s="1" t="n">
        <v>44083</v>
      </c>
      <c r="C3212" s="1" t="n">
        <v>45736</v>
      </c>
      <c r="D3212" t="inlineStr">
        <is>
          <t>VÄRMLANDS LÄN</t>
        </is>
      </c>
      <c r="E3212" t="inlineStr">
        <is>
          <t>EDA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45123-2020</t>
        </is>
      </c>
      <c r="B3213" s="1" t="n">
        <v>44083</v>
      </c>
      <c r="C3213" s="1" t="n">
        <v>45736</v>
      </c>
      <c r="D3213" t="inlineStr">
        <is>
          <t>VÄRMLANDS LÄN</t>
        </is>
      </c>
      <c r="E3213" t="inlineStr">
        <is>
          <t>KARLSTAD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44298-2020</t>
        </is>
      </c>
      <c r="B3214" s="1" t="n">
        <v>44084</v>
      </c>
      <c r="C3214" s="1" t="n">
        <v>45736</v>
      </c>
      <c r="D3214" t="inlineStr">
        <is>
          <t>VÄRMLANDS LÄN</t>
        </is>
      </c>
      <c r="E3214" t="inlineStr">
        <is>
          <t>ÅRJÄNG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44471-2020</t>
        </is>
      </c>
      <c r="B3215" s="1" t="n">
        <v>44084</v>
      </c>
      <c r="C3215" s="1" t="n">
        <v>45736</v>
      </c>
      <c r="D3215" t="inlineStr">
        <is>
          <t>VÄRMLANDS LÄN</t>
        </is>
      </c>
      <c r="E3215" t="inlineStr">
        <is>
          <t>SÄFFLE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44319-2020</t>
        </is>
      </c>
      <c r="B3216" s="1" t="n">
        <v>44084</v>
      </c>
      <c r="C3216" s="1" t="n">
        <v>45736</v>
      </c>
      <c r="D3216" t="inlineStr">
        <is>
          <t>VÄRMLANDS LÄN</t>
        </is>
      </c>
      <c r="E3216" t="inlineStr">
        <is>
          <t>ÅRJÄNG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45182-2020</t>
        </is>
      </c>
      <c r="B3217" s="1" t="n">
        <v>44084</v>
      </c>
      <c r="C3217" s="1" t="n">
        <v>45736</v>
      </c>
      <c r="D3217" t="inlineStr">
        <is>
          <t>VÄRMLANDS LÄN</t>
        </is>
      </c>
      <c r="E3217" t="inlineStr">
        <is>
          <t>KARLSTAD</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45186-2020</t>
        </is>
      </c>
      <c r="B3218" s="1" t="n">
        <v>44084</v>
      </c>
      <c r="C3218" s="1" t="n">
        <v>45736</v>
      </c>
      <c r="D3218" t="inlineStr">
        <is>
          <t>VÄRMLANDS LÄN</t>
        </is>
      </c>
      <c r="E3218" t="inlineStr">
        <is>
          <t>KARLSTAD</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45174-2020</t>
        </is>
      </c>
      <c r="B3219" s="1" t="n">
        <v>44084</v>
      </c>
      <c r="C3219" s="1" t="n">
        <v>45736</v>
      </c>
      <c r="D3219" t="inlineStr">
        <is>
          <t>VÄRMLANDS LÄN</t>
        </is>
      </c>
      <c r="E3219" t="inlineStr">
        <is>
          <t>KARLSTAD</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44610-2020</t>
        </is>
      </c>
      <c r="B3220" s="1" t="n">
        <v>44085</v>
      </c>
      <c r="C3220" s="1" t="n">
        <v>45736</v>
      </c>
      <c r="D3220" t="inlineStr">
        <is>
          <t>VÄRMLANDS LÄN</t>
        </is>
      </c>
      <c r="E3220" t="inlineStr">
        <is>
          <t>HAGFORS</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44767-2020</t>
        </is>
      </c>
      <c r="B3221" s="1" t="n">
        <v>44085</v>
      </c>
      <c r="C3221" s="1" t="n">
        <v>45736</v>
      </c>
      <c r="D3221" t="inlineStr">
        <is>
          <t>VÄRMLANDS LÄN</t>
        </is>
      </c>
      <c r="E3221" t="inlineStr">
        <is>
          <t>ARVIKA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44546-2020</t>
        </is>
      </c>
      <c r="B3222" s="1" t="n">
        <v>44085</v>
      </c>
      <c r="C3222" s="1" t="n">
        <v>45736</v>
      </c>
      <c r="D3222" t="inlineStr">
        <is>
          <t>VÄRMLANDS LÄN</t>
        </is>
      </c>
      <c r="E3222" t="inlineStr">
        <is>
          <t>GRUMS</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44629-2020</t>
        </is>
      </c>
      <c r="B3223" s="1" t="n">
        <v>44085</v>
      </c>
      <c r="C3223" s="1" t="n">
        <v>45736</v>
      </c>
      <c r="D3223" t="inlineStr">
        <is>
          <t>VÄRMLANDS LÄN</t>
        </is>
      </c>
      <c r="E3223" t="inlineStr">
        <is>
          <t>HAGFORS</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44666-2020</t>
        </is>
      </c>
      <c r="B3224" s="1" t="n">
        <v>44085</v>
      </c>
      <c r="C3224" s="1" t="n">
        <v>45736</v>
      </c>
      <c r="D3224" t="inlineStr">
        <is>
          <t>VÄRMLANDS LÄN</t>
        </is>
      </c>
      <c r="E3224" t="inlineStr">
        <is>
          <t>TORSBY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44689-2020</t>
        </is>
      </c>
      <c r="B3225" s="1" t="n">
        <v>44085</v>
      </c>
      <c r="C3225" s="1" t="n">
        <v>45736</v>
      </c>
      <c r="D3225" t="inlineStr">
        <is>
          <t>VÄRMLANDS LÄN</t>
        </is>
      </c>
      <c r="E3225" t="inlineStr">
        <is>
          <t>ARVIKA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44702-2020</t>
        </is>
      </c>
      <c r="B3226" s="1" t="n">
        <v>44085</v>
      </c>
      <c r="C3226" s="1" t="n">
        <v>45736</v>
      </c>
      <c r="D3226" t="inlineStr">
        <is>
          <t>VÄRMLANDS LÄN</t>
        </is>
      </c>
      <c r="E3226" t="inlineStr">
        <is>
          <t>EDA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45319-2020</t>
        </is>
      </c>
      <c r="B3227" s="1" t="n">
        <v>44085</v>
      </c>
      <c r="C3227" s="1" t="n">
        <v>45736</v>
      </c>
      <c r="D3227" t="inlineStr">
        <is>
          <t>VÄRMLANDS LÄN</t>
        </is>
      </c>
      <c r="E3227" t="inlineStr">
        <is>
          <t>ARVIKA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44815-2020</t>
        </is>
      </c>
      <c r="B3228" s="1" t="n">
        <v>44085</v>
      </c>
      <c r="C3228" s="1" t="n">
        <v>45736</v>
      </c>
      <c r="D3228" t="inlineStr">
        <is>
          <t>VÄRMLANDS LÄN</t>
        </is>
      </c>
      <c r="E3228" t="inlineStr">
        <is>
          <t>SUNNE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45328-2020</t>
        </is>
      </c>
      <c r="B3229" s="1" t="n">
        <v>44085</v>
      </c>
      <c r="C3229" s="1" t="n">
        <v>45736</v>
      </c>
      <c r="D3229" t="inlineStr">
        <is>
          <t>VÄRMLANDS LÄN</t>
        </is>
      </c>
      <c r="E3229" t="inlineStr">
        <is>
          <t>KARLSTAD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45463-2020</t>
        </is>
      </c>
      <c r="B3230" s="1" t="n">
        <v>44085</v>
      </c>
      <c r="C3230" s="1" t="n">
        <v>45736</v>
      </c>
      <c r="D3230" t="inlineStr">
        <is>
          <t>VÄRMLANDS LÄN</t>
        </is>
      </c>
      <c r="E3230" t="inlineStr">
        <is>
          <t>KARLSTAD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44548-2020</t>
        </is>
      </c>
      <c r="B3231" s="1" t="n">
        <v>44085</v>
      </c>
      <c r="C3231" s="1" t="n">
        <v>45736</v>
      </c>
      <c r="D3231" t="inlineStr">
        <is>
          <t>VÄRMLANDS LÄN</t>
        </is>
      </c>
      <c r="E3231" t="inlineStr">
        <is>
          <t>GRUMS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44967-2020</t>
        </is>
      </c>
      <c r="B3232" s="1" t="n">
        <v>44088</v>
      </c>
      <c r="C3232" s="1" t="n">
        <v>45736</v>
      </c>
      <c r="D3232" t="inlineStr">
        <is>
          <t>VÄRMLANDS LÄN</t>
        </is>
      </c>
      <c r="E3232" t="inlineStr">
        <is>
          <t>KIL</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45402-2020</t>
        </is>
      </c>
      <c r="B3233" s="1" t="n">
        <v>44089</v>
      </c>
      <c r="C3233" s="1" t="n">
        <v>45736</v>
      </c>
      <c r="D3233" t="inlineStr">
        <is>
          <t>VÄRMLANDS LÄN</t>
        </is>
      </c>
      <c r="E3233" t="inlineStr">
        <is>
          <t>KRISTINEHAMN</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45485-2020</t>
        </is>
      </c>
      <c r="B3234" s="1" t="n">
        <v>44089</v>
      </c>
      <c r="C3234" s="1" t="n">
        <v>45736</v>
      </c>
      <c r="D3234" t="inlineStr">
        <is>
          <t>VÄRMLANDS LÄN</t>
        </is>
      </c>
      <c r="E3234" t="inlineStr">
        <is>
          <t>SUNNE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45524-2020</t>
        </is>
      </c>
      <c r="B3235" s="1" t="n">
        <v>44089</v>
      </c>
      <c r="C3235" s="1" t="n">
        <v>45736</v>
      </c>
      <c r="D3235" t="inlineStr">
        <is>
          <t>VÄRMLANDS LÄN</t>
        </is>
      </c>
      <c r="E3235" t="inlineStr">
        <is>
          <t>ARVIKA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45269-2020</t>
        </is>
      </c>
      <c r="B3236" s="1" t="n">
        <v>44089</v>
      </c>
      <c r="C3236" s="1" t="n">
        <v>45736</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46482-2020</t>
        </is>
      </c>
      <c r="B3237" s="1" t="n">
        <v>44089</v>
      </c>
      <c r="C3237" s="1" t="n">
        <v>45736</v>
      </c>
      <c r="D3237" t="inlineStr">
        <is>
          <t>VÄRMLANDS LÄN</t>
        </is>
      </c>
      <c r="E3237" t="inlineStr">
        <is>
          <t>TORSBY</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46701-2020</t>
        </is>
      </c>
      <c r="B3238" s="1" t="n">
        <v>44089</v>
      </c>
      <c r="C3238" s="1" t="n">
        <v>45736</v>
      </c>
      <c r="D3238" t="inlineStr">
        <is>
          <t>VÄRMLANDS LÄN</t>
        </is>
      </c>
      <c r="E3238" t="inlineStr">
        <is>
          <t>GRUMS</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45404-2020</t>
        </is>
      </c>
      <c r="B3239" s="1" t="n">
        <v>44089</v>
      </c>
      <c r="C3239" s="1" t="n">
        <v>45736</v>
      </c>
      <c r="D3239" t="inlineStr">
        <is>
          <t>VÄRMLANDS LÄN</t>
        </is>
      </c>
      <c r="E3239" t="inlineStr">
        <is>
          <t>TORSBY</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45258-2020</t>
        </is>
      </c>
      <c r="B3240" s="1" t="n">
        <v>44089</v>
      </c>
      <c r="C3240" s="1" t="n">
        <v>45736</v>
      </c>
      <c r="D3240" t="inlineStr">
        <is>
          <t>VÄRMLANDS LÄN</t>
        </is>
      </c>
      <c r="E3240" t="inlineStr">
        <is>
          <t>ARVIKA</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45767-2020</t>
        </is>
      </c>
      <c r="B3241" s="1" t="n">
        <v>44090</v>
      </c>
      <c r="C3241" s="1" t="n">
        <v>45736</v>
      </c>
      <c r="D3241" t="inlineStr">
        <is>
          <t>VÄRMLANDS LÄN</t>
        </is>
      </c>
      <c r="E3241" t="inlineStr">
        <is>
          <t>SUNNE</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45799-2020</t>
        </is>
      </c>
      <c r="B3242" s="1" t="n">
        <v>44090</v>
      </c>
      <c r="C3242" s="1" t="n">
        <v>45736</v>
      </c>
      <c r="D3242" t="inlineStr">
        <is>
          <t>VÄRMLANDS LÄN</t>
        </is>
      </c>
      <c r="E3242" t="inlineStr">
        <is>
          <t>KRISTINEHAMN</t>
        </is>
      </c>
      <c r="F3242" t="inlineStr">
        <is>
          <t>Bergvik skog väst AB</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45805-2020</t>
        </is>
      </c>
      <c r="B3243" s="1" t="n">
        <v>44090</v>
      </c>
      <c r="C3243" s="1" t="n">
        <v>45736</v>
      </c>
      <c r="D3243" t="inlineStr">
        <is>
          <t>VÄRMLANDS LÄN</t>
        </is>
      </c>
      <c r="E3243" t="inlineStr">
        <is>
          <t>KRISTINEHAMN</t>
        </is>
      </c>
      <c r="F3243" t="inlineStr">
        <is>
          <t>Bergvik skog väst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45779-2020</t>
        </is>
      </c>
      <c r="B3244" s="1" t="n">
        <v>44090</v>
      </c>
      <c r="C3244" s="1" t="n">
        <v>45736</v>
      </c>
      <c r="D3244" t="inlineStr">
        <is>
          <t>VÄRMLANDS LÄN</t>
        </is>
      </c>
      <c r="E3244" t="inlineStr">
        <is>
          <t>SÄFFLE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45803-2020</t>
        </is>
      </c>
      <c r="B3245" s="1" t="n">
        <v>44090</v>
      </c>
      <c r="C3245" s="1" t="n">
        <v>45736</v>
      </c>
      <c r="D3245" t="inlineStr">
        <is>
          <t>VÄRMLANDS LÄN</t>
        </is>
      </c>
      <c r="E3245" t="inlineStr">
        <is>
          <t>KRISTINEHAMN</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45811-2020</t>
        </is>
      </c>
      <c r="B3246" s="1" t="n">
        <v>44090</v>
      </c>
      <c r="C3246" s="1" t="n">
        <v>45736</v>
      </c>
      <c r="D3246" t="inlineStr">
        <is>
          <t>VÄRMLANDS LÄN</t>
        </is>
      </c>
      <c r="E3246" t="inlineStr">
        <is>
          <t>KRISTINEHAMN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46836-2020</t>
        </is>
      </c>
      <c r="B3247" s="1" t="n">
        <v>44090</v>
      </c>
      <c r="C3247" s="1" t="n">
        <v>45736</v>
      </c>
      <c r="D3247" t="inlineStr">
        <is>
          <t>VÄRMLANDS LÄN</t>
        </is>
      </c>
      <c r="E3247" t="inlineStr">
        <is>
          <t>KARLSTAD</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46971-2020</t>
        </is>
      </c>
      <c r="B3248" s="1" t="n">
        <v>44090</v>
      </c>
      <c r="C3248" s="1" t="n">
        <v>45736</v>
      </c>
      <c r="D3248" t="inlineStr">
        <is>
          <t>VÄRMLANDS LÄN</t>
        </is>
      </c>
      <c r="E3248" t="inlineStr">
        <is>
          <t>GRUMS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45872-2020</t>
        </is>
      </c>
      <c r="B3249" s="1" t="n">
        <v>44091</v>
      </c>
      <c r="C3249" s="1" t="n">
        <v>45736</v>
      </c>
      <c r="D3249" t="inlineStr">
        <is>
          <t>VÄRMLANDS LÄN</t>
        </is>
      </c>
      <c r="E3249" t="inlineStr">
        <is>
          <t>TORSBY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45898-2020</t>
        </is>
      </c>
      <c r="B3250" s="1" t="n">
        <v>44091</v>
      </c>
      <c r="C3250" s="1" t="n">
        <v>45736</v>
      </c>
      <c r="D3250" t="inlineStr">
        <is>
          <t>VÄRMLANDS LÄN</t>
        </is>
      </c>
      <c r="E3250" t="inlineStr">
        <is>
          <t>TORSBY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45959-2020</t>
        </is>
      </c>
      <c r="B3251" s="1" t="n">
        <v>44091</v>
      </c>
      <c r="C3251" s="1" t="n">
        <v>45736</v>
      </c>
      <c r="D3251" t="inlineStr">
        <is>
          <t>VÄRMLANDS LÄN</t>
        </is>
      </c>
      <c r="E3251" t="inlineStr">
        <is>
          <t>SUNNE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45971-2020</t>
        </is>
      </c>
      <c r="B3252" s="1" t="n">
        <v>44091</v>
      </c>
      <c r="C3252" s="1" t="n">
        <v>45736</v>
      </c>
      <c r="D3252" t="inlineStr">
        <is>
          <t>VÄRMLANDS LÄN</t>
        </is>
      </c>
      <c r="E3252" t="inlineStr">
        <is>
          <t>ÅRJÄNG</t>
        </is>
      </c>
      <c r="G3252" t="n">
        <v>12.7</v>
      </c>
      <c r="H3252" t="n">
        <v>0</v>
      </c>
      <c r="I3252" t="n">
        <v>0</v>
      </c>
      <c r="J3252" t="n">
        <v>0</v>
      </c>
      <c r="K3252" t="n">
        <v>0</v>
      </c>
      <c r="L3252" t="n">
        <v>0</v>
      </c>
      <c r="M3252" t="n">
        <v>0</v>
      </c>
      <c r="N3252" t="n">
        <v>0</v>
      </c>
      <c r="O3252" t="n">
        <v>0</v>
      </c>
      <c r="P3252" t="n">
        <v>0</v>
      </c>
      <c r="Q3252" t="n">
        <v>0</v>
      </c>
      <c r="R3252" s="2" t="inlineStr"/>
    </row>
    <row r="3253" ht="15" customHeight="1">
      <c r="A3253" t="inlineStr">
        <is>
          <t>A 46002-2020</t>
        </is>
      </c>
      <c r="B3253" s="1" t="n">
        <v>44091</v>
      </c>
      <c r="C3253" s="1" t="n">
        <v>45736</v>
      </c>
      <c r="D3253" t="inlineStr">
        <is>
          <t>VÄRMLANDS LÄN</t>
        </is>
      </c>
      <c r="E3253" t="inlineStr">
        <is>
          <t>ÅRJÄNG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45853-2020</t>
        </is>
      </c>
      <c r="B3254" s="1" t="n">
        <v>44091</v>
      </c>
      <c r="C3254" s="1" t="n">
        <v>45736</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46113-2020</t>
        </is>
      </c>
      <c r="B3255" s="1" t="n">
        <v>44091</v>
      </c>
      <c r="C3255" s="1" t="n">
        <v>45736</v>
      </c>
      <c r="D3255" t="inlineStr">
        <is>
          <t>VÄRMLANDS LÄN</t>
        </is>
      </c>
      <c r="E3255" t="inlineStr">
        <is>
          <t>FILIPSTAD</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46245-2020</t>
        </is>
      </c>
      <c r="B3256" s="1" t="n">
        <v>44092</v>
      </c>
      <c r="C3256" s="1" t="n">
        <v>45736</v>
      </c>
      <c r="D3256" t="inlineStr">
        <is>
          <t>VÄRMLANDS LÄN</t>
        </is>
      </c>
      <c r="E3256" t="inlineStr">
        <is>
          <t>GRUMS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46192-2020</t>
        </is>
      </c>
      <c r="B3257" s="1" t="n">
        <v>44092</v>
      </c>
      <c r="C3257" s="1" t="n">
        <v>45736</v>
      </c>
      <c r="D3257" t="inlineStr">
        <is>
          <t>VÄRMLANDS LÄN</t>
        </is>
      </c>
      <c r="E3257" t="inlineStr">
        <is>
          <t>ARVIKA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46271-2020</t>
        </is>
      </c>
      <c r="B3258" s="1" t="n">
        <v>44092</v>
      </c>
      <c r="C3258" s="1" t="n">
        <v>45736</v>
      </c>
      <c r="D3258" t="inlineStr">
        <is>
          <t>VÄRMLANDS LÄN</t>
        </is>
      </c>
      <c r="E3258" t="inlineStr">
        <is>
          <t>TORSBY</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47333-2020</t>
        </is>
      </c>
      <c r="B3259" s="1" t="n">
        <v>44092</v>
      </c>
      <c r="C3259" s="1" t="n">
        <v>45736</v>
      </c>
      <c r="D3259" t="inlineStr">
        <is>
          <t>VÄRMLANDS LÄN</t>
        </is>
      </c>
      <c r="E3259" t="inlineStr">
        <is>
          <t>SÄFFLE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46187-2020</t>
        </is>
      </c>
      <c r="B3260" s="1" t="n">
        <v>44092</v>
      </c>
      <c r="C3260" s="1" t="n">
        <v>45736</v>
      </c>
      <c r="D3260" t="inlineStr">
        <is>
          <t>VÄRMLANDS LÄN</t>
        </is>
      </c>
      <c r="E3260" t="inlineStr">
        <is>
          <t>SUNNE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46666-2020</t>
        </is>
      </c>
      <c r="B3261" s="1" t="n">
        <v>44095</v>
      </c>
      <c r="C3261" s="1" t="n">
        <v>45736</v>
      </c>
      <c r="D3261" t="inlineStr">
        <is>
          <t>VÄRMLANDS LÄN</t>
        </is>
      </c>
      <c r="E3261" t="inlineStr">
        <is>
          <t>KARLSTAD</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46680-2020</t>
        </is>
      </c>
      <c r="B3262" s="1" t="n">
        <v>44095</v>
      </c>
      <c r="C3262" s="1" t="n">
        <v>45736</v>
      </c>
      <c r="D3262" t="inlineStr">
        <is>
          <t>VÄRMLANDS LÄN</t>
        </is>
      </c>
      <c r="E3262" t="inlineStr">
        <is>
          <t>ARVIKA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46563-2020</t>
        </is>
      </c>
      <c r="B3263" s="1" t="n">
        <v>44095</v>
      </c>
      <c r="C3263" s="1" t="n">
        <v>45736</v>
      </c>
      <c r="D3263" t="inlineStr">
        <is>
          <t>VÄRMLANDS LÄN</t>
        </is>
      </c>
      <c r="E3263" t="inlineStr">
        <is>
          <t>SÄFFLE</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46929-2020</t>
        </is>
      </c>
      <c r="B3264" s="1" t="n">
        <v>44096</v>
      </c>
      <c r="C3264" s="1" t="n">
        <v>45736</v>
      </c>
      <c r="D3264" t="inlineStr">
        <is>
          <t>VÄRMLANDS LÄN</t>
        </is>
      </c>
      <c r="E3264" t="inlineStr">
        <is>
          <t>HAGFORS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46981-2020</t>
        </is>
      </c>
      <c r="B3265" s="1" t="n">
        <v>44096</v>
      </c>
      <c r="C3265" s="1" t="n">
        <v>45736</v>
      </c>
      <c r="D3265" t="inlineStr">
        <is>
          <t>VÄRMLANDS LÄN</t>
        </is>
      </c>
      <c r="E3265" t="inlineStr">
        <is>
          <t>ÅRJÄNG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47042-2020</t>
        </is>
      </c>
      <c r="B3266" s="1" t="n">
        <v>44096</v>
      </c>
      <c r="C3266" s="1" t="n">
        <v>45736</v>
      </c>
      <c r="D3266" t="inlineStr">
        <is>
          <t>VÄRMLANDS LÄN</t>
        </is>
      </c>
      <c r="E3266" t="inlineStr">
        <is>
          <t>FORSHAGA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47707-2020</t>
        </is>
      </c>
      <c r="B3267" s="1" t="n">
        <v>44096</v>
      </c>
      <c r="C3267" s="1" t="n">
        <v>45736</v>
      </c>
      <c r="D3267" t="inlineStr">
        <is>
          <t>VÄRMLANDS LÄN</t>
        </is>
      </c>
      <c r="E3267" t="inlineStr">
        <is>
          <t>TORSBY</t>
        </is>
      </c>
      <c r="F3267" t="inlineStr">
        <is>
          <t>Kyrkan</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47728-2020</t>
        </is>
      </c>
      <c r="B3268" s="1" t="n">
        <v>44096</v>
      </c>
      <c r="C3268" s="1" t="n">
        <v>45736</v>
      </c>
      <c r="D3268" t="inlineStr">
        <is>
          <t>VÄRMLANDS LÄN</t>
        </is>
      </c>
      <c r="E3268" t="inlineStr">
        <is>
          <t>KRISTINEHAMN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47709-2020</t>
        </is>
      </c>
      <c r="B3269" s="1" t="n">
        <v>44096</v>
      </c>
      <c r="C3269" s="1" t="n">
        <v>45736</v>
      </c>
      <c r="D3269" t="inlineStr">
        <is>
          <t>VÄRMLANDS LÄN</t>
        </is>
      </c>
      <c r="E3269" t="inlineStr">
        <is>
          <t>TORSBY</t>
        </is>
      </c>
      <c r="F3269" t="inlineStr">
        <is>
          <t>Kyrkan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47394-2020</t>
        </is>
      </c>
      <c r="B3270" s="1" t="n">
        <v>44097</v>
      </c>
      <c r="C3270" s="1" t="n">
        <v>45736</v>
      </c>
      <c r="D3270" t="inlineStr">
        <is>
          <t>VÄRMLANDS LÄN</t>
        </is>
      </c>
      <c r="E3270" t="inlineStr">
        <is>
          <t>ÅRJÄNG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48203-2020</t>
        </is>
      </c>
      <c r="B3271" s="1" t="n">
        <v>44097</v>
      </c>
      <c r="C3271" s="1" t="n">
        <v>45736</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47266-2020</t>
        </is>
      </c>
      <c r="B3272" s="1" t="n">
        <v>44097</v>
      </c>
      <c r="C3272" s="1" t="n">
        <v>45736</v>
      </c>
      <c r="D3272" t="inlineStr">
        <is>
          <t>VÄRMLANDS LÄN</t>
        </is>
      </c>
      <c r="E3272" t="inlineStr">
        <is>
          <t>ARVIKA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47147-2020</t>
        </is>
      </c>
      <c r="B3273" s="1" t="n">
        <v>44097</v>
      </c>
      <c r="C3273" s="1" t="n">
        <v>45736</v>
      </c>
      <c r="D3273" t="inlineStr">
        <is>
          <t>VÄRMLANDS LÄN</t>
        </is>
      </c>
      <c r="E3273" t="inlineStr">
        <is>
          <t>ARVIKA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47328-2020</t>
        </is>
      </c>
      <c r="B3274" s="1" t="n">
        <v>44097</v>
      </c>
      <c r="C3274" s="1" t="n">
        <v>45736</v>
      </c>
      <c r="D3274" t="inlineStr">
        <is>
          <t>VÄRMLANDS LÄN</t>
        </is>
      </c>
      <c r="E3274" t="inlineStr">
        <is>
          <t>ARVIKA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47434-2020</t>
        </is>
      </c>
      <c r="B3275" s="1" t="n">
        <v>44097</v>
      </c>
      <c r="C3275" s="1" t="n">
        <v>45736</v>
      </c>
      <c r="D3275" t="inlineStr">
        <is>
          <t>VÄRMLANDS LÄN</t>
        </is>
      </c>
      <c r="E3275" t="inlineStr">
        <is>
          <t>FILIPSTAD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47540-2020</t>
        </is>
      </c>
      <c r="B3276" s="1" t="n">
        <v>44098</v>
      </c>
      <c r="C3276" s="1" t="n">
        <v>45736</v>
      </c>
      <c r="D3276" t="inlineStr">
        <is>
          <t>VÄRMLANDS LÄN</t>
        </is>
      </c>
      <c r="E3276" t="inlineStr">
        <is>
          <t>FILIPSTAD</t>
        </is>
      </c>
      <c r="F3276" t="inlineStr">
        <is>
          <t>Bergvik skog väst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47490-2020</t>
        </is>
      </c>
      <c r="B3277" s="1" t="n">
        <v>44098</v>
      </c>
      <c r="C3277" s="1" t="n">
        <v>45736</v>
      </c>
      <c r="D3277" t="inlineStr">
        <is>
          <t>VÄRMLANDS LÄN</t>
        </is>
      </c>
      <c r="E3277" t="inlineStr">
        <is>
          <t>TORSBY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47673-2020</t>
        </is>
      </c>
      <c r="B3278" s="1" t="n">
        <v>44098</v>
      </c>
      <c r="C3278" s="1" t="n">
        <v>45736</v>
      </c>
      <c r="D3278" t="inlineStr">
        <is>
          <t>VÄRMLANDS LÄN</t>
        </is>
      </c>
      <c r="E3278" t="inlineStr">
        <is>
          <t>HAGFORS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47674-2020</t>
        </is>
      </c>
      <c r="B3279" s="1" t="n">
        <v>44098</v>
      </c>
      <c r="C3279" s="1" t="n">
        <v>45736</v>
      </c>
      <c r="D3279" t="inlineStr">
        <is>
          <t>VÄRMLANDS LÄN</t>
        </is>
      </c>
      <c r="E3279" t="inlineStr">
        <is>
          <t>FILIPSTAD</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47670-2020</t>
        </is>
      </c>
      <c r="B3280" s="1" t="n">
        <v>44098</v>
      </c>
      <c r="C3280" s="1" t="n">
        <v>45736</v>
      </c>
      <c r="D3280" t="inlineStr">
        <is>
          <t>VÄRMLANDS LÄN</t>
        </is>
      </c>
      <c r="E3280" t="inlineStr">
        <is>
          <t>HAGFORS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47817-2020</t>
        </is>
      </c>
      <c r="B3281" s="1" t="n">
        <v>44098</v>
      </c>
      <c r="C3281" s="1" t="n">
        <v>45736</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48553-2020</t>
        </is>
      </c>
      <c r="B3282" s="1" t="n">
        <v>44098</v>
      </c>
      <c r="C3282" s="1" t="n">
        <v>45736</v>
      </c>
      <c r="D3282" t="inlineStr">
        <is>
          <t>VÄRMLANDS LÄN</t>
        </is>
      </c>
      <c r="E3282" t="inlineStr">
        <is>
          <t>KARLSTAD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48568-2020</t>
        </is>
      </c>
      <c r="B3283" s="1" t="n">
        <v>44098</v>
      </c>
      <c r="C3283" s="1" t="n">
        <v>45736</v>
      </c>
      <c r="D3283" t="inlineStr">
        <is>
          <t>VÄRMLANDS LÄN</t>
        </is>
      </c>
      <c r="E3283" t="inlineStr">
        <is>
          <t>KARLSTAD</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48566-2020</t>
        </is>
      </c>
      <c r="B3284" s="1" t="n">
        <v>44098</v>
      </c>
      <c r="C3284" s="1" t="n">
        <v>45736</v>
      </c>
      <c r="D3284" t="inlineStr">
        <is>
          <t>VÄRMLANDS LÄN</t>
        </is>
      </c>
      <c r="E3284" t="inlineStr">
        <is>
          <t>KARLSTAD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48561-2020</t>
        </is>
      </c>
      <c r="B3285" s="1" t="n">
        <v>44098</v>
      </c>
      <c r="C3285" s="1" t="n">
        <v>45736</v>
      </c>
      <c r="D3285" t="inlineStr">
        <is>
          <t>VÄRMLANDS LÄN</t>
        </is>
      </c>
      <c r="E3285" t="inlineStr">
        <is>
          <t>KARLSTAD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48560-2020</t>
        </is>
      </c>
      <c r="B3286" s="1" t="n">
        <v>44098</v>
      </c>
      <c r="C3286" s="1" t="n">
        <v>45736</v>
      </c>
      <c r="D3286" t="inlineStr">
        <is>
          <t>VÄRMLANDS LÄN</t>
        </is>
      </c>
      <c r="E3286" t="inlineStr">
        <is>
          <t>KARLSTAD</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48677-2020</t>
        </is>
      </c>
      <c r="B3287" s="1" t="n">
        <v>44098</v>
      </c>
      <c r="C3287" s="1" t="n">
        <v>45736</v>
      </c>
      <c r="D3287" t="inlineStr">
        <is>
          <t>VÄRMLANDS LÄN</t>
        </is>
      </c>
      <c r="E3287" t="inlineStr">
        <is>
          <t>KRISTINEHAMN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48700-2020</t>
        </is>
      </c>
      <c r="B3288" s="1" t="n">
        <v>44098</v>
      </c>
      <c r="C3288" s="1" t="n">
        <v>45736</v>
      </c>
      <c r="D3288" t="inlineStr">
        <is>
          <t>VÄRMLANDS LÄN</t>
        </is>
      </c>
      <c r="E3288" t="inlineStr">
        <is>
          <t>KRISTINEHAMN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47872-2020</t>
        </is>
      </c>
      <c r="B3289" s="1" t="n">
        <v>44099</v>
      </c>
      <c r="C3289" s="1" t="n">
        <v>45736</v>
      </c>
      <c r="D3289" t="inlineStr">
        <is>
          <t>VÄRMLANDS LÄN</t>
        </is>
      </c>
      <c r="E3289" t="inlineStr">
        <is>
          <t>EDA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47928-2020</t>
        </is>
      </c>
      <c r="B3290" s="1" t="n">
        <v>44099</v>
      </c>
      <c r="C3290" s="1" t="n">
        <v>45736</v>
      </c>
      <c r="D3290" t="inlineStr">
        <is>
          <t>VÄRMLANDS LÄN</t>
        </is>
      </c>
      <c r="E3290" t="inlineStr">
        <is>
          <t>ARVIKA</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48020-2020</t>
        </is>
      </c>
      <c r="B3291" s="1" t="n">
        <v>44099</v>
      </c>
      <c r="C3291" s="1" t="n">
        <v>45736</v>
      </c>
      <c r="D3291" t="inlineStr">
        <is>
          <t>VÄRMLANDS LÄN</t>
        </is>
      </c>
      <c r="E3291" t="inlineStr">
        <is>
          <t>ARVIKA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48847-2020</t>
        </is>
      </c>
      <c r="B3292" s="1" t="n">
        <v>44099</v>
      </c>
      <c r="C3292" s="1" t="n">
        <v>45736</v>
      </c>
      <c r="D3292" t="inlineStr">
        <is>
          <t>VÄRMLANDS LÄN</t>
        </is>
      </c>
      <c r="E3292" t="inlineStr">
        <is>
          <t>SUNNE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48911-2020</t>
        </is>
      </c>
      <c r="B3293" s="1" t="n">
        <v>44100</v>
      </c>
      <c r="C3293" s="1" t="n">
        <v>45736</v>
      </c>
      <c r="D3293" t="inlineStr">
        <is>
          <t>VÄRMLANDS LÄN</t>
        </is>
      </c>
      <c r="E3293" t="inlineStr">
        <is>
          <t>SÄFFLE</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48089-2020</t>
        </is>
      </c>
      <c r="B3294" s="1" t="n">
        <v>44101</v>
      </c>
      <c r="C3294" s="1" t="n">
        <v>45736</v>
      </c>
      <c r="D3294" t="inlineStr">
        <is>
          <t>VÄRMLANDS LÄN</t>
        </is>
      </c>
      <c r="E3294" t="inlineStr">
        <is>
          <t>ÅRJÄNG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48105-2020</t>
        </is>
      </c>
      <c r="B3295" s="1" t="n">
        <v>44101</v>
      </c>
      <c r="C3295" s="1" t="n">
        <v>45736</v>
      </c>
      <c r="D3295" t="inlineStr">
        <is>
          <t>VÄRMLANDS LÄN</t>
        </is>
      </c>
      <c r="E3295" t="inlineStr">
        <is>
          <t>HAGFORS</t>
        </is>
      </c>
      <c r="F3295" t="inlineStr">
        <is>
          <t>Bergvik skog väst AB</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48104-2020</t>
        </is>
      </c>
      <c r="B3296" s="1" t="n">
        <v>44101</v>
      </c>
      <c r="C3296" s="1" t="n">
        <v>45736</v>
      </c>
      <c r="D3296" t="inlineStr">
        <is>
          <t>VÄRMLANDS LÄN</t>
        </is>
      </c>
      <c r="E3296" t="inlineStr">
        <is>
          <t>MUNKFORS</t>
        </is>
      </c>
      <c r="F3296" t="inlineStr">
        <is>
          <t>Bergvik skog väst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48106-2020</t>
        </is>
      </c>
      <c r="B3297" s="1" t="n">
        <v>44101</v>
      </c>
      <c r="C3297" s="1" t="n">
        <v>45736</v>
      </c>
      <c r="D3297" t="inlineStr">
        <is>
          <t>VÄRMLANDS LÄN</t>
        </is>
      </c>
      <c r="E3297" t="inlineStr">
        <is>
          <t>FORSHAGA</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48114-2020</t>
        </is>
      </c>
      <c r="B3298" s="1" t="n">
        <v>44101</v>
      </c>
      <c r="C3298" s="1" t="n">
        <v>45736</v>
      </c>
      <c r="D3298" t="inlineStr">
        <is>
          <t>VÄRMLANDS LÄN</t>
        </is>
      </c>
      <c r="E3298" t="inlineStr">
        <is>
          <t>MUNKFORS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48241-2020</t>
        </is>
      </c>
      <c r="B3299" s="1" t="n">
        <v>44102</v>
      </c>
      <c r="C3299" s="1" t="n">
        <v>45736</v>
      </c>
      <c r="D3299" t="inlineStr">
        <is>
          <t>VÄRMLANDS LÄN</t>
        </is>
      </c>
      <c r="E3299" t="inlineStr">
        <is>
          <t>SUNNE</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48359-2020</t>
        </is>
      </c>
      <c r="B3300" s="1" t="n">
        <v>44102</v>
      </c>
      <c r="C3300" s="1" t="n">
        <v>45736</v>
      </c>
      <c r="D3300" t="inlineStr">
        <is>
          <t>VÄRMLANDS LÄN</t>
        </is>
      </c>
      <c r="E3300" t="inlineStr">
        <is>
          <t>SUNNE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48145-2020</t>
        </is>
      </c>
      <c r="B3301" s="1" t="n">
        <v>44102</v>
      </c>
      <c r="C3301" s="1" t="n">
        <v>45736</v>
      </c>
      <c r="D3301" t="inlineStr">
        <is>
          <t>VÄRMLANDS LÄN</t>
        </is>
      </c>
      <c r="E3301" t="inlineStr">
        <is>
          <t>FORSHAGA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48358-2020</t>
        </is>
      </c>
      <c r="B3302" s="1" t="n">
        <v>44102</v>
      </c>
      <c r="C3302" s="1" t="n">
        <v>45736</v>
      </c>
      <c r="D3302" t="inlineStr">
        <is>
          <t>VÄRMLANDS LÄN</t>
        </is>
      </c>
      <c r="E3302" t="inlineStr">
        <is>
          <t>SÄFFLE</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48314-2020</t>
        </is>
      </c>
      <c r="B3303" s="1" t="n">
        <v>44102</v>
      </c>
      <c r="C3303" s="1" t="n">
        <v>45736</v>
      </c>
      <c r="D3303" t="inlineStr">
        <is>
          <t>VÄRMLANDS LÄN</t>
        </is>
      </c>
      <c r="E3303" t="inlineStr">
        <is>
          <t>FORSHAGA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48374-2020</t>
        </is>
      </c>
      <c r="B3304" s="1" t="n">
        <v>44102</v>
      </c>
      <c r="C3304" s="1" t="n">
        <v>45736</v>
      </c>
      <c r="D3304" t="inlineStr">
        <is>
          <t>VÄRMLANDS LÄN</t>
        </is>
      </c>
      <c r="E3304" t="inlineStr">
        <is>
          <t>ÅRJÄNG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48132-2020</t>
        </is>
      </c>
      <c r="B3305" s="1" t="n">
        <v>44102</v>
      </c>
      <c r="C3305" s="1" t="n">
        <v>45736</v>
      </c>
      <c r="D3305" t="inlineStr">
        <is>
          <t>VÄRMLANDS LÄN</t>
        </is>
      </c>
      <c r="E3305" t="inlineStr">
        <is>
          <t>ÅRJÄNG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48231-2020</t>
        </is>
      </c>
      <c r="B3306" s="1" t="n">
        <v>44102</v>
      </c>
      <c r="C3306" s="1" t="n">
        <v>45736</v>
      </c>
      <c r="D3306" t="inlineStr">
        <is>
          <t>VÄRMLANDS LÄN</t>
        </is>
      </c>
      <c r="E3306" t="inlineStr">
        <is>
          <t>TORSBY</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48243-2020</t>
        </is>
      </c>
      <c r="B3307" s="1" t="n">
        <v>44102</v>
      </c>
      <c r="C3307" s="1" t="n">
        <v>45736</v>
      </c>
      <c r="D3307" t="inlineStr">
        <is>
          <t>VÄRMLANDS LÄN</t>
        </is>
      </c>
      <c r="E3307" t="inlineStr">
        <is>
          <t>KARLSTAD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48383-2020</t>
        </is>
      </c>
      <c r="B3308" s="1" t="n">
        <v>44102</v>
      </c>
      <c r="C3308" s="1" t="n">
        <v>45736</v>
      </c>
      <c r="D3308" t="inlineStr">
        <is>
          <t>VÄRMLANDS LÄN</t>
        </is>
      </c>
      <c r="E3308" t="inlineStr">
        <is>
          <t>TORSBY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49030-2020</t>
        </is>
      </c>
      <c r="B3309" s="1" t="n">
        <v>44102</v>
      </c>
      <c r="C3309" s="1" t="n">
        <v>45736</v>
      </c>
      <c r="D3309" t="inlineStr">
        <is>
          <t>VÄRMLANDS LÄN</t>
        </is>
      </c>
      <c r="E3309" t="inlineStr">
        <is>
          <t>KIL</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49398-2020</t>
        </is>
      </c>
      <c r="B3310" s="1" t="n">
        <v>44102</v>
      </c>
      <c r="C3310" s="1" t="n">
        <v>45736</v>
      </c>
      <c r="D3310" t="inlineStr">
        <is>
          <t>VÄRMLANDS LÄN</t>
        </is>
      </c>
      <c r="E3310" t="inlineStr">
        <is>
          <t>GRUMS</t>
        </is>
      </c>
      <c r="F3310" t="inlineStr">
        <is>
          <t>Bergvik skog väst AB</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49446-2020</t>
        </is>
      </c>
      <c r="B3311" s="1" t="n">
        <v>44102</v>
      </c>
      <c r="C3311" s="1" t="n">
        <v>45736</v>
      </c>
      <c r="D3311" t="inlineStr">
        <is>
          <t>VÄRMLANDS LÄN</t>
        </is>
      </c>
      <c r="E3311" t="inlineStr">
        <is>
          <t>SÄFFLE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48594-2020</t>
        </is>
      </c>
      <c r="B3312" s="1" t="n">
        <v>44103</v>
      </c>
      <c r="C3312" s="1" t="n">
        <v>45736</v>
      </c>
      <c r="D3312" t="inlineStr">
        <is>
          <t>VÄRMLANDS LÄN</t>
        </is>
      </c>
      <c r="E3312" t="inlineStr">
        <is>
          <t>ÅRJÄNG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48695-2020</t>
        </is>
      </c>
      <c r="B3313" s="1" t="n">
        <v>44103</v>
      </c>
      <c r="C3313" s="1" t="n">
        <v>45736</v>
      </c>
      <c r="D3313" t="inlineStr">
        <is>
          <t>VÄRMLANDS LÄN</t>
        </is>
      </c>
      <c r="E3313" t="inlineStr">
        <is>
          <t>HAGFORS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48652-2020</t>
        </is>
      </c>
      <c r="B3314" s="1" t="n">
        <v>44103</v>
      </c>
      <c r="C3314" s="1" t="n">
        <v>45736</v>
      </c>
      <c r="D3314" t="inlineStr">
        <is>
          <t>VÄRMLANDS LÄN</t>
        </is>
      </c>
      <c r="E3314" t="inlineStr">
        <is>
          <t>ÅRJÄNG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48488-2020</t>
        </is>
      </c>
      <c r="B3315" s="1" t="n">
        <v>44103</v>
      </c>
      <c r="C3315" s="1" t="n">
        <v>45736</v>
      </c>
      <c r="D3315" t="inlineStr">
        <is>
          <t>VÄRMLANDS LÄN</t>
        </is>
      </c>
      <c r="E3315" t="inlineStr">
        <is>
          <t>TORSBY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48599-2020</t>
        </is>
      </c>
      <c r="B3316" s="1" t="n">
        <v>44103</v>
      </c>
      <c r="C3316" s="1" t="n">
        <v>45736</v>
      </c>
      <c r="D3316" t="inlineStr">
        <is>
          <t>VÄRMLANDS LÄN</t>
        </is>
      </c>
      <c r="E3316" t="inlineStr">
        <is>
          <t>SÄFFLE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48702-2020</t>
        </is>
      </c>
      <c r="B3317" s="1" t="n">
        <v>44103</v>
      </c>
      <c r="C3317" s="1" t="n">
        <v>45736</v>
      </c>
      <c r="D3317" t="inlineStr">
        <is>
          <t>VÄRMLANDS LÄN</t>
        </is>
      </c>
      <c r="E3317" t="inlineStr">
        <is>
          <t>HAGFORS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48645-2020</t>
        </is>
      </c>
      <c r="B3318" s="1" t="n">
        <v>44103</v>
      </c>
      <c r="C3318" s="1" t="n">
        <v>45736</v>
      </c>
      <c r="D3318" t="inlineStr">
        <is>
          <t>VÄRMLANDS LÄN</t>
        </is>
      </c>
      <c r="E3318" t="inlineStr">
        <is>
          <t>SÄFFLE</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48697-2020</t>
        </is>
      </c>
      <c r="B3319" s="1" t="n">
        <v>44103</v>
      </c>
      <c r="C3319" s="1" t="n">
        <v>45736</v>
      </c>
      <c r="D3319" t="inlineStr">
        <is>
          <t>VÄRMLANDS LÄN</t>
        </is>
      </c>
      <c r="E3319" t="inlineStr">
        <is>
          <t>HAGFORS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53557-2020</t>
        </is>
      </c>
      <c r="B3320" s="1" t="n">
        <v>44104</v>
      </c>
      <c r="C3320" s="1" t="n">
        <v>45736</v>
      </c>
      <c r="D3320" t="inlineStr">
        <is>
          <t>VÄRMLANDS LÄN</t>
        </is>
      </c>
      <c r="E3320" t="inlineStr">
        <is>
          <t>TORSBY</t>
        </is>
      </c>
      <c r="F3320" t="inlineStr">
        <is>
          <t>Övriga statliga verk och myndigheter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49082-2020</t>
        </is>
      </c>
      <c r="B3321" s="1" t="n">
        <v>44104</v>
      </c>
      <c r="C3321" s="1" t="n">
        <v>45736</v>
      </c>
      <c r="D3321" t="inlineStr">
        <is>
          <t>VÄRMLANDS LÄN</t>
        </is>
      </c>
      <c r="E3321" t="inlineStr">
        <is>
          <t>SUNNE</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49192-2020</t>
        </is>
      </c>
      <c r="B3322" s="1" t="n">
        <v>44105</v>
      </c>
      <c r="C3322" s="1" t="n">
        <v>45736</v>
      </c>
      <c r="D3322" t="inlineStr">
        <is>
          <t>VÄRMLANDS LÄN</t>
        </is>
      </c>
      <c r="E3322" t="inlineStr">
        <is>
          <t>SUNNE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49306-2020</t>
        </is>
      </c>
      <c r="B3323" s="1" t="n">
        <v>44105</v>
      </c>
      <c r="C3323" s="1" t="n">
        <v>45736</v>
      </c>
      <c r="D3323" t="inlineStr">
        <is>
          <t>VÄRMLANDS LÄN</t>
        </is>
      </c>
      <c r="E3323" t="inlineStr">
        <is>
          <t>SUNNE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49382-2020</t>
        </is>
      </c>
      <c r="B3324" s="1" t="n">
        <v>44105</v>
      </c>
      <c r="C3324" s="1" t="n">
        <v>45736</v>
      </c>
      <c r="D3324" t="inlineStr">
        <is>
          <t>VÄRMLANDS LÄN</t>
        </is>
      </c>
      <c r="E3324" t="inlineStr">
        <is>
          <t>KRISTINEHAMN</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49304-2020</t>
        </is>
      </c>
      <c r="B3325" s="1" t="n">
        <v>44105</v>
      </c>
      <c r="C3325" s="1" t="n">
        <v>45736</v>
      </c>
      <c r="D3325" t="inlineStr">
        <is>
          <t>VÄRMLANDS LÄN</t>
        </is>
      </c>
      <c r="E3325" t="inlineStr">
        <is>
          <t>SUNNE</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50664-2020</t>
        </is>
      </c>
      <c r="B3326" s="1" t="n">
        <v>44105</v>
      </c>
      <c r="C3326" s="1" t="n">
        <v>45736</v>
      </c>
      <c r="D3326" t="inlineStr">
        <is>
          <t>VÄRMLANDS LÄN</t>
        </is>
      </c>
      <c r="E3326" t="inlineStr">
        <is>
          <t>ÅRJÄNG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49449-2020</t>
        </is>
      </c>
      <c r="B3327" s="1" t="n">
        <v>44105</v>
      </c>
      <c r="C3327" s="1" t="n">
        <v>45736</v>
      </c>
      <c r="D3327" t="inlineStr">
        <is>
          <t>VÄRMLANDS LÄN</t>
        </is>
      </c>
      <c r="E3327" t="inlineStr">
        <is>
          <t>SÄFFLE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49456-2020</t>
        </is>
      </c>
      <c r="B3328" s="1" t="n">
        <v>44105</v>
      </c>
      <c r="C3328" s="1" t="n">
        <v>45736</v>
      </c>
      <c r="D3328" t="inlineStr">
        <is>
          <t>VÄRMLANDS LÄN</t>
        </is>
      </c>
      <c r="E3328" t="inlineStr">
        <is>
          <t>MUNKFORS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49693-2020</t>
        </is>
      </c>
      <c r="B3329" s="1" t="n">
        <v>44106</v>
      </c>
      <c r="C3329" s="1" t="n">
        <v>45736</v>
      </c>
      <c r="D3329" t="inlineStr">
        <is>
          <t>VÄRMLANDS LÄN</t>
        </is>
      </c>
      <c r="E3329" t="inlineStr">
        <is>
          <t>SÄFFLE</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49794-2020</t>
        </is>
      </c>
      <c r="B3330" s="1" t="n">
        <v>44106</v>
      </c>
      <c r="C3330" s="1" t="n">
        <v>45736</v>
      </c>
      <c r="D3330" t="inlineStr">
        <is>
          <t>VÄRMLANDS LÄN</t>
        </is>
      </c>
      <c r="E3330" t="inlineStr">
        <is>
          <t>SUNNE</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49876-2020</t>
        </is>
      </c>
      <c r="B3331" s="1" t="n">
        <v>44107</v>
      </c>
      <c r="C3331" s="1" t="n">
        <v>45736</v>
      </c>
      <c r="D3331" t="inlineStr">
        <is>
          <t>VÄRMLANDS LÄN</t>
        </is>
      </c>
      <c r="E3331" t="inlineStr">
        <is>
          <t>SUNNE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49899-2020</t>
        </is>
      </c>
      <c r="B3332" s="1" t="n">
        <v>44108</v>
      </c>
      <c r="C3332" s="1" t="n">
        <v>45736</v>
      </c>
      <c r="D3332" t="inlineStr">
        <is>
          <t>VÄRMLANDS LÄN</t>
        </is>
      </c>
      <c r="E3332" t="inlineStr">
        <is>
          <t>SUNNE</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49900-2020</t>
        </is>
      </c>
      <c r="B3333" s="1" t="n">
        <v>44108</v>
      </c>
      <c r="C3333" s="1" t="n">
        <v>45736</v>
      </c>
      <c r="D3333" t="inlineStr">
        <is>
          <t>VÄRMLANDS LÄN</t>
        </is>
      </c>
      <c r="E3333" t="inlineStr">
        <is>
          <t>SUNNE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49902-2020</t>
        </is>
      </c>
      <c r="B3334" s="1" t="n">
        <v>44108</v>
      </c>
      <c r="C3334" s="1" t="n">
        <v>45736</v>
      </c>
      <c r="D3334" t="inlineStr">
        <is>
          <t>VÄRMLANDS LÄN</t>
        </is>
      </c>
      <c r="E3334" t="inlineStr">
        <is>
          <t>SUNNE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50037-2020</t>
        </is>
      </c>
      <c r="B3335" s="1" t="n">
        <v>44109</v>
      </c>
      <c r="C3335" s="1" t="n">
        <v>45736</v>
      </c>
      <c r="D3335" t="inlineStr">
        <is>
          <t>VÄRMLANDS LÄN</t>
        </is>
      </c>
      <c r="E3335" t="inlineStr">
        <is>
          <t>SUNNE</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50078-2020</t>
        </is>
      </c>
      <c r="B3336" s="1" t="n">
        <v>44109</v>
      </c>
      <c r="C3336" s="1" t="n">
        <v>45736</v>
      </c>
      <c r="D3336" t="inlineStr">
        <is>
          <t>VÄRMLANDS LÄN</t>
        </is>
      </c>
      <c r="E3336" t="inlineStr">
        <is>
          <t>HAGFORS</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50084-2020</t>
        </is>
      </c>
      <c r="B3337" s="1" t="n">
        <v>44109</v>
      </c>
      <c r="C3337" s="1" t="n">
        <v>45736</v>
      </c>
      <c r="D3337" t="inlineStr">
        <is>
          <t>VÄRMLANDS LÄN</t>
        </is>
      </c>
      <c r="E3337" t="inlineStr">
        <is>
          <t>TORSBY</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50092-2020</t>
        </is>
      </c>
      <c r="B3338" s="1" t="n">
        <v>44109</v>
      </c>
      <c r="C3338" s="1" t="n">
        <v>45736</v>
      </c>
      <c r="D3338" t="inlineStr">
        <is>
          <t>VÄRMLANDS LÄN</t>
        </is>
      </c>
      <c r="E3338" t="inlineStr">
        <is>
          <t>TORSBY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50103-2020</t>
        </is>
      </c>
      <c r="B3339" s="1" t="n">
        <v>44109</v>
      </c>
      <c r="C3339" s="1" t="n">
        <v>45736</v>
      </c>
      <c r="D3339" t="inlineStr">
        <is>
          <t>VÄRMLANDS LÄN</t>
        </is>
      </c>
      <c r="E3339" t="inlineStr">
        <is>
          <t>TORSBY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50079-2020</t>
        </is>
      </c>
      <c r="B3340" s="1" t="n">
        <v>44109</v>
      </c>
      <c r="C3340" s="1" t="n">
        <v>45736</v>
      </c>
      <c r="D3340" t="inlineStr">
        <is>
          <t>VÄRMLANDS LÄN</t>
        </is>
      </c>
      <c r="E3340" t="inlineStr">
        <is>
          <t>STORFORS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50210-2020</t>
        </is>
      </c>
      <c r="B3341" s="1" t="n">
        <v>44109</v>
      </c>
      <c r="C3341" s="1" t="n">
        <v>45736</v>
      </c>
      <c r="D3341" t="inlineStr">
        <is>
          <t>VÄRMLANDS LÄN</t>
        </is>
      </c>
      <c r="E3341" t="inlineStr">
        <is>
          <t>FILIPSTAD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50221-2020</t>
        </is>
      </c>
      <c r="B3342" s="1" t="n">
        <v>44109</v>
      </c>
      <c r="C3342" s="1" t="n">
        <v>45736</v>
      </c>
      <c r="D3342" t="inlineStr">
        <is>
          <t>VÄRMLANDS LÄN</t>
        </is>
      </c>
      <c r="E3342" t="inlineStr">
        <is>
          <t>EDA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50080-2020</t>
        </is>
      </c>
      <c r="B3343" s="1" t="n">
        <v>44109</v>
      </c>
      <c r="C3343" s="1" t="n">
        <v>45736</v>
      </c>
      <c r="D3343" t="inlineStr">
        <is>
          <t>VÄRMLANDS LÄN</t>
        </is>
      </c>
      <c r="E3343" t="inlineStr">
        <is>
          <t>HAGFORS</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50096-2020</t>
        </is>
      </c>
      <c r="B3344" s="1" t="n">
        <v>44109</v>
      </c>
      <c r="C3344" s="1" t="n">
        <v>45736</v>
      </c>
      <c r="D3344" t="inlineStr">
        <is>
          <t>VÄRMLANDS LÄN</t>
        </is>
      </c>
      <c r="E3344" t="inlineStr">
        <is>
          <t>TORSBY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51867-2020</t>
        </is>
      </c>
      <c r="B3345" s="1" t="n">
        <v>44109</v>
      </c>
      <c r="C3345" s="1" t="n">
        <v>45736</v>
      </c>
      <c r="D3345" t="inlineStr">
        <is>
          <t>VÄRMLANDS LÄN</t>
        </is>
      </c>
      <c r="E3345" t="inlineStr">
        <is>
          <t>KIL</t>
        </is>
      </c>
      <c r="F3345" t="inlineStr">
        <is>
          <t>Kommuner</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51882-2020</t>
        </is>
      </c>
      <c r="B3346" s="1" t="n">
        <v>44109</v>
      </c>
      <c r="C3346" s="1" t="n">
        <v>45736</v>
      </c>
      <c r="D3346" t="inlineStr">
        <is>
          <t>VÄRMLANDS LÄN</t>
        </is>
      </c>
      <c r="E3346" t="inlineStr">
        <is>
          <t>KIL</t>
        </is>
      </c>
      <c r="F3346" t="inlineStr">
        <is>
          <t>Kommuner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51878-2020</t>
        </is>
      </c>
      <c r="B3347" s="1" t="n">
        <v>44109</v>
      </c>
      <c r="C3347" s="1" t="n">
        <v>45736</v>
      </c>
      <c r="D3347" t="inlineStr">
        <is>
          <t>VÄRMLANDS LÄN</t>
        </is>
      </c>
      <c r="E3347" t="inlineStr">
        <is>
          <t>KIL</t>
        </is>
      </c>
      <c r="F3347" t="inlineStr">
        <is>
          <t>Kommuner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51940-2020</t>
        </is>
      </c>
      <c r="B3348" s="1" t="n">
        <v>44109</v>
      </c>
      <c r="C3348" s="1" t="n">
        <v>45736</v>
      </c>
      <c r="D3348" t="inlineStr">
        <is>
          <t>VÄRMLANDS LÄN</t>
        </is>
      </c>
      <c r="E3348" t="inlineStr">
        <is>
          <t>STORFORS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51876-2020</t>
        </is>
      </c>
      <c r="B3349" s="1" t="n">
        <v>44109</v>
      </c>
      <c r="C3349" s="1" t="n">
        <v>45736</v>
      </c>
      <c r="D3349" t="inlineStr">
        <is>
          <t>VÄRMLANDS LÄN</t>
        </is>
      </c>
      <c r="E3349" t="inlineStr">
        <is>
          <t>KIL</t>
        </is>
      </c>
      <c r="F3349" t="inlineStr">
        <is>
          <t>Kommuner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51942-2020</t>
        </is>
      </c>
      <c r="B3350" s="1" t="n">
        <v>44109</v>
      </c>
      <c r="C3350" s="1" t="n">
        <v>45736</v>
      </c>
      <c r="D3350" t="inlineStr">
        <is>
          <t>VÄRMLANDS LÄN</t>
        </is>
      </c>
      <c r="E3350" t="inlineStr">
        <is>
          <t>STORFORS</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49983-2020</t>
        </is>
      </c>
      <c r="B3351" s="1" t="n">
        <v>44109</v>
      </c>
      <c r="C3351" s="1" t="n">
        <v>45736</v>
      </c>
      <c r="D3351" t="inlineStr">
        <is>
          <t>VÄRMLANDS LÄN</t>
        </is>
      </c>
      <c r="E3351" t="inlineStr">
        <is>
          <t>SUNNE</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49945-2020</t>
        </is>
      </c>
      <c r="B3352" s="1" t="n">
        <v>44109</v>
      </c>
      <c r="C3352" s="1" t="n">
        <v>45736</v>
      </c>
      <c r="D3352" t="inlineStr">
        <is>
          <t>VÄRMLANDS LÄN</t>
        </is>
      </c>
      <c r="E3352" t="inlineStr">
        <is>
          <t>ÅRJÄNG</t>
        </is>
      </c>
      <c r="G3352" t="n">
        <v>11.7</v>
      </c>
      <c r="H3352" t="n">
        <v>0</v>
      </c>
      <c r="I3352" t="n">
        <v>0</v>
      </c>
      <c r="J3352" t="n">
        <v>0</v>
      </c>
      <c r="K3352" t="n">
        <v>0</v>
      </c>
      <c r="L3352" t="n">
        <v>0</v>
      </c>
      <c r="M3352" t="n">
        <v>0</v>
      </c>
      <c r="N3352" t="n">
        <v>0</v>
      </c>
      <c r="O3352" t="n">
        <v>0</v>
      </c>
      <c r="P3352" t="n">
        <v>0</v>
      </c>
      <c r="Q3352" t="n">
        <v>0</v>
      </c>
      <c r="R3352" s="2" t="inlineStr"/>
    </row>
    <row r="3353" ht="15" customHeight="1">
      <c r="A3353" t="inlineStr">
        <is>
          <t>A 50294-2020</t>
        </is>
      </c>
      <c r="B3353" s="1" t="n">
        <v>44110</v>
      </c>
      <c r="C3353" s="1" t="n">
        <v>45736</v>
      </c>
      <c r="D3353" t="inlineStr">
        <is>
          <t>VÄRMLANDS LÄN</t>
        </is>
      </c>
      <c r="E3353" t="inlineStr">
        <is>
          <t>EDA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50439-2020</t>
        </is>
      </c>
      <c r="B3354" s="1" t="n">
        <v>44110</v>
      </c>
      <c r="C3354" s="1" t="n">
        <v>45736</v>
      </c>
      <c r="D3354" t="inlineStr">
        <is>
          <t>VÄRMLANDS LÄN</t>
        </is>
      </c>
      <c r="E3354" t="inlineStr">
        <is>
          <t>EDA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50471-2020</t>
        </is>
      </c>
      <c r="B3355" s="1" t="n">
        <v>44110</v>
      </c>
      <c r="C3355" s="1" t="n">
        <v>45736</v>
      </c>
      <c r="D3355" t="inlineStr">
        <is>
          <t>VÄRMLANDS LÄN</t>
        </is>
      </c>
      <c r="E3355" t="inlineStr">
        <is>
          <t>STORFORS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50484-2020</t>
        </is>
      </c>
      <c r="B3356" s="1" t="n">
        <v>44110</v>
      </c>
      <c r="C3356" s="1" t="n">
        <v>45736</v>
      </c>
      <c r="D3356" t="inlineStr">
        <is>
          <t>VÄRMLANDS LÄN</t>
        </is>
      </c>
      <c r="E3356" t="inlineStr">
        <is>
          <t>SÄFFLE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50296-2020</t>
        </is>
      </c>
      <c r="B3357" s="1" t="n">
        <v>44110</v>
      </c>
      <c r="C3357" s="1" t="n">
        <v>45736</v>
      </c>
      <c r="D3357" t="inlineStr">
        <is>
          <t>VÄRMLANDS LÄN</t>
        </is>
      </c>
      <c r="E3357" t="inlineStr">
        <is>
          <t>ÅRJÄNG</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50486-2020</t>
        </is>
      </c>
      <c r="B3358" s="1" t="n">
        <v>44110</v>
      </c>
      <c r="C3358" s="1" t="n">
        <v>45736</v>
      </c>
      <c r="D3358" t="inlineStr">
        <is>
          <t>VÄRMLANDS LÄN</t>
        </is>
      </c>
      <c r="E3358" t="inlineStr">
        <is>
          <t>TORSBY</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50504-2020</t>
        </is>
      </c>
      <c r="B3359" s="1" t="n">
        <v>44110</v>
      </c>
      <c r="C3359" s="1" t="n">
        <v>45736</v>
      </c>
      <c r="D3359" t="inlineStr">
        <is>
          <t>VÄRMLANDS LÄN</t>
        </is>
      </c>
      <c r="E3359" t="inlineStr">
        <is>
          <t>KRISTINEHAMN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50539-2020</t>
        </is>
      </c>
      <c r="B3360" s="1" t="n">
        <v>44110</v>
      </c>
      <c r="C3360" s="1" t="n">
        <v>45736</v>
      </c>
      <c r="D3360" t="inlineStr">
        <is>
          <t>VÄRMLANDS LÄN</t>
        </is>
      </c>
      <c r="E3360" t="inlineStr">
        <is>
          <t>HAGFORS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50373-2020</t>
        </is>
      </c>
      <c r="B3361" s="1" t="n">
        <v>44110</v>
      </c>
      <c r="C3361" s="1" t="n">
        <v>45736</v>
      </c>
      <c r="D3361" t="inlineStr">
        <is>
          <t>VÄRMLANDS LÄN</t>
        </is>
      </c>
      <c r="E3361" t="inlineStr">
        <is>
          <t>EDA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50448-2020</t>
        </is>
      </c>
      <c r="B3362" s="1" t="n">
        <v>44110</v>
      </c>
      <c r="C3362" s="1" t="n">
        <v>45736</v>
      </c>
      <c r="D3362" t="inlineStr">
        <is>
          <t>VÄRMLANDS LÄN</t>
        </is>
      </c>
      <c r="E3362" t="inlineStr">
        <is>
          <t>SUNNE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50482-2020</t>
        </is>
      </c>
      <c r="B3363" s="1" t="n">
        <v>44110</v>
      </c>
      <c r="C3363" s="1" t="n">
        <v>45736</v>
      </c>
      <c r="D3363" t="inlineStr">
        <is>
          <t>VÄRMLANDS LÄN</t>
        </is>
      </c>
      <c r="E3363" t="inlineStr">
        <is>
          <t>HAGFORS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50295-2020</t>
        </is>
      </c>
      <c r="B3364" s="1" t="n">
        <v>44110</v>
      </c>
      <c r="C3364" s="1" t="n">
        <v>45736</v>
      </c>
      <c r="D3364" t="inlineStr">
        <is>
          <t>VÄRMLANDS LÄN</t>
        </is>
      </c>
      <c r="E3364" t="inlineStr">
        <is>
          <t>ÅRJÄNG</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50543-2020</t>
        </is>
      </c>
      <c r="B3365" s="1" t="n">
        <v>44110</v>
      </c>
      <c r="C3365" s="1" t="n">
        <v>45736</v>
      </c>
      <c r="D3365" t="inlineStr">
        <is>
          <t>VÄRMLANDS LÄN</t>
        </is>
      </c>
      <c r="E3365" t="inlineStr">
        <is>
          <t>HAGFORS</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50563-2020</t>
        </is>
      </c>
      <c r="B3366" s="1" t="n">
        <v>44110</v>
      </c>
      <c r="C3366" s="1" t="n">
        <v>45736</v>
      </c>
      <c r="D3366" t="inlineStr">
        <is>
          <t>VÄRMLANDS LÄN</t>
        </is>
      </c>
      <c r="E3366" t="inlineStr">
        <is>
          <t>HAGFORS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51956-2020</t>
        </is>
      </c>
      <c r="B3367" s="1" t="n">
        <v>44110</v>
      </c>
      <c r="C3367" s="1" t="n">
        <v>45736</v>
      </c>
      <c r="D3367" t="inlineStr">
        <is>
          <t>VÄRMLANDS LÄN</t>
        </is>
      </c>
      <c r="E3367" t="inlineStr">
        <is>
          <t>KARLSTAD</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51948-2020</t>
        </is>
      </c>
      <c r="B3368" s="1" t="n">
        <v>44110</v>
      </c>
      <c r="C3368" s="1" t="n">
        <v>45736</v>
      </c>
      <c r="D3368" t="inlineStr">
        <is>
          <t>VÄRMLANDS LÄN</t>
        </is>
      </c>
      <c r="E3368" t="inlineStr">
        <is>
          <t>KARLSTAD</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50668-2020</t>
        </is>
      </c>
      <c r="B3369" s="1" t="n">
        <v>44111</v>
      </c>
      <c r="C3369" s="1" t="n">
        <v>45736</v>
      </c>
      <c r="D3369" t="inlineStr">
        <is>
          <t>VÄRMLANDS LÄN</t>
        </is>
      </c>
      <c r="E3369" t="inlineStr">
        <is>
          <t>KRISTINEHAMN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50673-2020</t>
        </is>
      </c>
      <c r="B3370" s="1" t="n">
        <v>44111</v>
      </c>
      <c r="C3370" s="1" t="n">
        <v>45736</v>
      </c>
      <c r="D3370" t="inlineStr">
        <is>
          <t>VÄRMLANDS LÄN</t>
        </is>
      </c>
      <c r="E3370" t="inlineStr">
        <is>
          <t>KRISTINEHAMN</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50944-2020</t>
        </is>
      </c>
      <c r="B3371" s="1" t="n">
        <v>44111</v>
      </c>
      <c r="C3371" s="1" t="n">
        <v>45736</v>
      </c>
      <c r="D3371" t="inlineStr">
        <is>
          <t>VÄRMLANDS LÄN</t>
        </is>
      </c>
      <c r="E3371" t="inlineStr">
        <is>
          <t>KIL</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50943-2020</t>
        </is>
      </c>
      <c r="B3372" s="1" t="n">
        <v>44111</v>
      </c>
      <c r="C3372" s="1" t="n">
        <v>45736</v>
      </c>
      <c r="D3372" t="inlineStr">
        <is>
          <t>VÄRMLANDS LÄN</t>
        </is>
      </c>
      <c r="E3372" t="inlineStr">
        <is>
          <t>TORSBY</t>
        </is>
      </c>
      <c r="F3372" t="inlineStr">
        <is>
          <t>Bergvik skog väst AB</t>
        </is>
      </c>
      <c r="G3372" t="n">
        <v>18.4</v>
      </c>
      <c r="H3372" t="n">
        <v>0</v>
      </c>
      <c r="I3372" t="n">
        <v>0</v>
      </c>
      <c r="J3372" t="n">
        <v>0</v>
      </c>
      <c r="K3372" t="n">
        <v>0</v>
      </c>
      <c r="L3372" t="n">
        <v>0</v>
      </c>
      <c r="M3372" t="n">
        <v>0</v>
      </c>
      <c r="N3372" t="n">
        <v>0</v>
      </c>
      <c r="O3372" t="n">
        <v>0</v>
      </c>
      <c r="P3372" t="n">
        <v>0</v>
      </c>
      <c r="Q3372" t="n">
        <v>0</v>
      </c>
      <c r="R3372" s="2" t="inlineStr"/>
    </row>
    <row r="3373" ht="15" customHeight="1">
      <c r="A3373" t="inlineStr">
        <is>
          <t>A 50833-2020</t>
        </is>
      </c>
      <c r="B3373" s="1" t="n">
        <v>44111</v>
      </c>
      <c r="C3373" s="1" t="n">
        <v>45736</v>
      </c>
      <c r="D3373" t="inlineStr">
        <is>
          <t>VÄRMLANDS LÄN</t>
        </is>
      </c>
      <c r="E3373" t="inlineStr">
        <is>
          <t>KARLSTAD</t>
        </is>
      </c>
      <c r="F3373" t="inlineStr">
        <is>
          <t>Kommuner</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51097-2020</t>
        </is>
      </c>
      <c r="B3374" s="1" t="n">
        <v>44112</v>
      </c>
      <c r="C3374" s="1" t="n">
        <v>45736</v>
      </c>
      <c r="D3374" t="inlineStr">
        <is>
          <t>VÄRMLANDS LÄN</t>
        </is>
      </c>
      <c r="E3374" t="inlineStr">
        <is>
          <t>SÄFFLE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51088-2020</t>
        </is>
      </c>
      <c r="B3375" s="1" t="n">
        <v>44112</v>
      </c>
      <c r="C3375" s="1" t="n">
        <v>45736</v>
      </c>
      <c r="D3375" t="inlineStr">
        <is>
          <t>VÄRMLANDS LÄN</t>
        </is>
      </c>
      <c r="E3375" t="inlineStr">
        <is>
          <t>SÄFFLE</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51254-2020</t>
        </is>
      </c>
      <c r="B3376" s="1" t="n">
        <v>44112</v>
      </c>
      <c r="C3376" s="1" t="n">
        <v>45736</v>
      </c>
      <c r="D3376" t="inlineStr">
        <is>
          <t>VÄRMLANDS LÄN</t>
        </is>
      </c>
      <c r="E3376" t="inlineStr">
        <is>
          <t>FILIPSTAD</t>
        </is>
      </c>
      <c r="F3376" t="inlineStr">
        <is>
          <t>Bergvik skog väst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51300-2020</t>
        </is>
      </c>
      <c r="B3377" s="1" t="n">
        <v>44112</v>
      </c>
      <c r="C3377" s="1" t="n">
        <v>45736</v>
      </c>
      <c r="D3377" t="inlineStr">
        <is>
          <t>VÄRMLANDS LÄN</t>
        </is>
      </c>
      <c r="E3377" t="inlineStr">
        <is>
          <t>FILIPSTAD</t>
        </is>
      </c>
      <c r="F3377" t="inlineStr">
        <is>
          <t>Bergvik skog väst AB</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51344-2020</t>
        </is>
      </c>
      <c r="B3378" s="1" t="n">
        <v>44112</v>
      </c>
      <c r="C3378" s="1" t="n">
        <v>45736</v>
      </c>
      <c r="D3378" t="inlineStr">
        <is>
          <t>VÄRMLANDS LÄN</t>
        </is>
      </c>
      <c r="E3378" t="inlineStr">
        <is>
          <t>MUNKFORS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52285-2020</t>
        </is>
      </c>
      <c r="B3379" s="1" t="n">
        <v>44112</v>
      </c>
      <c r="C3379" s="1" t="n">
        <v>45736</v>
      </c>
      <c r="D3379" t="inlineStr">
        <is>
          <t>VÄRMLANDS LÄN</t>
        </is>
      </c>
      <c r="E3379" t="inlineStr">
        <is>
          <t>SÄFFLE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51380-2020</t>
        </is>
      </c>
      <c r="B3380" s="1" t="n">
        <v>44113</v>
      </c>
      <c r="C3380" s="1" t="n">
        <v>45736</v>
      </c>
      <c r="D3380" t="inlineStr">
        <is>
          <t>VÄRMLANDS LÄN</t>
        </is>
      </c>
      <c r="E3380" t="inlineStr">
        <is>
          <t>TORSBY</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51385-2020</t>
        </is>
      </c>
      <c r="B3381" s="1" t="n">
        <v>44113</v>
      </c>
      <c r="C3381" s="1" t="n">
        <v>45736</v>
      </c>
      <c r="D3381" t="inlineStr">
        <is>
          <t>VÄRMLANDS LÄN</t>
        </is>
      </c>
      <c r="E3381" t="inlineStr">
        <is>
          <t>TORSBY</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51389-2020</t>
        </is>
      </c>
      <c r="B3382" s="1" t="n">
        <v>44113</v>
      </c>
      <c r="C3382" s="1" t="n">
        <v>45736</v>
      </c>
      <c r="D3382" t="inlineStr">
        <is>
          <t>VÄRMLANDS LÄN</t>
        </is>
      </c>
      <c r="E3382" t="inlineStr">
        <is>
          <t>TORSBY</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51428-2020</t>
        </is>
      </c>
      <c r="B3383" s="1" t="n">
        <v>44113</v>
      </c>
      <c r="C3383" s="1" t="n">
        <v>45736</v>
      </c>
      <c r="D3383" t="inlineStr">
        <is>
          <t>VÄRMLANDS LÄN</t>
        </is>
      </c>
      <c r="E3383" t="inlineStr">
        <is>
          <t>HAGFORS</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51382-2020</t>
        </is>
      </c>
      <c r="B3384" s="1" t="n">
        <v>44113</v>
      </c>
      <c r="C3384" s="1" t="n">
        <v>45736</v>
      </c>
      <c r="D3384" t="inlineStr">
        <is>
          <t>VÄRMLANDS LÄN</t>
        </is>
      </c>
      <c r="E3384" t="inlineStr">
        <is>
          <t>TORSBY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51455-2020</t>
        </is>
      </c>
      <c r="B3385" s="1" t="n">
        <v>44113</v>
      </c>
      <c r="C3385" s="1" t="n">
        <v>45736</v>
      </c>
      <c r="D3385" t="inlineStr">
        <is>
          <t>VÄRMLANDS LÄN</t>
        </is>
      </c>
      <c r="E3385" t="inlineStr">
        <is>
          <t>ÅRJÄNG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51381-2020</t>
        </is>
      </c>
      <c r="B3386" s="1" t="n">
        <v>44113</v>
      </c>
      <c r="C3386" s="1" t="n">
        <v>45736</v>
      </c>
      <c r="D3386" t="inlineStr">
        <is>
          <t>VÄRMLANDS LÄN</t>
        </is>
      </c>
      <c r="E3386" t="inlineStr">
        <is>
          <t>TORSBY</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51386-2020</t>
        </is>
      </c>
      <c r="B3387" s="1" t="n">
        <v>44113</v>
      </c>
      <c r="C3387" s="1" t="n">
        <v>45736</v>
      </c>
      <c r="D3387" t="inlineStr">
        <is>
          <t>VÄRMLANDS LÄN</t>
        </is>
      </c>
      <c r="E3387" t="inlineStr">
        <is>
          <t>TORSBY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51390-2020</t>
        </is>
      </c>
      <c r="B3388" s="1" t="n">
        <v>44113</v>
      </c>
      <c r="C3388" s="1" t="n">
        <v>45736</v>
      </c>
      <c r="D3388" t="inlineStr">
        <is>
          <t>VÄRMLANDS LÄN</t>
        </is>
      </c>
      <c r="E3388" t="inlineStr">
        <is>
          <t>KARLSTAD</t>
        </is>
      </c>
      <c r="F3388" t="inlineStr">
        <is>
          <t>Övriga statliga verk och myndigheter</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51510-2020</t>
        </is>
      </c>
      <c r="B3389" s="1" t="n">
        <v>44113</v>
      </c>
      <c r="C3389" s="1" t="n">
        <v>45736</v>
      </c>
      <c r="D3389" t="inlineStr">
        <is>
          <t>VÄRMLANDS LÄN</t>
        </is>
      </c>
      <c r="E3389" t="inlineStr">
        <is>
          <t>KARLSTAD</t>
        </is>
      </c>
      <c r="F3389" t="inlineStr">
        <is>
          <t>Kommuner</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51586-2020</t>
        </is>
      </c>
      <c r="B3390" s="1" t="n">
        <v>44113</v>
      </c>
      <c r="C3390" s="1" t="n">
        <v>45736</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51635-2020</t>
        </is>
      </c>
      <c r="B3391" s="1" t="n">
        <v>44113</v>
      </c>
      <c r="C3391" s="1" t="n">
        <v>45736</v>
      </c>
      <c r="D3391" t="inlineStr">
        <is>
          <t>VÄRMLANDS LÄN</t>
        </is>
      </c>
      <c r="E3391" t="inlineStr">
        <is>
          <t>TORSBY</t>
        </is>
      </c>
      <c r="F3391" t="inlineStr">
        <is>
          <t>Bergvik skog väst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51383-2020</t>
        </is>
      </c>
      <c r="B3392" s="1" t="n">
        <v>44113</v>
      </c>
      <c r="C3392" s="1" t="n">
        <v>45736</v>
      </c>
      <c r="D3392" t="inlineStr">
        <is>
          <t>VÄRMLANDS LÄN</t>
        </is>
      </c>
      <c r="E3392" t="inlineStr">
        <is>
          <t>TORSBY</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51742-2020</t>
        </is>
      </c>
      <c r="B3393" s="1" t="n">
        <v>44114</v>
      </c>
      <c r="C3393" s="1" t="n">
        <v>45736</v>
      </c>
      <c r="D3393" t="inlineStr">
        <is>
          <t>VÄRMLANDS LÄN</t>
        </is>
      </c>
      <c r="E3393" t="inlineStr">
        <is>
          <t>FILIPSTAD</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51743-2020</t>
        </is>
      </c>
      <c r="B3394" s="1" t="n">
        <v>44114</v>
      </c>
      <c r="C3394" s="1" t="n">
        <v>45736</v>
      </c>
      <c r="D3394" t="inlineStr">
        <is>
          <t>VÄRMLANDS LÄN</t>
        </is>
      </c>
      <c r="E3394" t="inlineStr">
        <is>
          <t>FILIPSTAD</t>
        </is>
      </c>
      <c r="F3394" t="inlineStr">
        <is>
          <t>Bergvik skog väst AB</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52462-2020</t>
        </is>
      </c>
      <c r="B3395" s="1" t="n">
        <v>44115</v>
      </c>
      <c r="C3395" s="1" t="n">
        <v>45736</v>
      </c>
      <c r="D3395" t="inlineStr">
        <is>
          <t>VÄRMLANDS LÄN</t>
        </is>
      </c>
      <c r="E3395" t="inlineStr">
        <is>
          <t>SUNNE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51795-2020</t>
        </is>
      </c>
      <c r="B3396" s="1" t="n">
        <v>44116</v>
      </c>
      <c r="C3396" s="1" t="n">
        <v>45736</v>
      </c>
      <c r="D3396" t="inlineStr">
        <is>
          <t>VÄRMLANDS LÄN</t>
        </is>
      </c>
      <c r="E3396" t="inlineStr">
        <is>
          <t>ARVIKA</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51838-2020</t>
        </is>
      </c>
      <c r="B3397" s="1" t="n">
        <v>44116</v>
      </c>
      <c r="C3397" s="1" t="n">
        <v>45736</v>
      </c>
      <c r="D3397" t="inlineStr">
        <is>
          <t>VÄRMLANDS LÄN</t>
        </is>
      </c>
      <c r="E3397" t="inlineStr">
        <is>
          <t>TORSBY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51892-2020</t>
        </is>
      </c>
      <c r="B3398" s="1" t="n">
        <v>44116</v>
      </c>
      <c r="C3398" s="1" t="n">
        <v>45736</v>
      </c>
      <c r="D3398" t="inlineStr">
        <is>
          <t>VÄRMLANDS LÄN</t>
        </is>
      </c>
      <c r="E3398" t="inlineStr">
        <is>
          <t>SUNNE</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52460-2020</t>
        </is>
      </c>
      <c r="B3399" s="1" t="n">
        <v>44116</v>
      </c>
      <c r="C3399" s="1" t="n">
        <v>45736</v>
      </c>
      <c r="D3399" t="inlineStr">
        <is>
          <t>VÄRMLANDS LÄN</t>
        </is>
      </c>
      <c r="E3399" t="inlineStr">
        <is>
          <t>TORSBY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51837-2020</t>
        </is>
      </c>
      <c r="B3400" s="1" t="n">
        <v>44116</v>
      </c>
      <c r="C3400" s="1" t="n">
        <v>45736</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52252-2020</t>
        </is>
      </c>
      <c r="B3401" s="1" t="n">
        <v>44117</v>
      </c>
      <c r="C3401" s="1" t="n">
        <v>45736</v>
      </c>
      <c r="D3401" t="inlineStr">
        <is>
          <t>VÄRMLANDS LÄN</t>
        </is>
      </c>
      <c r="E3401" t="inlineStr">
        <is>
          <t>SÄFFLE</t>
        </is>
      </c>
      <c r="F3401" t="inlineStr">
        <is>
          <t>Kyrkan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52141-2020</t>
        </is>
      </c>
      <c r="B3402" s="1" t="n">
        <v>44117</v>
      </c>
      <c r="C3402" s="1" t="n">
        <v>45736</v>
      </c>
      <c r="D3402" t="inlineStr">
        <is>
          <t>VÄRMLANDS LÄN</t>
        </is>
      </c>
      <c r="E3402" t="inlineStr">
        <is>
          <t>TORSBY</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52317-2020</t>
        </is>
      </c>
      <c r="B3403" s="1" t="n">
        <v>44117</v>
      </c>
      <c r="C3403" s="1" t="n">
        <v>45736</v>
      </c>
      <c r="D3403" t="inlineStr">
        <is>
          <t>VÄRMLANDS LÄN</t>
        </is>
      </c>
      <c r="E3403" t="inlineStr">
        <is>
          <t>EDA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52411-2020</t>
        </is>
      </c>
      <c r="B3404" s="1" t="n">
        <v>44118</v>
      </c>
      <c r="C3404" s="1" t="n">
        <v>45736</v>
      </c>
      <c r="D3404" t="inlineStr">
        <is>
          <t>VÄRMLANDS LÄN</t>
        </is>
      </c>
      <c r="E3404" t="inlineStr">
        <is>
          <t>KIL</t>
        </is>
      </c>
      <c r="G3404" t="n">
        <v>17.4</v>
      </c>
      <c r="H3404" t="n">
        <v>0</v>
      </c>
      <c r="I3404" t="n">
        <v>0</v>
      </c>
      <c r="J3404" t="n">
        <v>0</v>
      </c>
      <c r="K3404" t="n">
        <v>0</v>
      </c>
      <c r="L3404" t="n">
        <v>0</v>
      </c>
      <c r="M3404" t="n">
        <v>0</v>
      </c>
      <c r="N3404" t="n">
        <v>0</v>
      </c>
      <c r="O3404" t="n">
        <v>0</v>
      </c>
      <c r="P3404" t="n">
        <v>0</v>
      </c>
      <c r="Q3404" t="n">
        <v>0</v>
      </c>
      <c r="R3404" s="2" t="inlineStr"/>
    </row>
    <row r="3405" ht="15" customHeight="1">
      <c r="A3405" t="inlineStr">
        <is>
          <t>A 52577-2020</t>
        </is>
      </c>
      <c r="B3405" s="1" t="n">
        <v>44118</v>
      </c>
      <c r="C3405" s="1" t="n">
        <v>45736</v>
      </c>
      <c r="D3405" t="inlineStr">
        <is>
          <t>VÄRMLANDS LÄN</t>
        </is>
      </c>
      <c r="E3405" t="inlineStr">
        <is>
          <t>KRISTINEHAMN</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52621-2020</t>
        </is>
      </c>
      <c r="B3406" s="1" t="n">
        <v>44118</v>
      </c>
      <c r="C3406" s="1" t="n">
        <v>45736</v>
      </c>
      <c r="D3406" t="inlineStr">
        <is>
          <t>VÄRMLANDS LÄN</t>
        </is>
      </c>
      <c r="E3406" t="inlineStr">
        <is>
          <t>KARLSTAD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52482-2020</t>
        </is>
      </c>
      <c r="B3407" s="1" t="n">
        <v>44118</v>
      </c>
      <c r="C3407" s="1" t="n">
        <v>45736</v>
      </c>
      <c r="D3407" t="inlineStr">
        <is>
          <t>VÄRMLANDS LÄN</t>
        </is>
      </c>
      <c r="E3407" t="inlineStr">
        <is>
          <t>GRUMS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52758-2020</t>
        </is>
      </c>
      <c r="B3408" s="1" t="n">
        <v>44118</v>
      </c>
      <c r="C3408" s="1" t="n">
        <v>45736</v>
      </c>
      <c r="D3408" t="inlineStr">
        <is>
          <t>VÄRMLANDS LÄN</t>
        </is>
      </c>
      <c r="E3408" t="inlineStr">
        <is>
          <t>FORSHAGA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52799-2020</t>
        </is>
      </c>
      <c r="B3409" s="1" t="n">
        <v>44119</v>
      </c>
      <c r="C3409" s="1" t="n">
        <v>45736</v>
      </c>
      <c r="D3409" t="inlineStr">
        <is>
          <t>VÄRMLANDS LÄN</t>
        </is>
      </c>
      <c r="E3409" t="inlineStr">
        <is>
          <t>TORSBY</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53009-2020</t>
        </is>
      </c>
      <c r="B3410" s="1" t="n">
        <v>44119</v>
      </c>
      <c r="C3410" s="1" t="n">
        <v>45736</v>
      </c>
      <c r="D3410" t="inlineStr">
        <is>
          <t>VÄRMLANDS LÄN</t>
        </is>
      </c>
      <c r="E3410" t="inlineStr">
        <is>
          <t>HAGFORS</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53014-2020</t>
        </is>
      </c>
      <c r="B3411" s="1" t="n">
        <v>44119</v>
      </c>
      <c r="C3411" s="1" t="n">
        <v>45736</v>
      </c>
      <c r="D3411" t="inlineStr">
        <is>
          <t>VÄRMLANDS LÄN</t>
        </is>
      </c>
      <c r="E3411" t="inlineStr">
        <is>
          <t>HAGFORS</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52979-2020</t>
        </is>
      </c>
      <c r="B3412" s="1" t="n">
        <v>44120</v>
      </c>
      <c r="C3412" s="1" t="n">
        <v>45736</v>
      </c>
      <c r="D3412" t="inlineStr">
        <is>
          <t>VÄRMLANDS LÄN</t>
        </is>
      </c>
      <c r="E3412" t="inlineStr">
        <is>
          <t>TORSBY</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53111-2020</t>
        </is>
      </c>
      <c r="B3413" s="1" t="n">
        <v>44120</v>
      </c>
      <c r="C3413" s="1" t="n">
        <v>45736</v>
      </c>
      <c r="D3413" t="inlineStr">
        <is>
          <t>VÄRMLANDS LÄN</t>
        </is>
      </c>
      <c r="E3413" t="inlineStr">
        <is>
          <t>TORSBY</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53382-2020</t>
        </is>
      </c>
      <c r="B3414" s="1" t="n">
        <v>44123</v>
      </c>
      <c r="C3414" s="1" t="n">
        <v>45736</v>
      </c>
      <c r="D3414" t="inlineStr">
        <is>
          <t>VÄRMLANDS LÄN</t>
        </is>
      </c>
      <c r="E3414" t="inlineStr">
        <is>
          <t>ARVIKA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53300-2020</t>
        </is>
      </c>
      <c r="B3415" s="1" t="n">
        <v>44123</v>
      </c>
      <c r="C3415" s="1" t="n">
        <v>45736</v>
      </c>
      <c r="D3415" t="inlineStr">
        <is>
          <t>VÄRMLANDS LÄN</t>
        </is>
      </c>
      <c r="E3415" t="inlineStr">
        <is>
          <t>ARVIKA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53361-2020</t>
        </is>
      </c>
      <c r="B3416" s="1" t="n">
        <v>44123</v>
      </c>
      <c r="C3416" s="1" t="n">
        <v>45736</v>
      </c>
      <c r="D3416" t="inlineStr">
        <is>
          <t>VÄRMLANDS LÄN</t>
        </is>
      </c>
      <c r="E3416" t="inlineStr">
        <is>
          <t>KRISTINEHAMN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53235-2020</t>
        </is>
      </c>
      <c r="B3417" s="1" t="n">
        <v>44123</v>
      </c>
      <c r="C3417" s="1" t="n">
        <v>45736</v>
      </c>
      <c r="D3417" t="inlineStr">
        <is>
          <t>VÄRMLANDS LÄN</t>
        </is>
      </c>
      <c r="E3417" t="inlineStr">
        <is>
          <t>ÅRJÄNG</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53412-2020</t>
        </is>
      </c>
      <c r="B3418" s="1" t="n">
        <v>44123</v>
      </c>
      <c r="C3418" s="1" t="n">
        <v>45736</v>
      </c>
      <c r="D3418" t="inlineStr">
        <is>
          <t>VÄRMLANDS LÄN</t>
        </is>
      </c>
      <c r="E3418" t="inlineStr">
        <is>
          <t>STORFORS</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53486-2020</t>
        </is>
      </c>
      <c r="B3419" s="1" t="n">
        <v>44123</v>
      </c>
      <c r="C3419" s="1" t="n">
        <v>45736</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53494-2020</t>
        </is>
      </c>
      <c r="B3420" s="1" t="n">
        <v>44123</v>
      </c>
      <c r="C3420" s="1" t="n">
        <v>45736</v>
      </c>
      <c r="D3420" t="inlineStr">
        <is>
          <t>VÄRMLANDS LÄN</t>
        </is>
      </c>
      <c r="E3420" t="inlineStr">
        <is>
          <t>FORSHAGA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53362-2020</t>
        </is>
      </c>
      <c r="B3421" s="1" t="n">
        <v>44123</v>
      </c>
      <c r="C3421" s="1" t="n">
        <v>45736</v>
      </c>
      <c r="D3421" t="inlineStr">
        <is>
          <t>VÄRMLANDS LÄN</t>
        </is>
      </c>
      <c r="E3421" t="inlineStr">
        <is>
          <t>KRISTINEHAMN</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53417-2020</t>
        </is>
      </c>
      <c r="B3422" s="1" t="n">
        <v>44123</v>
      </c>
      <c r="C3422" s="1" t="n">
        <v>45736</v>
      </c>
      <c r="D3422" t="inlineStr">
        <is>
          <t>VÄRMLANDS LÄN</t>
        </is>
      </c>
      <c r="E3422" t="inlineStr">
        <is>
          <t>FILIPSTAD</t>
        </is>
      </c>
      <c r="F3422" t="inlineStr">
        <is>
          <t>Bergvik skog väst AB</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54027-2020</t>
        </is>
      </c>
      <c r="B3423" s="1" t="n">
        <v>44123</v>
      </c>
      <c r="C3423" s="1" t="n">
        <v>45736</v>
      </c>
      <c r="D3423" t="inlineStr">
        <is>
          <t>VÄRMLANDS LÄN</t>
        </is>
      </c>
      <c r="E3423" t="inlineStr">
        <is>
          <t>STORFORS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54972-2020</t>
        </is>
      </c>
      <c r="B3424" s="1" t="n">
        <v>44123</v>
      </c>
      <c r="C3424" s="1" t="n">
        <v>45736</v>
      </c>
      <c r="D3424" t="inlineStr">
        <is>
          <t>VÄRMLANDS LÄN</t>
        </is>
      </c>
      <c r="E3424" t="inlineStr">
        <is>
          <t>HAGFORS</t>
        </is>
      </c>
      <c r="F3424" t="inlineStr">
        <is>
          <t>Bergvik skog väst AB</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53590-2020</t>
        </is>
      </c>
      <c r="B3425" s="1" t="n">
        <v>44124</v>
      </c>
      <c r="C3425" s="1" t="n">
        <v>45736</v>
      </c>
      <c r="D3425" t="inlineStr">
        <is>
          <t>VÄRMLANDS LÄN</t>
        </is>
      </c>
      <c r="E3425" t="inlineStr">
        <is>
          <t>FORSHAGA</t>
        </is>
      </c>
      <c r="F3425" t="inlineStr">
        <is>
          <t>Bergvik skog väst AB</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53715-2020</t>
        </is>
      </c>
      <c r="B3426" s="1" t="n">
        <v>44124</v>
      </c>
      <c r="C3426" s="1" t="n">
        <v>45736</v>
      </c>
      <c r="D3426" t="inlineStr">
        <is>
          <t>VÄRMLANDS LÄN</t>
        </is>
      </c>
      <c r="E3426" t="inlineStr">
        <is>
          <t>ARVIKA</t>
        </is>
      </c>
      <c r="F3426" t="inlineStr">
        <is>
          <t>Bergvik skog väst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53771-2020</t>
        </is>
      </c>
      <c r="B3427" s="1" t="n">
        <v>44124</v>
      </c>
      <c r="C3427" s="1" t="n">
        <v>45736</v>
      </c>
      <c r="D3427" t="inlineStr">
        <is>
          <t>VÄRMLANDS LÄN</t>
        </is>
      </c>
      <c r="E3427" t="inlineStr">
        <is>
          <t>TORSBY</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53786-2020</t>
        </is>
      </c>
      <c r="B3428" s="1" t="n">
        <v>44124</v>
      </c>
      <c r="C3428" s="1" t="n">
        <v>45736</v>
      </c>
      <c r="D3428" t="inlineStr">
        <is>
          <t>VÄRMLANDS LÄN</t>
        </is>
      </c>
      <c r="E3428" t="inlineStr">
        <is>
          <t>FILIPSTAD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54154-2020</t>
        </is>
      </c>
      <c r="B3429" s="1" t="n">
        <v>44124</v>
      </c>
      <c r="C3429" s="1" t="n">
        <v>45736</v>
      </c>
      <c r="D3429" t="inlineStr">
        <is>
          <t>VÄRMLANDS LÄN</t>
        </is>
      </c>
      <c r="E3429" t="inlineStr">
        <is>
          <t>SÄFFLE</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54157-2020</t>
        </is>
      </c>
      <c r="B3430" s="1" t="n">
        <v>44124</v>
      </c>
      <c r="C3430" s="1" t="n">
        <v>45736</v>
      </c>
      <c r="D3430" t="inlineStr">
        <is>
          <t>VÄRMLANDS LÄN</t>
        </is>
      </c>
      <c r="E3430" t="inlineStr">
        <is>
          <t>SÄFFLE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54255-2020</t>
        </is>
      </c>
      <c r="B3431" s="1" t="n">
        <v>44124</v>
      </c>
      <c r="C3431" s="1" t="n">
        <v>45736</v>
      </c>
      <c r="D3431" t="inlineStr">
        <is>
          <t>VÄRMLANDS LÄN</t>
        </is>
      </c>
      <c r="E3431" t="inlineStr">
        <is>
          <t>SÄFFLE</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53806-2020</t>
        </is>
      </c>
      <c r="B3432" s="1" t="n">
        <v>44124</v>
      </c>
      <c r="C3432" s="1" t="n">
        <v>45736</v>
      </c>
      <c r="D3432" t="inlineStr">
        <is>
          <t>VÄRMLANDS LÄN</t>
        </is>
      </c>
      <c r="E3432" t="inlineStr">
        <is>
          <t>MUNKFORS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53733-2020</t>
        </is>
      </c>
      <c r="B3433" s="1" t="n">
        <v>44124</v>
      </c>
      <c r="C3433" s="1" t="n">
        <v>45736</v>
      </c>
      <c r="D3433" t="inlineStr">
        <is>
          <t>VÄRMLANDS LÄN</t>
        </is>
      </c>
      <c r="E3433" t="inlineStr">
        <is>
          <t>TORSBY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54264-2020</t>
        </is>
      </c>
      <c r="B3434" s="1" t="n">
        <v>44124</v>
      </c>
      <c r="C3434" s="1" t="n">
        <v>45736</v>
      </c>
      <c r="D3434" t="inlineStr">
        <is>
          <t>VÄRMLANDS LÄN</t>
        </is>
      </c>
      <c r="E3434" t="inlineStr">
        <is>
          <t>ARVIKA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54331-2020</t>
        </is>
      </c>
      <c r="B3435" s="1" t="n">
        <v>44124</v>
      </c>
      <c r="C3435" s="1" t="n">
        <v>45736</v>
      </c>
      <c r="D3435" t="inlineStr">
        <is>
          <t>VÄRMLANDS LÄN</t>
        </is>
      </c>
      <c r="E3435" t="inlineStr">
        <is>
          <t>TORSBY</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54060-2020</t>
        </is>
      </c>
      <c r="B3436" s="1" t="n">
        <v>44125</v>
      </c>
      <c r="C3436" s="1" t="n">
        <v>45736</v>
      </c>
      <c r="D3436" t="inlineStr">
        <is>
          <t>VÄRMLANDS LÄN</t>
        </is>
      </c>
      <c r="E3436" t="inlineStr">
        <is>
          <t>TORSBY</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54162-2020</t>
        </is>
      </c>
      <c r="B3437" s="1" t="n">
        <v>44125</v>
      </c>
      <c r="C3437" s="1" t="n">
        <v>45736</v>
      </c>
      <c r="D3437" t="inlineStr">
        <is>
          <t>VÄRMLANDS LÄN</t>
        </is>
      </c>
      <c r="E3437" t="inlineStr">
        <is>
          <t>FILIPSTAD</t>
        </is>
      </c>
      <c r="F3437" t="inlineStr">
        <is>
          <t>Bergvik skog väst AB</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54160-2020</t>
        </is>
      </c>
      <c r="B3438" s="1" t="n">
        <v>44125</v>
      </c>
      <c r="C3438" s="1" t="n">
        <v>45736</v>
      </c>
      <c r="D3438" t="inlineStr">
        <is>
          <t>VÄRMLANDS LÄN</t>
        </is>
      </c>
      <c r="E3438" t="inlineStr">
        <is>
          <t>SUNNE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54072-2020</t>
        </is>
      </c>
      <c r="B3439" s="1" t="n">
        <v>44125</v>
      </c>
      <c r="C3439" s="1" t="n">
        <v>45736</v>
      </c>
      <c r="D3439" t="inlineStr">
        <is>
          <t>VÄRMLANDS LÄN</t>
        </is>
      </c>
      <c r="E3439" t="inlineStr">
        <is>
          <t>TORSBY</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54375-2020</t>
        </is>
      </c>
      <c r="B3440" s="1" t="n">
        <v>44126</v>
      </c>
      <c r="C3440" s="1" t="n">
        <v>45736</v>
      </c>
      <c r="D3440" t="inlineStr">
        <is>
          <t>VÄRMLANDS LÄN</t>
        </is>
      </c>
      <c r="E3440" t="inlineStr">
        <is>
          <t>KIL</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54373-2020</t>
        </is>
      </c>
      <c r="B3441" s="1" t="n">
        <v>44126</v>
      </c>
      <c r="C3441" s="1" t="n">
        <v>45736</v>
      </c>
      <c r="D3441" t="inlineStr">
        <is>
          <t>VÄRMLANDS LÄN</t>
        </is>
      </c>
      <c r="E3441" t="inlineStr">
        <is>
          <t>KIL</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54350-2020</t>
        </is>
      </c>
      <c r="B3442" s="1" t="n">
        <v>44126</v>
      </c>
      <c r="C3442" s="1" t="n">
        <v>45736</v>
      </c>
      <c r="D3442" t="inlineStr">
        <is>
          <t>VÄRMLANDS LÄN</t>
        </is>
      </c>
      <c r="E3442" t="inlineStr">
        <is>
          <t>KIL</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54343-2020</t>
        </is>
      </c>
      <c r="B3443" s="1" t="n">
        <v>44126</v>
      </c>
      <c r="C3443" s="1" t="n">
        <v>45736</v>
      </c>
      <c r="D3443" t="inlineStr">
        <is>
          <t>VÄRMLANDS LÄN</t>
        </is>
      </c>
      <c r="E3443" t="inlineStr">
        <is>
          <t>KIL</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54503-2020</t>
        </is>
      </c>
      <c r="B3444" s="1" t="n">
        <v>44126</v>
      </c>
      <c r="C3444" s="1" t="n">
        <v>45736</v>
      </c>
      <c r="D3444" t="inlineStr">
        <is>
          <t>VÄRMLANDS LÄN</t>
        </is>
      </c>
      <c r="E3444" t="inlineStr">
        <is>
          <t>ARVIKA</t>
        </is>
      </c>
      <c r="F3444" t="inlineStr">
        <is>
          <t>Bergvik skog väst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54623-2020</t>
        </is>
      </c>
      <c r="B3445" s="1" t="n">
        <v>44127</v>
      </c>
      <c r="C3445" s="1" t="n">
        <v>45736</v>
      </c>
      <c r="D3445" t="inlineStr">
        <is>
          <t>VÄRMLANDS LÄN</t>
        </is>
      </c>
      <c r="E3445" t="inlineStr">
        <is>
          <t>FILIPSTAD</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54665-2020</t>
        </is>
      </c>
      <c r="B3446" s="1" t="n">
        <v>44127</v>
      </c>
      <c r="C3446" s="1" t="n">
        <v>45736</v>
      </c>
      <c r="D3446" t="inlineStr">
        <is>
          <t>VÄRMLANDS LÄN</t>
        </is>
      </c>
      <c r="E3446" t="inlineStr">
        <is>
          <t>SÄFFLE</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54839-2020</t>
        </is>
      </c>
      <c r="B3447" s="1" t="n">
        <v>44127</v>
      </c>
      <c r="C3447" s="1" t="n">
        <v>45736</v>
      </c>
      <c r="D3447" t="inlineStr">
        <is>
          <t>VÄRMLANDS LÄN</t>
        </is>
      </c>
      <c r="E3447" t="inlineStr">
        <is>
          <t>EDA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54916-2020</t>
        </is>
      </c>
      <c r="B3448" s="1" t="n">
        <v>44127</v>
      </c>
      <c r="C3448" s="1" t="n">
        <v>45736</v>
      </c>
      <c r="D3448" t="inlineStr">
        <is>
          <t>VÄRMLANDS LÄN</t>
        </is>
      </c>
      <c r="E3448" t="inlineStr">
        <is>
          <t>TORSBY</t>
        </is>
      </c>
      <c r="F3448" t="inlineStr">
        <is>
          <t>Kyrkan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54924-2020</t>
        </is>
      </c>
      <c r="B3449" s="1" t="n">
        <v>44127</v>
      </c>
      <c r="C3449" s="1" t="n">
        <v>45736</v>
      </c>
      <c r="D3449" t="inlineStr">
        <is>
          <t>VÄRMLANDS LÄN</t>
        </is>
      </c>
      <c r="E3449" t="inlineStr">
        <is>
          <t>TORSBY</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54960-2020</t>
        </is>
      </c>
      <c r="B3450" s="1" t="n">
        <v>44130</v>
      </c>
      <c r="C3450" s="1" t="n">
        <v>45736</v>
      </c>
      <c r="D3450" t="inlineStr">
        <is>
          <t>VÄRMLANDS LÄN</t>
        </is>
      </c>
      <c r="E3450" t="inlineStr">
        <is>
          <t>SUNNE</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55058-2020</t>
        </is>
      </c>
      <c r="B3451" s="1" t="n">
        <v>44130</v>
      </c>
      <c r="C3451" s="1" t="n">
        <v>45736</v>
      </c>
      <c r="D3451" t="inlineStr">
        <is>
          <t>VÄRMLANDS LÄN</t>
        </is>
      </c>
      <c r="E3451" t="inlineStr">
        <is>
          <t>TORSBY</t>
        </is>
      </c>
      <c r="F3451" t="inlineStr">
        <is>
          <t>Bergvik skog väst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55217-2020</t>
        </is>
      </c>
      <c r="B3452" s="1" t="n">
        <v>44130</v>
      </c>
      <c r="C3452" s="1" t="n">
        <v>45736</v>
      </c>
      <c r="D3452" t="inlineStr">
        <is>
          <t>VÄRMLANDS LÄN</t>
        </is>
      </c>
      <c r="E3452" t="inlineStr">
        <is>
          <t>TORSBY</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55015-2020</t>
        </is>
      </c>
      <c r="B3453" s="1" t="n">
        <v>44130</v>
      </c>
      <c r="C3453" s="1" t="n">
        <v>45736</v>
      </c>
      <c r="D3453" t="inlineStr">
        <is>
          <t>VÄRMLANDS LÄN</t>
        </is>
      </c>
      <c r="E3453" t="inlineStr">
        <is>
          <t>SÄFFLE</t>
        </is>
      </c>
      <c r="F3453" t="inlineStr">
        <is>
          <t>Bergvik skog väst AB</t>
        </is>
      </c>
      <c r="G3453" t="n">
        <v>15.9</v>
      </c>
      <c r="H3453" t="n">
        <v>0</v>
      </c>
      <c r="I3453" t="n">
        <v>0</v>
      </c>
      <c r="J3453" t="n">
        <v>0</v>
      </c>
      <c r="K3453" t="n">
        <v>0</v>
      </c>
      <c r="L3453" t="n">
        <v>0</v>
      </c>
      <c r="M3453" t="n">
        <v>0</v>
      </c>
      <c r="N3453" t="n">
        <v>0</v>
      </c>
      <c r="O3453" t="n">
        <v>0</v>
      </c>
      <c r="P3453" t="n">
        <v>0</v>
      </c>
      <c r="Q3453" t="n">
        <v>0</v>
      </c>
      <c r="R3453" s="2" t="inlineStr"/>
    </row>
    <row r="3454" ht="15" customHeight="1">
      <c r="A3454" t="inlineStr">
        <is>
          <t>A 55082-2020</t>
        </is>
      </c>
      <c r="B3454" s="1" t="n">
        <v>44130</v>
      </c>
      <c r="C3454" s="1" t="n">
        <v>45736</v>
      </c>
      <c r="D3454" t="inlineStr">
        <is>
          <t>VÄRMLANDS LÄN</t>
        </is>
      </c>
      <c r="E3454" t="inlineStr">
        <is>
          <t>SUNNE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55173-2020</t>
        </is>
      </c>
      <c r="B3455" s="1" t="n">
        <v>44130</v>
      </c>
      <c r="C3455" s="1" t="n">
        <v>45736</v>
      </c>
      <c r="D3455" t="inlineStr">
        <is>
          <t>VÄRMLANDS LÄN</t>
        </is>
      </c>
      <c r="E3455" t="inlineStr">
        <is>
          <t>SÄFFLE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55256-2020</t>
        </is>
      </c>
      <c r="B3456" s="1" t="n">
        <v>44130</v>
      </c>
      <c r="C3456" s="1" t="n">
        <v>45736</v>
      </c>
      <c r="D3456" t="inlineStr">
        <is>
          <t>VÄRMLANDS LÄN</t>
        </is>
      </c>
      <c r="E3456" t="inlineStr">
        <is>
          <t>SÄFFLE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55457-2020</t>
        </is>
      </c>
      <c r="B3457" s="1" t="n">
        <v>44130</v>
      </c>
      <c r="C3457" s="1" t="n">
        <v>45736</v>
      </c>
      <c r="D3457" t="inlineStr">
        <is>
          <t>VÄRMLANDS LÄN</t>
        </is>
      </c>
      <c r="E3457" t="inlineStr">
        <is>
          <t>KARLSTAD</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55129-2020</t>
        </is>
      </c>
      <c r="B3458" s="1" t="n">
        <v>44130</v>
      </c>
      <c r="C3458" s="1" t="n">
        <v>45736</v>
      </c>
      <c r="D3458" t="inlineStr">
        <is>
          <t>VÄRMLANDS LÄN</t>
        </is>
      </c>
      <c r="E3458" t="inlineStr">
        <is>
          <t>HAGFORS</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55433-2020</t>
        </is>
      </c>
      <c r="B3459" s="1" t="n">
        <v>44130</v>
      </c>
      <c r="C3459" s="1" t="n">
        <v>45736</v>
      </c>
      <c r="D3459" t="inlineStr">
        <is>
          <t>VÄRMLANDS LÄN</t>
        </is>
      </c>
      <c r="E3459" t="inlineStr">
        <is>
          <t>KARLSTAD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55071-2020</t>
        </is>
      </c>
      <c r="B3460" s="1" t="n">
        <v>44130</v>
      </c>
      <c r="C3460" s="1" t="n">
        <v>45736</v>
      </c>
      <c r="D3460" t="inlineStr">
        <is>
          <t>VÄRMLANDS LÄN</t>
        </is>
      </c>
      <c r="E3460" t="inlineStr">
        <is>
          <t>STORFORS</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55401-2020</t>
        </is>
      </c>
      <c r="B3461" s="1" t="n">
        <v>44131</v>
      </c>
      <c r="C3461" s="1" t="n">
        <v>45736</v>
      </c>
      <c r="D3461" t="inlineStr">
        <is>
          <t>VÄRMLANDS LÄN</t>
        </is>
      </c>
      <c r="E3461" t="inlineStr">
        <is>
          <t>TORSBY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55579-2020</t>
        </is>
      </c>
      <c r="B3462" s="1" t="n">
        <v>44131</v>
      </c>
      <c r="C3462" s="1" t="n">
        <v>45736</v>
      </c>
      <c r="D3462" t="inlineStr">
        <is>
          <t>VÄRMLANDS LÄN</t>
        </is>
      </c>
      <c r="E3462" t="inlineStr">
        <is>
          <t>EDA</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55546-2020</t>
        </is>
      </c>
      <c r="B3463" s="1" t="n">
        <v>44131</v>
      </c>
      <c r="C3463" s="1" t="n">
        <v>45736</v>
      </c>
      <c r="D3463" t="inlineStr">
        <is>
          <t>VÄRMLANDS LÄN</t>
        </is>
      </c>
      <c r="E3463" t="inlineStr">
        <is>
          <t>EDA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57016-2020</t>
        </is>
      </c>
      <c r="B3464" s="1" t="n">
        <v>44131</v>
      </c>
      <c r="C3464" s="1" t="n">
        <v>45736</v>
      </c>
      <c r="D3464" t="inlineStr">
        <is>
          <t>VÄRMLANDS LÄN</t>
        </is>
      </c>
      <c r="E3464" t="inlineStr">
        <is>
          <t>EDA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55790-2020</t>
        </is>
      </c>
      <c r="B3465" s="1" t="n">
        <v>44131</v>
      </c>
      <c r="C3465" s="1" t="n">
        <v>45736</v>
      </c>
      <c r="D3465" t="inlineStr">
        <is>
          <t>VÄRMLANDS LÄN</t>
        </is>
      </c>
      <c r="E3465" t="inlineStr">
        <is>
          <t>KARLSTAD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56867-2020</t>
        </is>
      </c>
      <c r="B3466" s="1" t="n">
        <v>44131</v>
      </c>
      <c r="C3466" s="1" t="n">
        <v>45736</v>
      </c>
      <c r="D3466" t="inlineStr">
        <is>
          <t>VÄRMLANDS LÄN</t>
        </is>
      </c>
      <c r="E3466" t="inlineStr">
        <is>
          <t>EDA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56870-2020</t>
        </is>
      </c>
      <c r="B3467" s="1" t="n">
        <v>44131</v>
      </c>
      <c r="C3467" s="1" t="n">
        <v>45736</v>
      </c>
      <c r="D3467" t="inlineStr">
        <is>
          <t>VÄRMLANDS LÄN</t>
        </is>
      </c>
      <c r="E3467" t="inlineStr">
        <is>
          <t>EDA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55806-2020</t>
        </is>
      </c>
      <c r="B3468" s="1" t="n">
        <v>44132</v>
      </c>
      <c r="C3468" s="1" t="n">
        <v>45736</v>
      </c>
      <c r="D3468" t="inlineStr">
        <is>
          <t>VÄRMLANDS LÄN</t>
        </is>
      </c>
      <c r="E3468" t="inlineStr">
        <is>
          <t>FILIPSTAD</t>
        </is>
      </c>
      <c r="F3468" t="inlineStr">
        <is>
          <t>Bergvik skog väst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55737-2020</t>
        </is>
      </c>
      <c r="B3469" s="1" t="n">
        <v>44132</v>
      </c>
      <c r="C3469" s="1" t="n">
        <v>45736</v>
      </c>
      <c r="D3469" t="inlineStr">
        <is>
          <t>VÄRMLANDS LÄN</t>
        </is>
      </c>
      <c r="E3469" t="inlineStr">
        <is>
          <t>KARLSTAD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55802-2020</t>
        </is>
      </c>
      <c r="B3470" s="1" t="n">
        <v>44132</v>
      </c>
      <c r="C3470" s="1" t="n">
        <v>45736</v>
      </c>
      <c r="D3470" t="inlineStr">
        <is>
          <t>VÄRMLANDS LÄN</t>
        </is>
      </c>
      <c r="E3470" t="inlineStr">
        <is>
          <t>FILIPSTAD</t>
        </is>
      </c>
      <c r="F3470" t="inlineStr">
        <is>
          <t>Bergvik skog väst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55921-2020</t>
        </is>
      </c>
      <c r="B3471" s="1" t="n">
        <v>44132</v>
      </c>
      <c r="C3471" s="1" t="n">
        <v>45736</v>
      </c>
      <c r="D3471" t="inlineStr">
        <is>
          <t>VÄRMLANDS LÄN</t>
        </is>
      </c>
      <c r="E3471" t="inlineStr">
        <is>
          <t>HAGFORS</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55903-2020</t>
        </is>
      </c>
      <c r="B3472" s="1" t="n">
        <v>44132</v>
      </c>
      <c r="C3472" s="1" t="n">
        <v>45736</v>
      </c>
      <c r="D3472" t="inlineStr">
        <is>
          <t>VÄRMLANDS LÄN</t>
        </is>
      </c>
      <c r="E3472" t="inlineStr">
        <is>
          <t>ARVIKA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55923-2020</t>
        </is>
      </c>
      <c r="B3473" s="1" t="n">
        <v>44132</v>
      </c>
      <c r="C3473" s="1" t="n">
        <v>45736</v>
      </c>
      <c r="D3473" t="inlineStr">
        <is>
          <t>VÄRMLANDS LÄN</t>
        </is>
      </c>
      <c r="E3473" t="inlineStr">
        <is>
          <t>FILIPSTAD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56052-2020</t>
        </is>
      </c>
      <c r="B3474" s="1" t="n">
        <v>44133</v>
      </c>
      <c r="C3474" s="1" t="n">
        <v>45736</v>
      </c>
      <c r="D3474" t="inlineStr">
        <is>
          <t>VÄRMLANDS LÄN</t>
        </is>
      </c>
      <c r="E3474" t="inlineStr">
        <is>
          <t>KRISTINEHAMN</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55959-2020</t>
        </is>
      </c>
      <c r="B3475" s="1" t="n">
        <v>44133</v>
      </c>
      <c r="C3475" s="1" t="n">
        <v>45736</v>
      </c>
      <c r="D3475" t="inlineStr">
        <is>
          <t>VÄRMLANDS LÄN</t>
        </is>
      </c>
      <c r="E3475" t="inlineStr">
        <is>
          <t>EDA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56045-2020</t>
        </is>
      </c>
      <c r="B3476" s="1" t="n">
        <v>44133</v>
      </c>
      <c r="C3476" s="1" t="n">
        <v>45736</v>
      </c>
      <c r="D3476" t="inlineStr">
        <is>
          <t>VÄRMLANDS LÄN</t>
        </is>
      </c>
      <c r="E3476" t="inlineStr">
        <is>
          <t>KRISTINEHAMN</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56146-2020</t>
        </is>
      </c>
      <c r="B3477" s="1" t="n">
        <v>44133</v>
      </c>
      <c r="C3477" s="1" t="n">
        <v>45736</v>
      </c>
      <c r="D3477" t="inlineStr">
        <is>
          <t>VÄRMLANDS LÄN</t>
        </is>
      </c>
      <c r="E3477" t="inlineStr">
        <is>
          <t>KRISTINEHAMN</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55987-2020</t>
        </is>
      </c>
      <c r="B3478" s="1" t="n">
        <v>44133</v>
      </c>
      <c r="C3478" s="1" t="n">
        <v>45736</v>
      </c>
      <c r="D3478" t="inlineStr">
        <is>
          <t>VÄRMLANDS LÄN</t>
        </is>
      </c>
      <c r="E3478" t="inlineStr">
        <is>
          <t>EDA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56279-2020</t>
        </is>
      </c>
      <c r="B3479" s="1" t="n">
        <v>44134</v>
      </c>
      <c r="C3479" s="1" t="n">
        <v>45736</v>
      </c>
      <c r="D3479" t="inlineStr">
        <is>
          <t>VÄRMLANDS LÄN</t>
        </is>
      </c>
      <c r="E3479" t="inlineStr">
        <is>
          <t>FILIPSTAD</t>
        </is>
      </c>
      <c r="F3479" t="inlineStr">
        <is>
          <t>Bergvik skog väst AB</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56849-2020</t>
        </is>
      </c>
      <c r="B3480" s="1" t="n">
        <v>44134</v>
      </c>
      <c r="C3480" s="1" t="n">
        <v>45736</v>
      </c>
      <c r="D3480" t="inlineStr">
        <is>
          <t>VÄRMLANDS LÄN</t>
        </is>
      </c>
      <c r="E3480" t="inlineStr">
        <is>
          <t>ÅRJÄNG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56271-2020</t>
        </is>
      </c>
      <c r="B3481" s="1" t="n">
        <v>44134</v>
      </c>
      <c r="C3481" s="1" t="n">
        <v>45736</v>
      </c>
      <c r="D3481" t="inlineStr">
        <is>
          <t>VÄRMLANDS LÄN</t>
        </is>
      </c>
      <c r="E3481" t="inlineStr">
        <is>
          <t>SÄFFLE</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56287-2020</t>
        </is>
      </c>
      <c r="B3482" s="1" t="n">
        <v>44134</v>
      </c>
      <c r="C3482" s="1" t="n">
        <v>45736</v>
      </c>
      <c r="D3482" t="inlineStr">
        <is>
          <t>VÄRMLANDS LÄN</t>
        </is>
      </c>
      <c r="E3482" t="inlineStr">
        <is>
          <t>ÅRJÄNG</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56226-2020</t>
        </is>
      </c>
      <c r="B3483" s="1" t="n">
        <v>44134</v>
      </c>
      <c r="C3483" s="1" t="n">
        <v>45736</v>
      </c>
      <c r="D3483" t="inlineStr">
        <is>
          <t>VÄRMLANDS LÄN</t>
        </is>
      </c>
      <c r="E3483" t="inlineStr">
        <is>
          <t>EDA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56413-2020</t>
        </is>
      </c>
      <c r="B3484" s="1" t="n">
        <v>44137</v>
      </c>
      <c r="C3484" s="1" t="n">
        <v>45736</v>
      </c>
      <c r="D3484" t="inlineStr">
        <is>
          <t>VÄRMLANDS LÄN</t>
        </is>
      </c>
      <c r="E3484" t="inlineStr">
        <is>
          <t>EDA</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56406-2020</t>
        </is>
      </c>
      <c r="B3485" s="1" t="n">
        <v>44137</v>
      </c>
      <c r="C3485" s="1" t="n">
        <v>45736</v>
      </c>
      <c r="D3485" t="inlineStr">
        <is>
          <t>VÄRMLANDS LÄN</t>
        </is>
      </c>
      <c r="E3485" t="inlineStr">
        <is>
          <t>FILIPSTAD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56567-2020</t>
        </is>
      </c>
      <c r="B3486" s="1" t="n">
        <v>44137</v>
      </c>
      <c r="C3486" s="1" t="n">
        <v>45736</v>
      </c>
      <c r="D3486" t="inlineStr">
        <is>
          <t>VÄRMLANDS LÄN</t>
        </is>
      </c>
      <c r="E3486" t="inlineStr">
        <is>
          <t>HAGFORS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56531-2020</t>
        </is>
      </c>
      <c r="B3487" s="1" t="n">
        <v>44137</v>
      </c>
      <c r="C3487" s="1" t="n">
        <v>45736</v>
      </c>
      <c r="D3487" t="inlineStr">
        <is>
          <t>VÄRMLANDS LÄN</t>
        </is>
      </c>
      <c r="E3487" t="inlineStr">
        <is>
          <t>GRUMS</t>
        </is>
      </c>
      <c r="G3487" t="n">
        <v>15.3</v>
      </c>
      <c r="H3487" t="n">
        <v>0</v>
      </c>
      <c r="I3487" t="n">
        <v>0</v>
      </c>
      <c r="J3487" t="n">
        <v>0</v>
      </c>
      <c r="K3487" t="n">
        <v>0</v>
      </c>
      <c r="L3487" t="n">
        <v>0</v>
      </c>
      <c r="M3487" t="n">
        <v>0</v>
      </c>
      <c r="N3487" t="n">
        <v>0</v>
      </c>
      <c r="O3487" t="n">
        <v>0</v>
      </c>
      <c r="P3487" t="n">
        <v>0</v>
      </c>
      <c r="Q3487" t="n">
        <v>0</v>
      </c>
      <c r="R3487" s="2" t="inlineStr"/>
    </row>
    <row r="3488" ht="15" customHeight="1">
      <c r="A3488" t="inlineStr">
        <is>
          <t>A 56624-2020</t>
        </is>
      </c>
      <c r="B3488" s="1" t="n">
        <v>44137</v>
      </c>
      <c r="C3488" s="1" t="n">
        <v>45736</v>
      </c>
      <c r="D3488" t="inlineStr">
        <is>
          <t>VÄRMLANDS LÄN</t>
        </is>
      </c>
      <c r="E3488" t="inlineStr">
        <is>
          <t>ARVIKA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57037-2020</t>
        </is>
      </c>
      <c r="B3489" s="1" t="n">
        <v>44137</v>
      </c>
      <c r="C3489" s="1" t="n">
        <v>45736</v>
      </c>
      <c r="D3489" t="inlineStr">
        <is>
          <t>VÄRMLANDS LÄN</t>
        </is>
      </c>
      <c r="E3489" t="inlineStr">
        <is>
          <t>SÄFFLE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56518-2020</t>
        </is>
      </c>
      <c r="B3490" s="1" t="n">
        <v>44137</v>
      </c>
      <c r="C3490" s="1" t="n">
        <v>45736</v>
      </c>
      <c r="D3490" t="inlineStr">
        <is>
          <t>VÄRMLANDS LÄN</t>
        </is>
      </c>
      <c r="E3490" t="inlineStr">
        <is>
          <t>ARVIKA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57028-2020</t>
        </is>
      </c>
      <c r="B3491" s="1" t="n">
        <v>44137</v>
      </c>
      <c r="C3491" s="1" t="n">
        <v>45736</v>
      </c>
      <c r="D3491" t="inlineStr">
        <is>
          <t>VÄRMLANDS LÄN</t>
        </is>
      </c>
      <c r="E3491" t="inlineStr">
        <is>
          <t>SÄFFLE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56822-2020</t>
        </is>
      </c>
      <c r="B3492" s="1" t="n">
        <v>44138</v>
      </c>
      <c r="C3492" s="1" t="n">
        <v>45736</v>
      </c>
      <c r="D3492" t="inlineStr">
        <is>
          <t>VÄRMLANDS LÄN</t>
        </is>
      </c>
      <c r="E3492" t="inlineStr">
        <is>
          <t>KIL</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56861-2020</t>
        </is>
      </c>
      <c r="B3493" s="1" t="n">
        <v>44138</v>
      </c>
      <c r="C3493" s="1" t="n">
        <v>45736</v>
      </c>
      <c r="D3493" t="inlineStr">
        <is>
          <t>VÄRMLANDS LÄN</t>
        </is>
      </c>
      <c r="E3493" t="inlineStr">
        <is>
          <t>FILIPSTAD</t>
        </is>
      </c>
      <c r="F3493" t="inlineStr">
        <is>
          <t>Bergvik skog väst AB</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56908-2020</t>
        </is>
      </c>
      <c r="B3494" s="1" t="n">
        <v>44138</v>
      </c>
      <c r="C3494" s="1" t="n">
        <v>45736</v>
      </c>
      <c r="D3494" t="inlineStr">
        <is>
          <t>VÄRMLANDS LÄN</t>
        </is>
      </c>
      <c r="E3494" t="inlineStr">
        <is>
          <t>ÅRJÄNG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56979-2020</t>
        </is>
      </c>
      <c r="B3495" s="1" t="n">
        <v>44138</v>
      </c>
      <c r="C3495" s="1" t="n">
        <v>45736</v>
      </c>
      <c r="D3495" t="inlineStr">
        <is>
          <t>VÄRMLANDS LÄN</t>
        </is>
      </c>
      <c r="E3495" t="inlineStr">
        <is>
          <t>TORSBY</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57003-2020</t>
        </is>
      </c>
      <c r="B3496" s="1" t="n">
        <v>44138</v>
      </c>
      <c r="C3496" s="1" t="n">
        <v>45736</v>
      </c>
      <c r="D3496" t="inlineStr">
        <is>
          <t>VÄRMLANDS LÄN</t>
        </is>
      </c>
      <c r="E3496" t="inlineStr">
        <is>
          <t>KARLSTAD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57219-2020</t>
        </is>
      </c>
      <c r="B3497" s="1" t="n">
        <v>44138</v>
      </c>
      <c r="C3497" s="1" t="n">
        <v>45736</v>
      </c>
      <c r="D3497" t="inlineStr">
        <is>
          <t>VÄRMLANDS LÄN</t>
        </is>
      </c>
      <c r="E3497" t="inlineStr">
        <is>
          <t>ARVIKA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56871-2020</t>
        </is>
      </c>
      <c r="B3498" s="1" t="n">
        <v>44138</v>
      </c>
      <c r="C3498" s="1" t="n">
        <v>45736</v>
      </c>
      <c r="D3498" t="inlineStr">
        <is>
          <t>VÄRMLANDS LÄN</t>
        </is>
      </c>
      <c r="E3498" t="inlineStr">
        <is>
          <t>FORSHAGA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57119-2020</t>
        </is>
      </c>
      <c r="B3499" s="1" t="n">
        <v>44139</v>
      </c>
      <c r="C3499" s="1" t="n">
        <v>45736</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57230-2020</t>
        </is>
      </c>
      <c r="B3500" s="1" t="n">
        <v>44139</v>
      </c>
      <c r="C3500" s="1" t="n">
        <v>45736</v>
      </c>
      <c r="D3500" t="inlineStr">
        <is>
          <t>VÄRMLANDS LÄN</t>
        </is>
      </c>
      <c r="E3500" t="inlineStr">
        <is>
          <t>SÄFFLE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57331-2020</t>
        </is>
      </c>
      <c r="B3501" s="1" t="n">
        <v>44139</v>
      </c>
      <c r="C3501" s="1" t="n">
        <v>45736</v>
      </c>
      <c r="D3501" t="inlineStr">
        <is>
          <t>VÄRMLANDS LÄN</t>
        </is>
      </c>
      <c r="E3501" t="inlineStr">
        <is>
          <t>ARVIKA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57605-2020</t>
        </is>
      </c>
      <c r="B3502" s="1" t="n">
        <v>44140</v>
      </c>
      <c r="C3502" s="1" t="n">
        <v>45736</v>
      </c>
      <c r="D3502" t="inlineStr">
        <is>
          <t>VÄRMLANDS LÄN</t>
        </is>
      </c>
      <c r="E3502" t="inlineStr">
        <is>
          <t>ÅRJÄNG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57437-2020</t>
        </is>
      </c>
      <c r="B3503" s="1" t="n">
        <v>44140</v>
      </c>
      <c r="C3503" s="1" t="n">
        <v>45736</v>
      </c>
      <c r="D3503" t="inlineStr">
        <is>
          <t>VÄRMLANDS LÄN</t>
        </is>
      </c>
      <c r="E3503" t="inlineStr">
        <is>
          <t>ÅRJÄNG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57444-2020</t>
        </is>
      </c>
      <c r="B3504" s="1" t="n">
        <v>44140</v>
      </c>
      <c r="C3504" s="1" t="n">
        <v>45736</v>
      </c>
      <c r="D3504" t="inlineStr">
        <is>
          <t>VÄRMLANDS LÄN</t>
        </is>
      </c>
      <c r="E3504" t="inlineStr">
        <is>
          <t>ÅRJÄNG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57708-2020</t>
        </is>
      </c>
      <c r="B3505" s="1" t="n">
        <v>44140</v>
      </c>
      <c r="C3505" s="1" t="n">
        <v>45736</v>
      </c>
      <c r="D3505" t="inlineStr">
        <is>
          <t>VÄRMLANDS LÄN</t>
        </is>
      </c>
      <c r="E3505" t="inlineStr">
        <is>
          <t>GRUMS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57748-2020</t>
        </is>
      </c>
      <c r="B3506" s="1" t="n">
        <v>44140</v>
      </c>
      <c r="C3506" s="1" t="n">
        <v>45736</v>
      </c>
      <c r="D3506" t="inlineStr">
        <is>
          <t>VÄRMLANDS LÄN</t>
        </is>
      </c>
      <c r="E3506" t="inlineStr">
        <is>
          <t>ÅRJÄNG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57761-2020</t>
        </is>
      </c>
      <c r="B3507" s="1" t="n">
        <v>44140</v>
      </c>
      <c r="C3507" s="1" t="n">
        <v>45736</v>
      </c>
      <c r="D3507" t="inlineStr">
        <is>
          <t>VÄRMLANDS LÄN</t>
        </is>
      </c>
      <c r="E3507" t="inlineStr">
        <is>
          <t>ÅRJÄNG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57775-2020</t>
        </is>
      </c>
      <c r="B3508" s="1" t="n">
        <v>44141</v>
      </c>
      <c r="C3508" s="1" t="n">
        <v>45736</v>
      </c>
      <c r="D3508" t="inlineStr">
        <is>
          <t>VÄRMLANDS LÄN</t>
        </is>
      </c>
      <c r="E3508" t="inlineStr">
        <is>
          <t>KRISTINEHAMN</t>
        </is>
      </c>
      <c r="F3508" t="inlineStr">
        <is>
          <t>Sveaskog</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57780-2020</t>
        </is>
      </c>
      <c r="B3509" s="1" t="n">
        <v>44141</v>
      </c>
      <c r="C3509" s="1" t="n">
        <v>45736</v>
      </c>
      <c r="D3509" t="inlineStr">
        <is>
          <t>VÄRMLANDS LÄN</t>
        </is>
      </c>
      <c r="E3509" t="inlineStr">
        <is>
          <t>KRISTINEHAMN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57776-2020</t>
        </is>
      </c>
      <c r="B3510" s="1" t="n">
        <v>44141</v>
      </c>
      <c r="C3510" s="1" t="n">
        <v>45736</v>
      </c>
      <c r="D3510" t="inlineStr">
        <is>
          <t>VÄRMLANDS LÄN</t>
        </is>
      </c>
      <c r="E3510" t="inlineStr">
        <is>
          <t>KRISTINEHAMN</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57772-2020</t>
        </is>
      </c>
      <c r="B3511" s="1" t="n">
        <v>44141</v>
      </c>
      <c r="C3511" s="1" t="n">
        <v>45736</v>
      </c>
      <c r="D3511" t="inlineStr">
        <is>
          <t>VÄRMLANDS LÄN</t>
        </is>
      </c>
      <c r="E3511" t="inlineStr">
        <is>
          <t>KRISTINEHAMN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57778-2020</t>
        </is>
      </c>
      <c r="B3512" s="1" t="n">
        <v>44141</v>
      </c>
      <c r="C3512" s="1" t="n">
        <v>45736</v>
      </c>
      <c r="D3512" t="inlineStr">
        <is>
          <t>VÄRMLANDS LÄN</t>
        </is>
      </c>
      <c r="E3512" t="inlineStr">
        <is>
          <t>KRISTINEHAMN</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57782-2020</t>
        </is>
      </c>
      <c r="B3513" s="1" t="n">
        <v>44141</v>
      </c>
      <c r="C3513" s="1" t="n">
        <v>45736</v>
      </c>
      <c r="D3513" t="inlineStr">
        <is>
          <t>VÄRMLANDS LÄN</t>
        </is>
      </c>
      <c r="E3513" t="inlineStr">
        <is>
          <t>KRISTINEHAMN</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57896-2020</t>
        </is>
      </c>
      <c r="B3514" s="1" t="n">
        <v>44141</v>
      </c>
      <c r="C3514" s="1" t="n">
        <v>45736</v>
      </c>
      <c r="D3514" t="inlineStr">
        <is>
          <t>VÄRMLANDS LÄN</t>
        </is>
      </c>
      <c r="E3514" t="inlineStr">
        <is>
          <t>TORSBY</t>
        </is>
      </c>
      <c r="F3514" t="inlineStr">
        <is>
          <t>Bergvik skog väst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57980-2020</t>
        </is>
      </c>
      <c r="B3515" s="1" t="n">
        <v>44143</v>
      </c>
      <c r="C3515" s="1" t="n">
        <v>45736</v>
      </c>
      <c r="D3515" t="inlineStr">
        <is>
          <t>VÄRMLANDS LÄN</t>
        </is>
      </c>
      <c r="E3515" t="inlineStr">
        <is>
          <t>TORSBY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57998-2020</t>
        </is>
      </c>
      <c r="B3516" s="1" t="n">
        <v>44144</v>
      </c>
      <c r="C3516" s="1" t="n">
        <v>45736</v>
      </c>
      <c r="D3516" t="inlineStr">
        <is>
          <t>VÄRMLANDS LÄN</t>
        </is>
      </c>
      <c r="E3516" t="inlineStr">
        <is>
          <t>EDA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58193-2020</t>
        </is>
      </c>
      <c r="B3517" s="1" t="n">
        <v>44144</v>
      </c>
      <c r="C3517" s="1" t="n">
        <v>45736</v>
      </c>
      <c r="D3517" t="inlineStr">
        <is>
          <t>VÄRMLANDS LÄN</t>
        </is>
      </c>
      <c r="E3517" t="inlineStr">
        <is>
          <t>EDA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58201-2020</t>
        </is>
      </c>
      <c r="B3518" s="1" t="n">
        <v>44144</v>
      </c>
      <c r="C3518" s="1" t="n">
        <v>45736</v>
      </c>
      <c r="D3518" t="inlineStr">
        <is>
          <t>VÄRMLANDS LÄN</t>
        </is>
      </c>
      <c r="E3518" t="inlineStr">
        <is>
          <t>KRISTINEHAMN</t>
        </is>
      </c>
      <c r="F3518" t="inlineStr">
        <is>
          <t>Naturvårdsverket</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58078-2020</t>
        </is>
      </c>
      <c r="B3519" s="1" t="n">
        <v>44144</v>
      </c>
      <c r="C3519" s="1" t="n">
        <v>45736</v>
      </c>
      <c r="D3519" t="inlineStr">
        <is>
          <t>VÄRMLANDS LÄN</t>
        </is>
      </c>
      <c r="E3519" t="inlineStr">
        <is>
          <t>TORSBY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57994-2020</t>
        </is>
      </c>
      <c r="B3520" s="1" t="n">
        <v>44144</v>
      </c>
      <c r="C3520" s="1" t="n">
        <v>45736</v>
      </c>
      <c r="D3520" t="inlineStr">
        <is>
          <t>VÄRMLANDS LÄN</t>
        </is>
      </c>
      <c r="E3520" t="inlineStr">
        <is>
          <t>EDA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58223-2020</t>
        </is>
      </c>
      <c r="B3521" s="1" t="n">
        <v>44144</v>
      </c>
      <c r="C3521" s="1" t="n">
        <v>45736</v>
      </c>
      <c r="D3521" t="inlineStr">
        <is>
          <t>VÄRMLANDS LÄN</t>
        </is>
      </c>
      <c r="E3521" t="inlineStr">
        <is>
          <t>SUNNE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58481-2020</t>
        </is>
      </c>
      <c r="B3522" s="1" t="n">
        <v>44144</v>
      </c>
      <c r="C3522" s="1" t="n">
        <v>45736</v>
      </c>
      <c r="D3522" t="inlineStr">
        <is>
          <t>VÄRMLANDS LÄN</t>
        </is>
      </c>
      <c r="E3522" t="inlineStr">
        <is>
          <t>HAGFORS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58467-2020</t>
        </is>
      </c>
      <c r="B3523" s="1" t="n">
        <v>44144</v>
      </c>
      <c r="C3523" s="1" t="n">
        <v>45736</v>
      </c>
      <c r="D3523" t="inlineStr">
        <is>
          <t>VÄRMLANDS LÄN</t>
        </is>
      </c>
      <c r="E3523" t="inlineStr">
        <is>
          <t>SÄFFLE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58532-2020</t>
        </is>
      </c>
      <c r="B3524" s="1" t="n">
        <v>44145</v>
      </c>
      <c r="C3524" s="1" t="n">
        <v>45736</v>
      </c>
      <c r="D3524" t="inlineStr">
        <is>
          <t>VÄRMLANDS LÄN</t>
        </is>
      </c>
      <c r="E3524" t="inlineStr">
        <is>
          <t>FILIPSTAD</t>
        </is>
      </c>
      <c r="F3524" t="inlineStr">
        <is>
          <t>Bergvik skog väst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58599-2020</t>
        </is>
      </c>
      <c r="B3525" s="1" t="n">
        <v>44145</v>
      </c>
      <c r="C3525" s="1" t="n">
        <v>45736</v>
      </c>
      <c r="D3525" t="inlineStr">
        <is>
          <t>VÄRMLANDS LÄN</t>
        </is>
      </c>
      <c r="E3525" t="inlineStr">
        <is>
          <t>TORSBY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58340-2020</t>
        </is>
      </c>
      <c r="B3526" s="1" t="n">
        <v>44145</v>
      </c>
      <c r="C3526" s="1" t="n">
        <v>45736</v>
      </c>
      <c r="D3526" t="inlineStr">
        <is>
          <t>VÄRMLANDS LÄN</t>
        </is>
      </c>
      <c r="E3526" t="inlineStr">
        <is>
          <t>SÄFFLE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58548-2020</t>
        </is>
      </c>
      <c r="B3527" s="1" t="n">
        <v>44145</v>
      </c>
      <c r="C3527" s="1" t="n">
        <v>45736</v>
      </c>
      <c r="D3527" t="inlineStr">
        <is>
          <t>VÄRMLANDS LÄN</t>
        </is>
      </c>
      <c r="E3527" t="inlineStr">
        <is>
          <t>HAGFORS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58530-2020</t>
        </is>
      </c>
      <c r="B3528" s="1" t="n">
        <v>44145</v>
      </c>
      <c r="C3528" s="1" t="n">
        <v>45736</v>
      </c>
      <c r="D3528" t="inlineStr">
        <is>
          <t>VÄRMLANDS LÄN</t>
        </is>
      </c>
      <c r="E3528" t="inlineStr">
        <is>
          <t>STORFORS</t>
        </is>
      </c>
      <c r="F3528" t="inlineStr">
        <is>
          <t>Bergvik skog väst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58598-2020</t>
        </is>
      </c>
      <c r="B3529" s="1" t="n">
        <v>44145</v>
      </c>
      <c r="C3529" s="1" t="n">
        <v>45736</v>
      </c>
      <c r="D3529" t="inlineStr">
        <is>
          <t>VÄRMLANDS LÄN</t>
        </is>
      </c>
      <c r="E3529" t="inlineStr">
        <is>
          <t>SÄFFLE</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58574-2020</t>
        </is>
      </c>
      <c r="B3530" s="1" t="n">
        <v>44145</v>
      </c>
      <c r="C3530" s="1" t="n">
        <v>45736</v>
      </c>
      <c r="D3530" t="inlineStr">
        <is>
          <t>VÄRMLANDS LÄN</t>
        </is>
      </c>
      <c r="E3530" t="inlineStr">
        <is>
          <t>TORSBY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58629-2020</t>
        </is>
      </c>
      <c r="B3531" s="1" t="n">
        <v>44145</v>
      </c>
      <c r="C3531" s="1" t="n">
        <v>45736</v>
      </c>
      <c r="D3531" t="inlineStr">
        <is>
          <t>VÄRMLANDS LÄN</t>
        </is>
      </c>
      <c r="E3531" t="inlineStr">
        <is>
          <t>ÅRJÄNG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58643-2020</t>
        </is>
      </c>
      <c r="B3532" s="1" t="n">
        <v>44145</v>
      </c>
      <c r="C3532" s="1" t="n">
        <v>45736</v>
      </c>
      <c r="D3532" t="inlineStr">
        <is>
          <t>VÄRMLANDS LÄN</t>
        </is>
      </c>
      <c r="E3532" t="inlineStr">
        <is>
          <t>TORSBY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58680-2020</t>
        </is>
      </c>
      <c r="B3533" s="1" t="n">
        <v>44146</v>
      </c>
      <c r="C3533" s="1" t="n">
        <v>45736</v>
      </c>
      <c r="D3533" t="inlineStr">
        <is>
          <t>VÄRMLANDS LÄN</t>
        </is>
      </c>
      <c r="E3533" t="inlineStr">
        <is>
          <t>TORSBY</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58687-2020</t>
        </is>
      </c>
      <c r="B3534" s="1" t="n">
        <v>44146</v>
      </c>
      <c r="C3534" s="1" t="n">
        <v>45736</v>
      </c>
      <c r="D3534" t="inlineStr">
        <is>
          <t>VÄRMLANDS LÄN</t>
        </is>
      </c>
      <c r="E3534" t="inlineStr">
        <is>
          <t>ARVIKA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58691-2020</t>
        </is>
      </c>
      <c r="B3535" s="1" t="n">
        <v>44146</v>
      </c>
      <c r="C3535" s="1" t="n">
        <v>45736</v>
      </c>
      <c r="D3535" t="inlineStr">
        <is>
          <t>VÄRMLANDS LÄN</t>
        </is>
      </c>
      <c r="E3535" t="inlineStr">
        <is>
          <t>FORSHAGA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58695-2020</t>
        </is>
      </c>
      <c r="B3536" s="1" t="n">
        <v>44146</v>
      </c>
      <c r="C3536" s="1" t="n">
        <v>45736</v>
      </c>
      <c r="D3536" t="inlineStr">
        <is>
          <t>VÄRMLANDS LÄN</t>
        </is>
      </c>
      <c r="E3536" t="inlineStr">
        <is>
          <t>ARVIKA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58758-2020</t>
        </is>
      </c>
      <c r="B3537" s="1" t="n">
        <v>44146</v>
      </c>
      <c r="C3537" s="1" t="n">
        <v>45736</v>
      </c>
      <c r="D3537" t="inlineStr">
        <is>
          <t>VÄRMLANDS LÄN</t>
        </is>
      </c>
      <c r="E3537" t="inlineStr">
        <is>
          <t>SÄFFLE</t>
        </is>
      </c>
      <c r="F3537" t="inlineStr">
        <is>
          <t>Bergvik skog väst AB</t>
        </is>
      </c>
      <c r="G3537" t="n">
        <v>26.3</v>
      </c>
      <c r="H3537" t="n">
        <v>0</v>
      </c>
      <c r="I3537" t="n">
        <v>0</v>
      </c>
      <c r="J3537" t="n">
        <v>0</v>
      </c>
      <c r="K3537" t="n">
        <v>0</v>
      </c>
      <c r="L3537" t="n">
        <v>0</v>
      </c>
      <c r="M3537" t="n">
        <v>0</v>
      </c>
      <c r="N3537" t="n">
        <v>0</v>
      </c>
      <c r="O3537" t="n">
        <v>0</v>
      </c>
      <c r="P3537" t="n">
        <v>0</v>
      </c>
      <c r="Q3537" t="n">
        <v>0</v>
      </c>
      <c r="R3537" s="2" t="inlineStr"/>
    </row>
    <row r="3538" ht="15" customHeight="1">
      <c r="A3538" t="inlineStr">
        <is>
          <t>A 58843-2020</t>
        </is>
      </c>
      <c r="B3538" s="1" t="n">
        <v>44146</v>
      </c>
      <c r="C3538" s="1" t="n">
        <v>45736</v>
      </c>
      <c r="D3538" t="inlineStr">
        <is>
          <t>VÄRMLANDS LÄN</t>
        </is>
      </c>
      <c r="E3538" t="inlineStr">
        <is>
          <t>FILIPSTAD</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58713-2020</t>
        </is>
      </c>
      <c r="B3539" s="1" t="n">
        <v>44146</v>
      </c>
      <c r="C3539" s="1" t="n">
        <v>45736</v>
      </c>
      <c r="D3539" t="inlineStr">
        <is>
          <t>VÄRMLANDS LÄN</t>
        </is>
      </c>
      <c r="E3539" t="inlineStr">
        <is>
          <t>KARLSTAD</t>
        </is>
      </c>
      <c r="F3539" t="inlineStr">
        <is>
          <t>Kommuner</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58877-2020</t>
        </is>
      </c>
      <c r="B3540" s="1" t="n">
        <v>44146</v>
      </c>
      <c r="C3540" s="1" t="n">
        <v>45736</v>
      </c>
      <c r="D3540" t="inlineStr">
        <is>
          <t>VÄRMLANDS LÄN</t>
        </is>
      </c>
      <c r="E3540" t="inlineStr">
        <is>
          <t>TORSBY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58930-2020</t>
        </is>
      </c>
      <c r="B3541" s="1" t="n">
        <v>44146</v>
      </c>
      <c r="C3541" s="1" t="n">
        <v>45736</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59225-2020</t>
        </is>
      </c>
      <c r="B3542" s="1" t="n">
        <v>44147</v>
      </c>
      <c r="C3542" s="1" t="n">
        <v>45736</v>
      </c>
      <c r="D3542" t="inlineStr">
        <is>
          <t>VÄRMLANDS LÄN</t>
        </is>
      </c>
      <c r="E3542" t="inlineStr">
        <is>
          <t>FORSHAGA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59147-2020</t>
        </is>
      </c>
      <c r="B3543" s="1" t="n">
        <v>44147</v>
      </c>
      <c r="C3543" s="1" t="n">
        <v>45736</v>
      </c>
      <c r="D3543" t="inlineStr">
        <is>
          <t>VÄRMLANDS LÄN</t>
        </is>
      </c>
      <c r="E3543" t="inlineStr">
        <is>
          <t>KIL</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59342-2020</t>
        </is>
      </c>
      <c r="B3544" s="1" t="n">
        <v>44148</v>
      </c>
      <c r="C3544" s="1" t="n">
        <v>45736</v>
      </c>
      <c r="D3544" t="inlineStr">
        <is>
          <t>VÄRMLANDS LÄN</t>
        </is>
      </c>
      <c r="E3544" t="inlineStr">
        <is>
          <t>EDA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59392-2020</t>
        </is>
      </c>
      <c r="B3545" s="1" t="n">
        <v>44148</v>
      </c>
      <c r="C3545" s="1" t="n">
        <v>45736</v>
      </c>
      <c r="D3545" t="inlineStr">
        <is>
          <t>VÄRMLANDS LÄN</t>
        </is>
      </c>
      <c r="E3545" t="inlineStr">
        <is>
          <t>MUNKFORS</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59343-2020</t>
        </is>
      </c>
      <c r="B3546" s="1" t="n">
        <v>44148</v>
      </c>
      <c r="C3546" s="1" t="n">
        <v>45736</v>
      </c>
      <c r="D3546" t="inlineStr">
        <is>
          <t>VÄRMLANDS LÄN</t>
        </is>
      </c>
      <c r="E3546" t="inlineStr">
        <is>
          <t>EDA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59376-2020</t>
        </is>
      </c>
      <c r="B3547" s="1" t="n">
        <v>44148</v>
      </c>
      <c r="C3547" s="1" t="n">
        <v>45736</v>
      </c>
      <c r="D3547" t="inlineStr">
        <is>
          <t>VÄRMLANDS LÄN</t>
        </is>
      </c>
      <c r="E3547" t="inlineStr">
        <is>
          <t>EDA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59368-2020</t>
        </is>
      </c>
      <c r="B3548" s="1" t="n">
        <v>44148</v>
      </c>
      <c r="C3548" s="1" t="n">
        <v>45736</v>
      </c>
      <c r="D3548" t="inlineStr">
        <is>
          <t>VÄRMLANDS LÄN</t>
        </is>
      </c>
      <c r="E3548" t="inlineStr">
        <is>
          <t>EDA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59344-2020</t>
        </is>
      </c>
      <c r="B3549" s="1" t="n">
        <v>44148</v>
      </c>
      <c r="C3549" s="1" t="n">
        <v>45736</v>
      </c>
      <c r="D3549" t="inlineStr">
        <is>
          <t>VÄRMLANDS LÄN</t>
        </is>
      </c>
      <c r="E3549" t="inlineStr">
        <is>
          <t>EDA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59535-2020</t>
        </is>
      </c>
      <c r="B3550" s="1" t="n">
        <v>44148</v>
      </c>
      <c r="C3550" s="1" t="n">
        <v>45736</v>
      </c>
      <c r="D3550" t="inlineStr">
        <is>
          <t>VÄRMLANDS LÄN</t>
        </is>
      </c>
      <c r="E3550" t="inlineStr">
        <is>
          <t>SÄFFLE</t>
        </is>
      </c>
      <c r="F3550" t="inlineStr">
        <is>
          <t>Bergvik skog väst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59394-2020</t>
        </is>
      </c>
      <c r="B3551" s="1" t="n">
        <v>44148</v>
      </c>
      <c r="C3551" s="1" t="n">
        <v>45736</v>
      </c>
      <c r="D3551" t="inlineStr">
        <is>
          <t>VÄRMLANDS LÄN</t>
        </is>
      </c>
      <c r="E3551" t="inlineStr">
        <is>
          <t>SÄFFLE</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59506-2020</t>
        </is>
      </c>
      <c r="B3552" s="1" t="n">
        <v>44148</v>
      </c>
      <c r="C3552" s="1" t="n">
        <v>45736</v>
      </c>
      <c r="D3552" t="inlineStr">
        <is>
          <t>VÄRMLANDS LÄN</t>
        </is>
      </c>
      <c r="E3552" t="inlineStr">
        <is>
          <t>GRUMS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59620-2020</t>
        </is>
      </c>
      <c r="B3553" s="1" t="n">
        <v>44150</v>
      </c>
      <c r="C3553" s="1" t="n">
        <v>45736</v>
      </c>
      <c r="D3553" t="inlineStr">
        <is>
          <t>VÄRMLANDS LÄN</t>
        </is>
      </c>
      <c r="E3553" t="inlineStr">
        <is>
          <t>FORSHAGA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59643-2020</t>
        </is>
      </c>
      <c r="B3554" s="1" t="n">
        <v>44150</v>
      </c>
      <c r="C3554" s="1" t="n">
        <v>45736</v>
      </c>
      <c r="D3554" t="inlineStr">
        <is>
          <t>VÄRMLANDS LÄN</t>
        </is>
      </c>
      <c r="E3554" t="inlineStr">
        <is>
          <t>SUNNE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59645-2020</t>
        </is>
      </c>
      <c r="B3555" s="1" t="n">
        <v>44150</v>
      </c>
      <c r="C3555" s="1" t="n">
        <v>45736</v>
      </c>
      <c r="D3555" t="inlineStr">
        <is>
          <t>VÄRMLANDS LÄN</t>
        </is>
      </c>
      <c r="E3555" t="inlineStr">
        <is>
          <t>SUNNE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59653-2020</t>
        </is>
      </c>
      <c r="B3556" s="1" t="n">
        <v>44151</v>
      </c>
      <c r="C3556" s="1" t="n">
        <v>45736</v>
      </c>
      <c r="D3556" t="inlineStr">
        <is>
          <t>VÄRMLANDS LÄN</t>
        </is>
      </c>
      <c r="E3556" t="inlineStr">
        <is>
          <t>EDA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59703-2020</t>
        </is>
      </c>
      <c r="B3557" s="1" t="n">
        <v>44151</v>
      </c>
      <c r="C3557" s="1" t="n">
        <v>45736</v>
      </c>
      <c r="D3557" t="inlineStr">
        <is>
          <t>VÄRMLANDS LÄN</t>
        </is>
      </c>
      <c r="E3557" t="inlineStr">
        <is>
          <t>KARLSTAD</t>
        </is>
      </c>
      <c r="F3557" t="inlineStr">
        <is>
          <t>Bergvik skog väst AB</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59751-2020</t>
        </is>
      </c>
      <c r="B3558" s="1" t="n">
        <v>44151</v>
      </c>
      <c r="C3558" s="1" t="n">
        <v>45736</v>
      </c>
      <c r="D3558" t="inlineStr">
        <is>
          <t>VÄRMLANDS LÄN</t>
        </is>
      </c>
      <c r="E3558" t="inlineStr">
        <is>
          <t>SUNNE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59763-2020</t>
        </is>
      </c>
      <c r="B3559" s="1" t="n">
        <v>44151</v>
      </c>
      <c r="C3559" s="1" t="n">
        <v>45736</v>
      </c>
      <c r="D3559" t="inlineStr">
        <is>
          <t>VÄRMLANDS LÄN</t>
        </is>
      </c>
      <c r="E3559" t="inlineStr">
        <is>
          <t>SUNNE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59800-2020</t>
        </is>
      </c>
      <c r="B3560" s="1" t="n">
        <v>44151</v>
      </c>
      <c r="C3560" s="1" t="n">
        <v>45736</v>
      </c>
      <c r="D3560" t="inlineStr">
        <is>
          <t>VÄRMLANDS LÄN</t>
        </is>
      </c>
      <c r="E3560" t="inlineStr">
        <is>
          <t>TORSBY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59823-2020</t>
        </is>
      </c>
      <c r="B3561" s="1" t="n">
        <v>44151</v>
      </c>
      <c r="C3561" s="1" t="n">
        <v>45736</v>
      </c>
      <c r="D3561" t="inlineStr">
        <is>
          <t>VÄRMLANDS LÄN</t>
        </is>
      </c>
      <c r="E3561" t="inlineStr">
        <is>
          <t>ARVIKA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59756-2020</t>
        </is>
      </c>
      <c r="B3562" s="1" t="n">
        <v>44151</v>
      </c>
      <c r="C3562" s="1" t="n">
        <v>45736</v>
      </c>
      <c r="D3562" t="inlineStr">
        <is>
          <t>VÄRMLANDS LÄN</t>
        </is>
      </c>
      <c r="E3562" t="inlineStr">
        <is>
          <t>SUNNE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59779-2020</t>
        </is>
      </c>
      <c r="B3563" s="1" t="n">
        <v>44151</v>
      </c>
      <c r="C3563" s="1" t="n">
        <v>45736</v>
      </c>
      <c r="D3563" t="inlineStr">
        <is>
          <t>VÄRMLANDS LÄN</t>
        </is>
      </c>
      <c r="E3563" t="inlineStr">
        <is>
          <t>ARVIKA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59795-2020</t>
        </is>
      </c>
      <c r="B3564" s="1" t="n">
        <v>44151</v>
      </c>
      <c r="C3564" s="1" t="n">
        <v>45736</v>
      </c>
      <c r="D3564" t="inlineStr">
        <is>
          <t>VÄRMLANDS LÄN</t>
        </is>
      </c>
      <c r="E3564" t="inlineStr">
        <is>
          <t>ARVIKA</t>
        </is>
      </c>
      <c r="F3564" t="inlineStr">
        <is>
          <t>Bergvik skog väst AB</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59808-2020</t>
        </is>
      </c>
      <c r="B3565" s="1" t="n">
        <v>44151</v>
      </c>
      <c r="C3565" s="1" t="n">
        <v>45736</v>
      </c>
      <c r="D3565" t="inlineStr">
        <is>
          <t>VÄRMLANDS LÄN</t>
        </is>
      </c>
      <c r="E3565" t="inlineStr">
        <is>
          <t>SUNNE</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59820-2020</t>
        </is>
      </c>
      <c r="B3566" s="1" t="n">
        <v>44151</v>
      </c>
      <c r="C3566" s="1" t="n">
        <v>45736</v>
      </c>
      <c r="D3566" t="inlineStr">
        <is>
          <t>VÄRMLANDS LÄN</t>
        </is>
      </c>
      <c r="E3566" t="inlineStr">
        <is>
          <t>ARVIKA</t>
        </is>
      </c>
      <c r="G3566" t="n">
        <v>21.2</v>
      </c>
      <c r="H3566" t="n">
        <v>0</v>
      </c>
      <c r="I3566" t="n">
        <v>0</v>
      </c>
      <c r="J3566" t="n">
        <v>0</v>
      </c>
      <c r="K3566" t="n">
        <v>0</v>
      </c>
      <c r="L3566" t="n">
        <v>0</v>
      </c>
      <c r="M3566" t="n">
        <v>0</v>
      </c>
      <c r="N3566" t="n">
        <v>0</v>
      </c>
      <c r="O3566" t="n">
        <v>0</v>
      </c>
      <c r="P3566" t="n">
        <v>0</v>
      </c>
      <c r="Q3566" t="n">
        <v>0</v>
      </c>
      <c r="R3566" s="2" t="inlineStr"/>
    </row>
    <row r="3567" ht="15" customHeight="1">
      <c r="A3567" t="inlineStr">
        <is>
          <t>A 59849-2020</t>
        </is>
      </c>
      <c r="B3567" s="1" t="n">
        <v>44151</v>
      </c>
      <c r="C3567" s="1" t="n">
        <v>45736</v>
      </c>
      <c r="D3567" t="inlineStr">
        <is>
          <t>VÄRMLANDS LÄN</t>
        </is>
      </c>
      <c r="E3567" t="inlineStr">
        <is>
          <t>FILIPSTAD</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59656-2020</t>
        </is>
      </c>
      <c r="B3568" s="1" t="n">
        <v>44151</v>
      </c>
      <c r="C3568" s="1" t="n">
        <v>45736</v>
      </c>
      <c r="D3568" t="inlineStr">
        <is>
          <t>VÄRMLANDS LÄN</t>
        </is>
      </c>
      <c r="E3568" t="inlineStr">
        <is>
          <t>ÅRJÄNG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59776-2020</t>
        </is>
      </c>
      <c r="B3569" s="1" t="n">
        <v>44151</v>
      </c>
      <c r="C3569" s="1" t="n">
        <v>45736</v>
      </c>
      <c r="D3569" t="inlineStr">
        <is>
          <t>VÄRMLANDS LÄN</t>
        </is>
      </c>
      <c r="E3569" t="inlineStr">
        <is>
          <t>SUNNE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59814-2020</t>
        </is>
      </c>
      <c r="B3570" s="1" t="n">
        <v>44151</v>
      </c>
      <c r="C3570" s="1" t="n">
        <v>45736</v>
      </c>
      <c r="D3570" t="inlineStr">
        <is>
          <t>VÄRMLANDS LÄN</t>
        </is>
      </c>
      <c r="E3570" t="inlineStr">
        <is>
          <t>ARVIKA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59824-2020</t>
        </is>
      </c>
      <c r="B3571" s="1" t="n">
        <v>44151</v>
      </c>
      <c r="C3571" s="1" t="n">
        <v>45736</v>
      </c>
      <c r="D3571" t="inlineStr">
        <is>
          <t>VÄRMLANDS LÄN</t>
        </is>
      </c>
      <c r="E3571" t="inlineStr">
        <is>
          <t>ARVIKA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59784-2020</t>
        </is>
      </c>
      <c r="B3572" s="1" t="n">
        <v>44151</v>
      </c>
      <c r="C3572" s="1" t="n">
        <v>45736</v>
      </c>
      <c r="D3572" t="inlineStr">
        <is>
          <t>VÄRMLANDS LÄN</t>
        </is>
      </c>
      <c r="E3572" t="inlineStr">
        <is>
          <t>ARVIKA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59821-2020</t>
        </is>
      </c>
      <c r="B3573" s="1" t="n">
        <v>44151</v>
      </c>
      <c r="C3573" s="1" t="n">
        <v>45736</v>
      </c>
      <c r="D3573" t="inlineStr">
        <is>
          <t>VÄRMLANDS LÄN</t>
        </is>
      </c>
      <c r="E3573" t="inlineStr">
        <is>
          <t>ARVIKA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59832-2020</t>
        </is>
      </c>
      <c r="B3574" s="1" t="n">
        <v>44151</v>
      </c>
      <c r="C3574" s="1" t="n">
        <v>45736</v>
      </c>
      <c r="D3574" t="inlineStr">
        <is>
          <t>VÄRMLANDS LÄN</t>
        </is>
      </c>
      <c r="E3574" t="inlineStr">
        <is>
          <t>SUNNE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59854-2020</t>
        </is>
      </c>
      <c r="B3575" s="1" t="n">
        <v>44151</v>
      </c>
      <c r="C3575" s="1" t="n">
        <v>45736</v>
      </c>
      <c r="D3575" t="inlineStr">
        <is>
          <t>VÄRMLANDS LÄN</t>
        </is>
      </c>
      <c r="E3575" t="inlineStr">
        <is>
          <t>FILIPSTAD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60277-2020</t>
        </is>
      </c>
      <c r="B3576" s="1" t="n">
        <v>44151</v>
      </c>
      <c r="C3576" s="1" t="n">
        <v>45736</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60275-2020</t>
        </is>
      </c>
      <c r="B3577" s="1" t="n">
        <v>44151</v>
      </c>
      <c r="C3577" s="1" t="n">
        <v>45736</v>
      </c>
      <c r="D3577" t="inlineStr">
        <is>
          <t>VÄRMLANDS LÄN</t>
        </is>
      </c>
      <c r="E3577" t="inlineStr">
        <is>
          <t>ARVIKA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60167-2020</t>
        </is>
      </c>
      <c r="B3578" s="1" t="n">
        <v>44152</v>
      </c>
      <c r="C3578" s="1" t="n">
        <v>45736</v>
      </c>
      <c r="D3578" t="inlineStr">
        <is>
          <t>VÄRMLANDS LÄN</t>
        </is>
      </c>
      <c r="E3578" t="inlineStr">
        <is>
          <t>TORSBY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60082-2020</t>
        </is>
      </c>
      <c r="B3579" s="1" t="n">
        <v>44152</v>
      </c>
      <c r="C3579" s="1" t="n">
        <v>45736</v>
      </c>
      <c r="D3579" t="inlineStr">
        <is>
          <t>VÄRMLANDS LÄN</t>
        </is>
      </c>
      <c r="E3579" t="inlineStr">
        <is>
          <t>KARLSTAD</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60912-2020</t>
        </is>
      </c>
      <c r="B3580" s="1" t="n">
        <v>44152</v>
      </c>
      <c r="C3580" s="1" t="n">
        <v>45736</v>
      </c>
      <c r="D3580" t="inlineStr">
        <is>
          <t>VÄRMLANDS LÄN</t>
        </is>
      </c>
      <c r="E3580" t="inlineStr">
        <is>
          <t>FILIPSTAD</t>
        </is>
      </c>
      <c r="G3580" t="n">
        <v>12.6</v>
      </c>
      <c r="H3580" t="n">
        <v>0</v>
      </c>
      <c r="I3580" t="n">
        <v>0</v>
      </c>
      <c r="J3580" t="n">
        <v>0</v>
      </c>
      <c r="K3580" t="n">
        <v>0</v>
      </c>
      <c r="L3580" t="n">
        <v>0</v>
      </c>
      <c r="M3580" t="n">
        <v>0</v>
      </c>
      <c r="N3580" t="n">
        <v>0</v>
      </c>
      <c r="O3580" t="n">
        <v>0</v>
      </c>
      <c r="P3580" t="n">
        <v>0</v>
      </c>
      <c r="Q3580" t="n">
        <v>0</v>
      </c>
      <c r="R3580" s="2" t="inlineStr"/>
    </row>
    <row r="3581" ht="15" customHeight="1">
      <c r="A3581" t="inlineStr">
        <is>
          <t>A 60289-2020</t>
        </is>
      </c>
      <c r="B3581" s="1" t="n">
        <v>44152</v>
      </c>
      <c r="C3581" s="1" t="n">
        <v>45736</v>
      </c>
      <c r="D3581" t="inlineStr">
        <is>
          <t>VÄRMLANDS LÄN</t>
        </is>
      </c>
      <c r="E3581" t="inlineStr">
        <is>
          <t>FILIPSTAD</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60453-2020</t>
        </is>
      </c>
      <c r="B3582" s="1" t="n">
        <v>44153</v>
      </c>
      <c r="C3582" s="1" t="n">
        <v>45736</v>
      </c>
      <c r="D3582" t="inlineStr">
        <is>
          <t>VÄRMLANDS LÄN</t>
        </is>
      </c>
      <c r="E3582" t="inlineStr">
        <is>
          <t>SUNNE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60533-2020</t>
        </is>
      </c>
      <c r="B3583" s="1" t="n">
        <v>44153</v>
      </c>
      <c r="C3583" s="1" t="n">
        <v>45736</v>
      </c>
      <c r="D3583" t="inlineStr">
        <is>
          <t>VÄRMLANDS LÄN</t>
        </is>
      </c>
      <c r="E3583" t="inlineStr">
        <is>
          <t>TORSBY</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60475-2020</t>
        </is>
      </c>
      <c r="B3584" s="1" t="n">
        <v>44153</v>
      </c>
      <c r="C3584" s="1" t="n">
        <v>45736</v>
      </c>
      <c r="D3584" t="inlineStr">
        <is>
          <t>VÄRMLANDS LÄN</t>
        </is>
      </c>
      <c r="E3584" t="inlineStr">
        <is>
          <t>SUNNE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60587-2020</t>
        </is>
      </c>
      <c r="B3585" s="1" t="n">
        <v>44153</v>
      </c>
      <c r="C3585" s="1" t="n">
        <v>45736</v>
      </c>
      <c r="D3585" t="inlineStr">
        <is>
          <t>VÄRMLANDS LÄN</t>
        </is>
      </c>
      <c r="E3585" t="inlineStr">
        <is>
          <t>KARLSTAD</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60732-2020</t>
        </is>
      </c>
      <c r="B3586" s="1" t="n">
        <v>44153</v>
      </c>
      <c r="C3586" s="1" t="n">
        <v>45736</v>
      </c>
      <c r="D3586" t="inlineStr">
        <is>
          <t>VÄRMLANDS LÄN</t>
        </is>
      </c>
      <c r="E3586" t="inlineStr">
        <is>
          <t>ÅRJÄNG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60719-2020</t>
        </is>
      </c>
      <c r="B3587" s="1" t="n">
        <v>44153</v>
      </c>
      <c r="C3587" s="1" t="n">
        <v>45736</v>
      </c>
      <c r="D3587" t="inlineStr">
        <is>
          <t>VÄRMLANDS LÄN</t>
        </is>
      </c>
      <c r="E3587" t="inlineStr">
        <is>
          <t>TORSBY</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60740-2020</t>
        </is>
      </c>
      <c r="B3588" s="1" t="n">
        <v>44153</v>
      </c>
      <c r="C3588" s="1" t="n">
        <v>45736</v>
      </c>
      <c r="D3588" t="inlineStr">
        <is>
          <t>VÄRMLANDS LÄN</t>
        </is>
      </c>
      <c r="E3588" t="inlineStr">
        <is>
          <t>FILIPSTAD</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60823-2020</t>
        </is>
      </c>
      <c r="B3589" s="1" t="n">
        <v>44153</v>
      </c>
      <c r="C3589" s="1" t="n">
        <v>45736</v>
      </c>
      <c r="D3589" t="inlineStr">
        <is>
          <t>VÄRMLANDS LÄN</t>
        </is>
      </c>
      <c r="E3589" t="inlineStr">
        <is>
          <t>TORSBY</t>
        </is>
      </c>
      <c r="F3589" t="inlineStr">
        <is>
          <t>Kyrkan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60615-2020</t>
        </is>
      </c>
      <c r="B3590" s="1" t="n">
        <v>44153</v>
      </c>
      <c r="C3590" s="1" t="n">
        <v>45736</v>
      </c>
      <c r="D3590" t="inlineStr">
        <is>
          <t>VÄRMLANDS LÄN</t>
        </is>
      </c>
      <c r="E3590" t="inlineStr">
        <is>
          <t>HAGFORS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60941-2020</t>
        </is>
      </c>
      <c r="B3591" s="1" t="n">
        <v>44154</v>
      </c>
      <c r="C3591" s="1" t="n">
        <v>45736</v>
      </c>
      <c r="D3591" t="inlineStr">
        <is>
          <t>VÄRMLANDS LÄN</t>
        </is>
      </c>
      <c r="E3591" t="inlineStr">
        <is>
          <t>TORSBY</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60955-2020</t>
        </is>
      </c>
      <c r="B3592" s="1" t="n">
        <v>44154</v>
      </c>
      <c r="C3592" s="1" t="n">
        <v>45736</v>
      </c>
      <c r="D3592" t="inlineStr">
        <is>
          <t>VÄRMLANDS LÄN</t>
        </is>
      </c>
      <c r="E3592" t="inlineStr">
        <is>
          <t>ARVIKA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60784-2020</t>
        </is>
      </c>
      <c r="B3593" s="1" t="n">
        <v>44154</v>
      </c>
      <c r="C3593" s="1" t="n">
        <v>45736</v>
      </c>
      <c r="D3593" t="inlineStr">
        <is>
          <t>VÄRMLANDS LÄN</t>
        </is>
      </c>
      <c r="E3593" t="inlineStr">
        <is>
          <t>ARVIKA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61009-2020</t>
        </is>
      </c>
      <c r="B3594" s="1" t="n">
        <v>44154</v>
      </c>
      <c r="C3594" s="1" t="n">
        <v>45736</v>
      </c>
      <c r="D3594" t="inlineStr">
        <is>
          <t>VÄRMLANDS LÄN</t>
        </is>
      </c>
      <c r="E3594" t="inlineStr">
        <is>
          <t>TORSBY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61032-2020</t>
        </is>
      </c>
      <c r="B3595" s="1" t="n">
        <v>44154</v>
      </c>
      <c r="C3595" s="1" t="n">
        <v>45736</v>
      </c>
      <c r="D3595" t="inlineStr">
        <is>
          <t>VÄRMLANDS LÄN</t>
        </is>
      </c>
      <c r="E3595" t="inlineStr">
        <is>
          <t>SÄFFLE</t>
        </is>
      </c>
      <c r="F3595" t="inlineStr">
        <is>
          <t>Bergvik skog väst AB</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61594-2020</t>
        </is>
      </c>
      <c r="B3596" s="1" t="n">
        <v>44154</v>
      </c>
      <c r="C3596" s="1" t="n">
        <v>45736</v>
      </c>
      <c r="D3596" t="inlineStr">
        <is>
          <t>VÄRMLANDS LÄN</t>
        </is>
      </c>
      <c r="E3596" t="inlineStr">
        <is>
          <t>TORSBY</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61868-2020</t>
        </is>
      </c>
      <c r="B3597" s="1" t="n">
        <v>44155</v>
      </c>
      <c r="C3597" s="1" t="n">
        <v>45736</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61273-2020</t>
        </is>
      </c>
      <c r="B3598" s="1" t="n">
        <v>44155</v>
      </c>
      <c r="C3598" s="1" t="n">
        <v>45736</v>
      </c>
      <c r="D3598" t="inlineStr">
        <is>
          <t>VÄRMLANDS LÄN</t>
        </is>
      </c>
      <c r="E3598" t="inlineStr">
        <is>
          <t>SÄFFLE</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61383-2020</t>
        </is>
      </c>
      <c r="B3599" s="1" t="n">
        <v>44155</v>
      </c>
      <c r="C3599" s="1" t="n">
        <v>45736</v>
      </c>
      <c r="D3599" t="inlineStr">
        <is>
          <t>VÄRMLANDS LÄN</t>
        </is>
      </c>
      <c r="E3599" t="inlineStr">
        <is>
          <t>GRUMS</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61280-2020</t>
        </is>
      </c>
      <c r="B3600" s="1" t="n">
        <v>44155</v>
      </c>
      <c r="C3600" s="1" t="n">
        <v>45736</v>
      </c>
      <c r="D3600" t="inlineStr">
        <is>
          <t>VÄRMLANDS LÄN</t>
        </is>
      </c>
      <c r="E3600" t="inlineStr">
        <is>
          <t>ARVIKA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61970-2020</t>
        </is>
      </c>
      <c r="B3601" s="1" t="n">
        <v>44155</v>
      </c>
      <c r="C3601" s="1" t="n">
        <v>45736</v>
      </c>
      <c r="D3601" t="inlineStr">
        <is>
          <t>VÄRMLANDS LÄN</t>
        </is>
      </c>
      <c r="E3601" t="inlineStr">
        <is>
          <t>TORSBY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61407-2020</t>
        </is>
      </c>
      <c r="B3602" s="1" t="n">
        <v>44156</v>
      </c>
      <c r="C3602" s="1" t="n">
        <v>45736</v>
      </c>
      <c r="D3602" t="inlineStr">
        <is>
          <t>VÄRMLANDS LÄN</t>
        </is>
      </c>
      <c r="E3602" t="inlineStr">
        <is>
          <t>SUNNE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61410-2020</t>
        </is>
      </c>
      <c r="B3603" s="1" t="n">
        <v>44156</v>
      </c>
      <c r="C3603" s="1" t="n">
        <v>45736</v>
      </c>
      <c r="D3603" t="inlineStr">
        <is>
          <t>VÄRMLANDS LÄN</t>
        </is>
      </c>
      <c r="E3603" t="inlineStr">
        <is>
          <t>KRISTINEHAMN</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61409-2020</t>
        </is>
      </c>
      <c r="B3604" s="1" t="n">
        <v>44156</v>
      </c>
      <c r="C3604" s="1" t="n">
        <v>45736</v>
      </c>
      <c r="D3604" t="inlineStr">
        <is>
          <t>VÄRMLANDS LÄN</t>
        </is>
      </c>
      <c r="E3604" t="inlineStr">
        <is>
          <t>KRISTINEHAMN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61734-2020</t>
        </is>
      </c>
      <c r="B3605" s="1" t="n">
        <v>44158</v>
      </c>
      <c r="C3605" s="1" t="n">
        <v>45736</v>
      </c>
      <c r="D3605" t="inlineStr">
        <is>
          <t>VÄRMLANDS LÄN</t>
        </is>
      </c>
      <c r="E3605" t="inlineStr">
        <is>
          <t>ARVIKA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61542-2020</t>
        </is>
      </c>
      <c r="B3606" s="1" t="n">
        <v>44158</v>
      </c>
      <c r="C3606" s="1" t="n">
        <v>45736</v>
      </c>
      <c r="D3606" t="inlineStr">
        <is>
          <t>VÄRMLANDS LÄN</t>
        </is>
      </c>
      <c r="E3606" t="inlineStr">
        <is>
          <t>SUNNE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61597-2020</t>
        </is>
      </c>
      <c r="B3607" s="1" t="n">
        <v>44158</v>
      </c>
      <c r="C3607" s="1" t="n">
        <v>45736</v>
      </c>
      <c r="D3607" t="inlineStr">
        <is>
          <t>VÄRMLANDS LÄN</t>
        </is>
      </c>
      <c r="E3607" t="inlineStr">
        <is>
          <t>SUNNE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61687-2020</t>
        </is>
      </c>
      <c r="B3608" s="1" t="n">
        <v>44158</v>
      </c>
      <c r="C3608" s="1" t="n">
        <v>45736</v>
      </c>
      <c r="D3608" t="inlineStr">
        <is>
          <t>VÄRMLANDS LÄN</t>
        </is>
      </c>
      <c r="E3608" t="inlineStr">
        <is>
          <t>KARLSTAD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61738-2020</t>
        </is>
      </c>
      <c r="B3609" s="1" t="n">
        <v>44158</v>
      </c>
      <c r="C3609" s="1" t="n">
        <v>45736</v>
      </c>
      <c r="D3609" t="inlineStr">
        <is>
          <t>VÄRMLANDS LÄN</t>
        </is>
      </c>
      <c r="E3609" t="inlineStr">
        <is>
          <t>TORSBY</t>
        </is>
      </c>
      <c r="F3609" t="inlineStr">
        <is>
          <t>Kommuner</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61753-2020</t>
        </is>
      </c>
      <c r="B3610" s="1" t="n">
        <v>44158</v>
      </c>
      <c r="C3610" s="1" t="n">
        <v>45736</v>
      </c>
      <c r="D3610" t="inlineStr">
        <is>
          <t>VÄRMLANDS LÄN</t>
        </is>
      </c>
      <c r="E3610" t="inlineStr">
        <is>
          <t>TORSBY</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61777-2020</t>
        </is>
      </c>
      <c r="B3611" s="1" t="n">
        <v>44158</v>
      </c>
      <c r="C3611" s="1" t="n">
        <v>45736</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62130-2020</t>
        </is>
      </c>
      <c r="B3612" s="1" t="n">
        <v>44158</v>
      </c>
      <c r="C3612" s="1" t="n">
        <v>45736</v>
      </c>
      <c r="D3612" t="inlineStr">
        <is>
          <t>VÄRMLANDS LÄN</t>
        </is>
      </c>
      <c r="E3612" t="inlineStr">
        <is>
          <t>KARLSTAD</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61998-2020</t>
        </is>
      </c>
      <c r="B3613" s="1" t="n">
        <v>44158</v>
      </c>
      <c r="C3613" s="1" t="n">
        <v>45736</v>
      </c>
      <c r="D3613" t="inlineStr">
        <is>
          <t>VÄRMLANDS LÄN</t>
        </is>
      </c>
      <c r="E3613" t="inlineStr">
        <is>
          <t>TORSBY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62074-2020</t>
        </is>
      </c>
      <c r="B3614" s="1" t="n">
        <v>44159</v>
      </c>
      <c r="C3614" s="1" t="n">
        <v>45736</v>
      </c>
      <c r="D3614" t="inlineStr">
        <is>
          <t>VÄRMLANDS LÄN</t>
        </is>
      </c>
      <c r="E3614" t="inlineStr">
        <is>
          <t>KARLSTAD</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61910-2020</t>
        </is>
      </c>
      <c r="B3615" s="1" t="n">
        <v>44159</v>
      </c>
      <c r="C3615" s="1" t="n">
        <v>45736</v>
      </c>
      <c r="D3615" t="inlineStr">
        <is>
          <t>VÄRMLANDS LÄN</t>
        </is>
      </c>
      <c r="E3615" t="inlineStr">
        <is>
          <t>TORSBY</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61956-2020</t>
        </is>
      </c>
      <c r="B3616" s="1" t="n">
        <v>44159</v>
      </c>
      <c r="C3616" s="1" t="n">
        <v>45736</v>
      </c>
      <c r="D3616" t="inlineStr">
        <is>
          <t>VÄRMLANDS LÄN</t>
        </is>
      </c>
      <c r="E3616" t="inlineStr">
        <is>
          <t>TORSBY</t>
        </is>
      </c>
      <c r="F3616" t="inlineStr">
        <is>
          <t>Kommuner</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62149-2020</t>
        </is>
      </c>
      <c r="B3617" s="1" t="n">
        <v>44159</v>
      </c>
      <c r="C3617" s="1" t="n">
        <v>45736</v>
      </c>
      <c r="D3617" t="inlineStr">
        <is>
          <t>VÄRMLANDS LÄN</t>
        </is>
      </c>
      <c r="E3617" t="inlineStr">
        <is>
          <t>ARVIKA</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62165-2020</t>
        </is>
      </c>
      <c r="B3618" s="1" t="n">
        <v>44159</v>
      </c>
      <c r="C3618" s="1" t="n">
        <v>45736</v>
      </c>
      <c r="D3618" t="inlineStr">
        <is>
          <t>VÄRMLANDS LÄN</t>
        </is>
      </c>
      <c r="E3618" t="inlineStr">
        <is>
          <t>KRISTINEHAMN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62209-2020</t>
        </is>
      </c>
      <c r="B3619" s="1" t="n">
        <v>44159</v>
      </c>
      <c r="C3619" s="1" t="n">
        <v>45736</v>
      </c>
      <c r="D3619" t="inlineStr">
        <is>
          <t>VÄRMLANDS LÄN</t>
        </is>
      </c>
      <c r="E3619" t="inlineStr">
        <is>
          <t>TORSBY</t>
        </is>
      </c>
      <c r="F3619" t="inlineStr">
        <is>
          <t>Kommuner</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62156-2020</t>
        </is>
      </c>
      <c r="B3620" s="1" t="n">
        <v>44159</v>
      </c>
      <c r="C3620" s="1" t="n">
        <v>45736</v>
      </c>
      <c r="D3620" t="inlineStr">
        <is>
          <t>VÄRMLANDS LÄN</t>
        </is>
      </c>
      <c r="E3620" t="inlineStr">
        <is>
          <t>KRISTINEHAMN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62167-2020</t>
        </is>
      </c>
      <c r="B3621" s="1" t="n">
        <v>44159</v>
      </c>
      <c r="C3621" s="1" t="n">
        <v>45736</v>
      </c>
      <c r="D3621" t="inlineStr">
        <is>
          <t>VÄRMLANDS LÄN</t>
        </is>
      </c>
      <c r="E3621" t="inlineStr">
        <is>
          <t>KRISTINEHAMN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62211-2020</t>
        </is>
      </c>
      <c r="B3622" s="1" t="n">
        <v>44159</v>
      </c>
      <c r="C3622" s="1" t="n">
        <v>45736</v>
      </c>
      <c r="D3622" t="inlineStr">
        <is>
          <t>VÄRMLANDS LÄN</t>
        </is>
      </c>
      <c r="E3622" t="inlineStr">
        <is>
          <t>TORSBY</t>
        </is>
      </c>
      <c r="F3622" t="inlineStr">
        <is>
          <t>Kommuner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62171-2020</t>
        </is>
      </c>
      <c r="B3623" s="1" t="n">
        <v>44159</v>
      </c>
      <c r="C3623" s="1" t="n">
        <v>45736</v>
      </c>
      <c r="D3623" t="inlineStr">
        <is>
          <t>VÄRMLANDS LÄN</t>
        </is>
      </c>
      <c r="E3623" t="inlineStr">
        <is>
          <t>KRISTINEHAMN</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62456-2020</t>
        </is>
      </c>
      <c r="B3624" s="1" t="n">
        <v>44160</v>
      </c>
      <c r="C3624" s="1" t="n">
        <v>45736</v>
      </c>
      <c r="D3624" t="inlineStr">
        <is>
          <t>VÄRMLANDS LÄN</t>
        </is>
      </c>
      <c r="E3624" t="inlineStr">
        <is>
          <t>HAMMARÖ</t>
        </is>
      </c>
      <c r="F3624" t="inlineStr">
        <is>
          <t>Kommuner</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62298-2020</t>
        </is>
      </c>
      <c r="B3625" s="1" t="n">
        <v>44160</v>
      </c>
      <c r="C3625" s="1" t="n">
        <v>45736</v>
      </c>
      <c r="D3625" t="inlineStr">
        <is>
          <t>VÄRMLANDS LÄN</t>
        </is>
      </c>
      <c r="E3625" t="inlineStr">
        <is>
          <t>SUNNE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62510-2020</t>
        </is>
      </c>
      <c r="B3626" s="1" t="n">
        <v>44160</v>
      </c>
      <c r="C3626" s="1" t="n">
        <v>45736</v>
      </c>
      <c r="D3626" t="inlineStr">
        <is>
          <t>VÄRMLANDS LÄN</t>
        </is>
      </c>
      <c r="E3626" t="inlineStr">
        <is>
          <t>SUNNE</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62566-2020</t>
        </is>
      </c>
      <c r="B3627" s="1" t="n">
        <v>44160</v>
      </c>
      <c r="C3627" s="1" t="n">
        <v>45736</v>
      </c>
      <c r="D3627" t="inlineStr">
        <is>
          <t>VÄRMLANDS LÄN</t>
        </is>
      </c>
      <c r="E3627" t="inlineStr">
        <is>
          <t>ARVIKA</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62245-2020</t>
        </is>
      </c>
      <c r="B3628" s="1" t="n">
        <v>44160</v>
      </c>
      <c r="C3628" s="1" t="n">
        <v>45736</v>
      </c>
      <c r="D3628" t="inlineStr">
        <is>
          <t>VÄRMLANDS LÄN</t>
        </is>
      </c>
      <c r="E3628" t="inlineStr">
        <is>
          <t>KARLSTAD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62382-2020</t>
        </is>
      </c>
      <c r="B3629" s="1" t="n">
        <v>44160</v>
      </c>
      <c r="C3629" s="1" t="n">
        <v>45736</v>
      </c>
      <c r="D3629" t="inlineStr">
        <is>
          <t>VÄRMLANDS LÄN</t>
        </is>
      </c>
      <c r="E3629" t="inlineStr">
        <is>
          <t>KIL</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62414-2020</t>
        </is>
      </c>
      <c r="B3630" s="1" t="n">
        <v>44160</v>
      </c>
      <c r="C3630" s="1" t="n">
        <v>45736</v>
      </c>
      <c r="D3630" t="inlineStr">
        <is>
          <t>VÄRMLANDS LÄN</t>
        </is>
      </c>
      <c r="E3630" t="inlineStr">
        <is>
          <t>SUNNE</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62785-2020</t>
        </is>
      </c>
      <c r="B3631" s="1" t="n">
        <v>44161</v>
      </c>
      <c r="C3631" s="1" t="n">
        <v>45736</v>
      </c>
      <c r="D3631" t="inlineStr">
        <is>
          <t>VÄRMLANDS LÄN</t>
        </is>
      </c>
      <c r="E3631" t="inlineStr">
        <is>
          <t>SÄFFLE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62713-2020</t>
        </is>
      </c>
      <c r="B3632" s="1" t="n">
        <v>44161</v>
      </c>
      <c r="C3632" s="1" t="n">
        <v>45736</v>
      </c>
      <c r="D3632" t="inlineStr">
        <is>
          <t>VÄRMLANDS LÄN</t>
        </is>
      </c>
      <c r="E3632" t="inlineStr">
        <is>
          <t>ARVIKA</t>
        </is>
      </c>
      <c r="F3632" t="inlineStr">
        <is>
          <t>Kyrkan</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62793-2020</t>
        </is>
      </c>
      <c r="B3633" s="1" t="n">
        <v>44161</v>
      </c>
      <c r="C3633" s="1" t="n">
        <v>45736</v>
      </c>
      <c r="D3633" t="inlineStr">
        <is>
          <t>VÄRMLANDS LÄN</t>
        </is>
      </c>
      <c r="E3633" t="inlineStr">
        <is>
          <t>SÄFFLE</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62835-2020</t>
        </is>
      </c>
      <c r="B3634" s="1" t="n">
        <v>44161</v>
      </c>
      <c r="C3634" s="1" t="n">
        <v>45736</v>
      </c>
      <c r="D3634" t="inlineStr">
        <is>
          <t>VÄRMLANDS LÄN</t>
        </is>
      </c>
      <c r="E3634" t="inlineStr">
        <is>
          <t>HAGFORS</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62790-2020</t>
        </is>
      </c>
      <c r="B3635" s="1" t="n">
        <v>44161</v>
      </c>
      <c r="C3635" s="1" t="n">
        <v>45736</v>
      </c>
      <c r="D3635" t="inlineStr">
        <is>
          <t>VÄRMLANDS LÄN</t>
        </is>
      </c>
      <c r="E3635" t="inlineStr">
        <is>
          <t>SÄFFLE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62842-2020</t>
        </is>
      </c>
      <c r="B3636" s="1" t="n">
        <v>44161</v>
      </c>
      <c r="C3636" s="1" t="n">
        <v>45736</v>
      </c>
      <c r="D3636" t="inlineStr">
        <is>
          <t>VÄRMLANDS LÄN</t>
        </is>
      </c>
      <c r="E3636" t="inlineStr">
        <is>
          <t>MUNKFORS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63478-2020</t>
        </is>
      </c>
      <c r="B3637" s="1" t="n">
        <v>44161</v>
      </c>
      <c r="C3637" s="1" t="n">
        <v>45736</v>
      </c>
      <c r="D3637" t="inlineStr">
        <is>
          <t>VÄRMLANDS LÄN</t>
        </is>
      </c>
      <c r="E3637" t="inlineStr">
        <is>
          <t>HAGFORS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62891-2020</t>
        </is>
      </c>
      <c r="B3638" s="1" t="n">
        <v>44161</v>
      </c>
      <c r="C3638" s="1" t="n">
        <v>45736</v>
      </c>
      <c r="D3638" t="inlineStr">
        <is>
          <t>VÄRMLANDS LÄN</t>
        </is>
      </c>
      <c r="E3638" t="inlineStr">
        <is>
          <t>HAGFORS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62608-2020</t>
        </is>
      </c>
      <c r="B3639" s="1" t="n">
        <v>44161</v>
      </c>
      <c r="C3639" s="1" t="n">
        <v>45736</v>
      </c>
      <c r="D3639" t="inlineStr">
        <is>
          <t>VÄRMLANDS LÄN</t>
        </is>
      </c>
      <c r="E3639" t="inlineStr">
        <is>
          <t>HAMMARÖ</t>
        </is>
      </c>
      <c r="F3639" t="inlineStr">
        <is>
          <t>Kommuner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63473-2020</t>
        </is>
      </c>
      <c r="B3640" s="1" t="n">
        <v>44161</v>
      </c>
      <c r="C3640" s="1" t="n">
        <v>45736</v>
      </c>
      <c r="D3640" t="inlineStr">
        <is>
          <t>VÄRMLANDS LÄN</t>
        </is>
      </c>
      <c r="E3640" t="inlineStr">
        <is>
          <t>HAGFORS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62644-2020</t>
        </is>
      </c>
      <c r="B3641" s="1" t="n">
        <v>44161</v>
      </c>
      <c r="C3641" s="1" t="n">
        <v>45736</v>
      </c>
      <c r="D3641" t="inlineStr">
        <is>
          <t>VÄRMLANDS LÄN</t>
        </is>
      </c>
      <c r="E3641" t="inlineStr">
        <is>
          <t>FILIPSTAD</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63494-2020</t>
        </is>
      </c>
      <c r="B3642" s="1" t="n">
        <v>44161</v>
      </c>
      <c r="C3642" s="1" t="n">
        <v>45736</v>
      </c>
      <c r="D3642" t="inlineStr">
        <is>
          <t>VÄRMLANDS LÄN</t>
        </is>
      </c>
      <c r="E3642" t="inlineStr">
        <is>
          <t>SÄFFLE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62915-2020</t>
        </is>
      </c>
      <c r="B3643" s="1" t="n">
        <v>44162</v>
      </c>
      <c r="C3643" s="1" t="n">
        <v>45736</v>
      </c>
      <c r="D3643" t="inlineStr">
        <is>
          <t>VÄRMLANDS LÄN</t>
        </is>
      </c>
      <c r="E3643" t="inlineStr">
        <is>
          <t>TORSBY</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62981-2020</t>
        </is>
      </c>
      <c r="B3644" s="1" t="n">
        <v>44162</v>
      </c>
      <c r="C3644" s="1" t="n">
        <v>45736</v>
      </c>
      <c r="D3644" t="inlineStr">
        <is>
          <t>VÄRMLANDS LÄN</t>
        </is>
      </c>
      <c r="E3644" t="inlineStr">
        <is>
          <t>EDA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63117-2020</t>
        </is>
      </c>
      <c r="B3645" s="1" t="n">
        <v>44162</v>
      </c>
      <c r="C3645" s="1" t="n">
        <v>45736</v>
      </c>
      <c r="D3645" t="inlineStr">
        <is>
          <t>VÄRMLANDS LÄN</t>
        </is>
      </c>
      <c r="E3645" t="inlineStr">
        <is>
          <t>SUNNE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63224-2020</t>
        </is>
      </c>
      <c r="B3646" s="1" t="n">
        <v>44163</v>
      </c>
      <c r="C3646" s="1" t="n">
        <v>45736</v>
      </c>
      <c r="D3646" t="inlineStr">
        <is>
          <t>VÄRMLANDS LÄN</t>
        </is>
      </c>
      <c r="E3646" t="inlineStr">
        <is>
          <t>FILIPSTAD</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63383-2020</t>
        </is>
      </c>
      <c r="B3647" s="1" t="n">
        <v>44165</v>
      </c>
      <c r="C3647" s="1" t="n">
        <v>45736</v>
      </c>
      <c r="D3647" t="inlineStr">
        <is>
          <t>VÄRMLANDS LÄN</t>
        </is>
      </c>
      <c r="E3647" t="inlineStr">
        <is>
          <t>ÅRJÄNG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63393-2020</t>
        </is>
      </c>
      <c r="B3648" s="1" t="n">
        <v>44165</v>
      </c>
      <c r="C3648" s="1" t="n">
        <v>45736</v>
      </c>
      <c r="D3648" t="inlineStr">
        <is>
          <t>VÄRMLANDS LÄN</t>
        </is>
      </c>
      <c r="E3648" t="inlineStr">
        <is>
          <t>ÅRJÄNG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63415-2020</t>
        </is>
      </c>
      <c r="B3649" s="1" t="n">
        <v>44165</v>
      </c>
      <c r="C3649" s="1" t="n">
        <v>45736</v>
      </c>
      <c r="D3649" t="inlineStr">
        <is>
          <t>VÄRMLANDS LÄN</t>
        </is>
      </c>
      <c r="E3649" t="inlineStr">
        <is>
          <t>ÅRJÄNG</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63471-2020</t>
        </is>
      </c>
      <c r="B3650" s="1" t="n">
        <v>44165</v>
      </c>
      <c r="C3650" s="1" t="n">
        <v>45736</v>
      </c>
      <c r="D3650" t="inlineStr">
        <is>
          <t>VÄRMLANDS LÄN</t>
        </is>
      </c>
      <c r="E3650" t="inlineStr">
        <is>
          <t>SUNNE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63486-2020</t>
        </is>
      </c>
      <c r="B3651" s="1" t="n">
        <v>44165</v>
      </c>
      <c r="C3651" s="1" t="n">
        <v>45736</v>
      </c>
      <c r="D3651" t="inlineStr">
        <is>
          <t>VÄRMLANDS LÄN</t>
        </is>
      </c>
      <c r="E3651" t="inlineStr">
        <is>
          <t>KARLSTAD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63536-2020</t>
        </is>
      </c>
      <c r="B3652" s="1" t="n">
        <v>44165</v>
      </c>
      <c r="C3652" s="1" t="n">
        <v>45736</v>
      </c>
      <c r="D3652" t="inlineStr">
        <is>
          <t>VÄRMLANDS LÄN</t>
        </is>
      </c>
      <c r="E3652" t="inlineStr">
        <is>
          <t>ARVIKA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63565-2020</t>
        </is>
      </c>
      <c r="B3653" s="1" t="n">
        <v>44165</v>
      </c>
      <c r="C3653" s="1" t="n">
        <v>45736</v>
      </c>
      <c r="D3653" t="inlineStr">
        <is>
          <t>VÄRMLANDS LÄN</t>
        </is>
      </c>
      <c r="E3653" t="inlineStr">
        <is>
          <t>TORSBY</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63669-2020</t>
        </is>
      </c>
      <c r="B3654" s="1" t="n">
        <v>44166</v>
      </c>
      <c r="C3654" s="1" t="n">
        <v>45736</v>
      </c>
      <c r="D3654" t="inlineStr">
        <is>
          <t>VÄRMLANDS LÄN</t>
        </is>
      </c>
      <c r="E3654" t="inlineStr">
        <is>
          <t>SUNNE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63720-2020</t>
        </is>
      </c>
      <c r="B3655" s="1" t="n">
        <v>44166</v>
      </c>
      <c r="C3655" s="1" t="n">
        <v>45736</v>
      </c>
      <c r="D3655" t="inlineStr">
        <is>
          <t>VÄRMLANDS LÄN</t>
        </is>
      </c>
      <c r="E3655" t="inlineStr">
        <is>
          <t>ARVIKA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63652-2020</t>
        </is>
      </c>
      <c r="B3656" s="1" t="n">
        <v>44166</v>
      </c>
      <c r="C3656" s="1" t="n">
        <v>45736</v>
      </c>
      <c r="D3656" t="inlineStr">
        <is>
          <t>VÄRMLANDS LÄN</t>
        </is>
      </c>
      <c r="E3656" t="inlineStr">
        <is>
          <t>EDA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63859-2020</t>
        </is>
      </c>
      <c r="B3657" s="1" t="n">
        <v>44166</v>
      </c>
      <c r="C3657" s="1" t="n">
        <v>45736</v>
      </c>
      <c r="D3657" t="inlineStr">
        <is>
          <t>VÄRMLANDS LÄN</t>
        </is>
      </c>
      <c r="E3657" t="inlineStr">
        <is>
          <t>EDA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63675-2020</t>
        </is>
      </c>
      <c r="B3658" s="1" t="n">
        <v>44166</v>
      </c>
      <c r="C3658" s="1" t="n">
        <v>45736</v>
      </c>
      <c r="D3658" t="inlineStr">
        <is>
          <t>VÄRMLANDS LÄN</t>
        </is>
      </c>
      <c r="E3658" t="inlineStr">
        <is>
          <t>EDA</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64684-2020</t>
        </is>
      </c>
      <c r="B3659" s="1" t="n">
        <v>44166</v>
      </c>
      <c r="C3659" s="1" t="n">
        <v>45736</v>
      </c>
      <c r="D3659" t="inlineStr">
        <is>
          <t>VÄRMLANDS LÄN</t>
        </is>
      </c>
      <c r="E3659" t="inlineStr">
        <is>
          <t>SUNNE</t>
        </is>
      </c>
      <c r="G3659" t="n">
        <v>10.8</v>
      </c>
      <c r="H3659" t="n">
        <v>0</v>
      </c>
      <c r="I3659" t="n">
        <v>0</v>
      </c>
      <c r="J3659" t="n">
        <v>0</v>
      </c>
      <c r="K3659" t="n">
        <v>0</v>
      </c>
      <c r="L3659" t="n">
        <v>0</v>
      </c>
      <c r="M3659" t="n">
        <v>0</v>
      </c>
      <c r="N3659" t="n">
        <v>0</v>
      </c>
      <c r="O3659" t="n">
        <v>0</v>
      </c>
      <c r="P3659" t="n">
        <v>0</v>
      </c>
      <c r="Q3659" t="n">
        <v>0</v>
      </c>
      <c r="R3659" s="2" t="inlineStr"/>
    </row>
    <row r="3660" ht="15" customHeight="1">
      <c r="A3660" t="inlineStr">
        <is>
          <t>A 63957-2020</t>
        </is>
      </c>
      <c r="B3660" s="1" t="n">
        <v>44167</v>
      </c>
      <c r="C3660" s="1" t="n">
        <v>45736</v>
      </c>
      <c r="D3660" t="inlineStr">
        <is>
          <t>VÄRMLANDS LÄN</t>
        </is>
      </c>
      <c r="E3660" t="inlineStr">
        <is>
          <t>HAGFORS</t>
        </is>
      </c>
      <c r="F3660" t="inlineStr">
        <is>
          <t>Bergvik skog väst AB</t>
        </is>
      </c>
      <c r="G3660" t="n">
        <v>25.9</v>
      </c>
      <c r="H3660" t="n">
        <v>0</v>
      </c>
      <c r="I3660" t="n">
        <v>0</v>
      </c>
      <c r="J3660" t="n">
        <v>0</v>
      </c>
      <c r="K3660" t="n">
        <v>0</v>
      </c>
      <c r="L3660" t="n">
        <v>0</v>
      </c>
      <c r="M3660" t="n">
        <v>0</v>
      </c>
      <c r="N3660" t="n">
        <v>0</v>
      </c>
      <c r="O3660" t="n">
        <v>0</v>
      </c>
      <c r="P3660" t="n">
        <v>0</v>
      </c>
      <c r="Q3660" t="n">
        <v>0</v>
      </c>
      <c r="R3660" s="2" t="inlineStr"/>
    </row>
    <row r="3661" ht="15" customHeight="1">
      <c r="A3661" t="inlineStr">
        <is>
          <t>A 63935-2020</t>
        </is>
      </c>
      <c r="B3661" s="1" t="n">
        <v>44167</v>
      </c>
      <c r="C3661" s="1" t="n">
        <v>45736</v>
      </c>
      <c r="D3661" t="inlineStr">
        <is>
          <t>VÄRMLANDS LÄN</t>
        </is>
      </c>
      <c r="E3661" t="inlineStr">
        <is>
          <t>HAGFORS</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63976-2020</t>
        </is>
      </c>
      <c r="B3662" s="1" t="n">
        <v>44167</v>
      </c>
      <c r="C3662" s="1" t="n">
        <v>45736</v>
      </c>
      <c r="D3662" t="inlineStr">
        <is>
          <t>VÄRMLANDS LÄN</t>
        </is>
      </c>
      <c r="E3662" t="inlineStr">
        <is>
          <t>HAGFORS</t>
        </is>
      </c>
      <c r="F3662" t="inlineStr">
        <is>
          <t>Bergvik skog väst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64025-2020</t>
        </is>
      </c>
      <c r="B3663" s="1" t="n">
        <v>44167</v>
      </c>
      <c r="C3663" s="1" t="n">
        <v>45736</v>
      </c>
      <c r="D3663" t="inlineStr">
        <is>
          <t>VÄRMLANDS LÄN</t>
        </is>
      </c>
      <c r="E3663" t="inlineStr">
        <is>
          <t>FILIPSTAD</t>
        </is>
      </c>
      <c r="F3663" t="inlineStr">
        <is>
          <t>Bergvik skog väst AB</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64318-2020</t>
        </is>
      </c>
      <c r="B3664" s="1" t="n">
        <v>44168</v>
      </c>
      <c r="C3664" s="1" t="n">
        <v>45736</v>
      </c>
      <c r="D3664" t="inlineStr">
        <is>
          <t>VÄRMLANDS LÄN</t>
        </is>
      </c>
      <c r="E3664" t="inlineStr">
        <is>
          <t>ÅRJÄNG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64271-2020</t>
        </is>
      </c>
      <c r="B3665" s="1" t="n">
        <v>44168</v>
      </c>
      <c r="C3665" s="1" t="n">
        <v>45736</v>
      </c>
      <c r="D3665" t="inlineStr">
        <is>
          <t>VÄRMLANDS LÄN</t>
        </is>
      </c>
      <c r="E3665" t="inlineStr">
        <is>
          <t>ÅRJÄNG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64332-2020</t>
        </is>
      </c>
      <c r="B3666" s="1" t="n">
        <v>44168</v>
      </c>
      <c r="C3666" s="1" t="n">
        <v>45736</v>
      </c>
      <c r="D3666" t="inlineStr">
        <is>
          <t>VÄRMLANDS LÄN</t>
        </is>
      </c>
      <c r="E3666" t="inlineStr">
        <is>
          <t>SÄFFLE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64216-2020</t>
        </is>
      </c>
      <c r="B3667" s="1" t="n">
        <v>44168</v>
      </c>
      <c r="C3667" s="1" t="n">
        <v>45736</v>
      </c>
      <c r="D3667" t="inlineStr">
        <is>
          <t>VÄRMLANDS LÄN</t>
        </is>
      </c>
      <c r="E3667" t="inlineStr">
        <is>
          <t>ÅRJÄNG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64396-2020</t>
        </is>
      </c>
      <c r="B3668" s="1" t="n">
        <v>44168</v>
      </c>
      <c r="C3668" s="1" t="n">
        <v>45736</v>
      </c>
      <c r="D3668" t="inlineStr">
        <is>
          <t>VÄRMLANDS LÄN</t>
        </is>
      </c>
      <c r="E3668" t="inlineStr">
        <is>
          <t>TORSBY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64411-2020</t>
        </is>
      </c>
      <c r="B3669" s="1" t="n">
        <v>44168</v>
      </c>
      <c r="C3669" s="1" t="n">
        <v>45736</v>
      </c>
      <c r="D3669" t="inlineStr">
        <is>
          <t>VÄRMLANDS LÄN</t>
        </is>
      </c>
      <c r="E3669" t="inlineStr">
        <is>
          <t>SUNNE</t>
        </is>
      </c>
      <c r="F3669" t="inlineStr">
        <is>
          <t>Övriga Aktiebolag</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64434-2020</t>
        </is>
      </c>
      <c r="B3670" s="1" t="n">
        <v>44168</v>
      </c>
      <c r="C3670" s="1" t="n">
        <v>45736</v>
      </c>
      <c r="D3670" t="inlineStr">
        <is>
          <t>VÄRMLANDS LÄN</t>
        </is>
      </c>
      <c r="E3670" t="inlineStr">
        <is>
          <t>TORSBY</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65120-2020</t>
        </is>
      </c>
      <c r="B3671" s="1" t="n">
        <v>44168</v>
      </c>
      <c r="C3671" s="1" t="n">
        <v>45736</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64756-2020</t>
        </is>
      </c>
      <c r="B3672" s="1" t="n">
        <v>44169</v>
      </c>
      <c r="C3672" s="1" t="n">
        <v>45736</v>
      </c>
      <c r="D3672" t="inlineStr">
        <is>
          <t>VÄRMLANDS LÄN</t>
        </is>
      </c>
      <c r="E3672" t="inlineStr">
        <is>
          <t>FILIPSTAD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64622-2020</t>
        </is>
      </c>
      <c r="B3673" s="1" t="n">
        <v>44169</v>
      </c>
      <c r="C3673" s="1" t="n">
        <v>45736</v>
      </c>
      <c r="D3673" t="inlineStr">
        <is>
          <t>VÄRMLANDS LÄN</t>
        </is>
      </c>
      <c r="E3673" t="inlineStr">
        <is>
          <t>FILIPSTAD</t>
        </is>
      </c>
      <c r="F3673" t="inlineStr">
        <is>
          <t>Bergvik skog väst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64787-2020</t>
        </is>
      </c>
      <c r="B3674" s="1" t="n">
        <v>44169</v>
      </c>
      <c r="C3674" s="1" t="n">
        <v>45736</v>
      </c>
      <c r="D3674" t="inlineStr">
        <is>
          <t>VÄRMLANDS LÄN</t>
        </is>
      </c>
      <c r="E3674" t="inlineStr">
        <is>
          <t>FILIPSTAD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64786-2020</t>
        </is>
      </c>
      <c r="B3675" s="1" t="n">
        <v>44169</v>
      </c>
      <c r="C3675" s="1" t="n">
        <v>45736</v>
      </c>
      <c r="D3675" t="inlineStr">
        <is>
          <t>VÄRMLANDS LÄN</t>
        </is>
      </c>
      <c r="E3675" t="inlineStr">
        <is>
          <t>FILIPSTAD</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64792-2020</t>
        </is>
      </c>
      <c r="B3676" s="1" t="n">
        <v>44169</v>
      </c>
      <c r="C3676" s="1" t="n">
        <v>45736</v>
      </c>
      <c r="D3676" t="inlineStr">
        <is>
          <t>VÄRMLANDS LÄN</t>
        </is>
      </c>
      <c r="E3676" t="inlineStr">
        <is>
          <t>EDA</t>
        </is>
      </c>
      <c r="G3676" t="n">
        <v>12.1</v>
      </c>
      <c r="H3676" t="n">
        <v>0</v>
      </c>
      <c r="I3676" t="n">
        <v>0</v>
      </c>
      <c r="J3676" t="n">
        <v>0</v>
      </c>
      <c r="K3676" t="n">
        <v>0</v>
      </c>
      <c r="L3676" t="n">
        <v>0</v>
      </c>
      <c r="M3676" t="n">
        <v>0</v>
      </c>
      <c r="N3676" t="n">
        <v>0</v>
      </c>
      <c r="O3676" t="n">
        <v>0</v>
      </c>
      <c r="P3676" t="n">
        <v>0</v>
      </c>
      <c r="Q3676" t="n">
        <v>0</v>
      </c>
      <c r="R3676" s="2" t="inlineStr"/>
    </row>
    <row r="3677" ht="15" customHeight="1">
      <c r="A3677" t="inlineStr">
        <is>
          <t>A 64754-2020</t>
        </is>
      </c>
      <c r="B3677" s="1" t="n">
        <v>44169</v>
      </c>
      <c r="C3677" s="1" t="n">
        <v>45736</v>
      </c>
      <c r="D3677" t="inlineStr">
        <is>
          <t>VÄRMLANDS LÄN</t>
        </is>
      </c>
      <c r="E3677" t="inlineStr">
        <is>
          <t>FILIPSTAD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64776-2020</t>
        </is>
      </c>
      <c r="B3678" s="1" t="n">
        <v>44169</v>
      </c>
      <c r="C3678" s="1" t="n">
        <v>45736</v>
      </c>
      <c r="D3678" t="inlineStr">
        <is>
          <t>VÄRMLANDS LÄN</t>
        </is>
      </c>
      <c r="E3678" t="inlineStr">
        <is>
          <t>FILIPSTAD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65369-2020</t>
        </is>
      </c>
      <c r="B3679" s="1" t="n">
        <v>44169</v>
      </c>
      <c r="C3679" s="1" t="n">
        <v>45736</v>
      </c>
      <c r="D3679" t="inlineStr">
        <is>
          <t>VÄRMLANDS LÄN</t>
        </is>
      </c>
      <c r="E3679" t="inlineStr">
        <is>
          <t>TORSBY</t>
        </is>
      </c>
      <c r="G3679" t="n">
        <v>32.5</v>
      </c>
      <c r="H3679" t="n">
        <v>0</v>
      </c>
      <c r="I3679" t="n">
        <v>0</v>
      </c>
      <c r="J3679" t="n">
        <v>0</v>
      </c>
      <c r="K3679" t="n">
        <v>0</v>
      </c>
      <c r="L3679" t="n">
        <v>0</v>
      </c>
      <c r="M3679" t="n">
        <v>0</v>
      </c>
      <c r="N3679" t="n">
        <v>0</v>
      </c>
      <c r="O3679" t="n">
        <v>0</v>
      </c>
      <c r="P3679" t="n">
        <v>0</v>
      </c>
      <c r="Q3679" t="n">
        <v>0</v>
      </c>
      <c r="R3679" s="2" t="inlineStr"/>
    </row>
    <row r="3680" ht="15" customHeight="1">
      <c r="A3680" t="inlineStr">
        <is>
          <t>A 65482-2020</t>
        </is>
      </c>
      <c r="B3680" s="1" t="n">
        <v>44169</v>
      </c>
      <c r="C3680" s="1" t="n">
        <v>45736</v>
      </c>
      <c r="D3680" t="inlineStr">
        <is>
          <t>VÄRMLANDS LÄN</t>
        </is>
      </c>
      <c r="E3680" t="inlineStr">
        <is>
          <t>TORSBY</t>
        </is>
      </c>
      <c r="F3680" t="inlineStr">
        <is>
          <t>Kyrkan</t>
        </is>
      </c>
      <c r="G3680" t="n">
        <v>21.6</v>
      </c>
      <c r="H3680" t="n">
        <v>0</v>
      </c>
      <c r="I3680" t="n">
        <v>0</v>
      </c>
      <c r="J3680" t="n">
        <v>0</v>
      </c>
      <c r="K3680" t="n">
        <v>0</v>
      </c>
      <c r="L3680" t="n">
        <v>0</v>
      </c>
      <c r="M3680" t="n">
        <v>0</v>
      </c>
      <c r="N3680" t="n">
        <v>0</v>
      </c>
      <c r="O3680" t="n">
        <v>0</v>
      </c>
      <c r="P3680" t="n">
        <v>0</v>
      </c>
      <c r="Q3680" t="n">
        <v>0</v>
      </c>
      <c r="R3680" s="2" t="inlineStr"/>
    </row>
    <row r="3681" ht="15" customHeight="1">
      <c r="A3681" t="inlineStr">
        <is>
          <t>A 65353-2020</t>
        </is>
      </c>
      <c r="B3681" s="1" t="n">
        <v>44169</v>
      </c>
      <c r="C3681" s="1" t="n">
        <v>45736</v>
      </c>
      <c r="D3681" t="inlineStr">
        <is>
          <t>VÄRMLANDS LÄN</t>
        </is>
      </c>
      <c r="E3681" t="inlineStr">
        <is>
          <t>ARVIKA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65398-2020</t>
        </is>
      </c>
      <c r="B3682" s="1" t="n">
        <v>44169</v>
      </c>
      <c r="C3682" s="1" t="n">
        <v>45736</v>
      </c>
      <c r="D3682" t="inlineStr">
        <is>
          <t>VÄRMLANDS LÄN</t>
        </is>
      </c>
      <c r="E3682" t="inlineStr">
        <is>
          <t>TORSBY</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64879-2020</t>
        </is>
      </c>
      <c r="B3683" s="1" t="n">
        <v>44171</v>
      </c>
      <c r="C3683" s="1" t="n">
        <v>45736</v>
      </c>
      <c r="D3683" t="inlineStr">
        <is>
          <t>VÄRMLANDS LÄN</t>
        </is>
      </c>
      <c r="E3683" t="inlineStr">
        <is>
          <t>GRUMS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65171-2020</t>
        </is>
      </c>
      <c r="B3684" s="1" t="n">
        <v>44172</v>
      </c>
      <c r="C3684" s="1" t="n">
        <v>45736</v>
      </c>
      <c r="D3684" t="inlineStr">
        <is>
          <t>VÄRMLANDS LÄN</t>
        </is>
      </c>
      <c r="E3684" t="inlineStr">
        <is>
          <t>SUNNE</t>
        </is>
      </c>
      <c r="F3684" t="inlineStr">
        <is>
          <t>Övriga Aktiebolag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65210-2020</t>
        </is>
      </c>
      <c r="B3685" s="1" t="n">
        <v>44172</v>
      </c>
      <c r="C3685" s="1" t="n">
        <v>45736</v>
      </c>
      <c r="D3685" t="inlineStr">
        <is>
          <t>VÄRMLANDS LÄN</t>
        </is>
      </c>
      <c r="E3685" t="inlineStr">
        <is>
          <t>SUNNE</t>
        </is>
      </c>
      <c r="F3685" t="inlineStr">
        <is>
          <t>Övriga Aktiebolag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65169-2020</t>
        </is>
      </c>
      <c r="B3686" s="1" t="n">
        <v>44172</v>
      </c>
      <c r="C3686" s="1" t="n">
        <v>45736</v>
      </c>
      <c r="D3686" t="inlineStr">
        <is>
          <t>VÄRMLANDS LÄN</t>
        </is>
      </c>
      <c r="E3686" t="inlineStr">
        <is>
          <t>SUNNE</t>
        </is>
      </c>
      <c r="F3686" t="inlineStr">
        <is>
          <t>Övriga Aktiebolag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65075-2020</t>
        </is>
      </c>
      <c r="B3687" s="1" t="n">
        <v>44172</v>
      </c>
      <c r="C3687" s="1" t="n">
        <v>45736</v>
      </c>
      <c r="D3687" t="inlineStr">
        <is>
          <t>VÄRMLANDS LÄN</t>
        </is>
      </c>
      <c r="E3687" t="inlineStr">
        <is>
          <t>ARVIKA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65678-2020</t>
        </is>
      </c>
      <c r="B3688" s="1" t="n">
        <v>44172</v>
      </c>
      <c r="C3688" s="1" t="n">
        <v>45736</v>
      </c>
      <c r="D3688" t="inlineStr">
        <is>
          <t>VÄRMLANDS LÄN</t>
        </is>
      </c>
      <c r="E3688" t="inlineStr">
        <is>
          <t>TORSBY</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65314-2020</t>
        </is>
      </c>
      <c r="B3689" s="1" t="n">
        <v>44173</v>
      </c>
      <c r="C3689" s="1" t="n">
        <v>45736</v>
      </c>
      <c r="D3689" t="inlineStr">
        <is>
          <t>VÄRMLANDS LÄN</t>
        </is>
      </c>
      <c r="E3689" t="inlineStr">
        <is>
          <t>SUNNE</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65293-2020</t>
        </is>
      </c>
      <c r="B3690" s="1" t="n">
        <v>44173</v>
      </c>
      <c r="C3690" s="1" t="n">
        <v>45736</v>
      </c>
      <c r="D3690" t="inlineStr">
        <is>
          <t>VÄRMLANDS LÄN</t>
        </is>
      </c>
      <c r="E3690" t="inlineStr">
        <is>
          <t>FORSHAGA</t>
        </is>
      </c>
      <c r="F3690" t="inlineStr">
        <is>
          <t>Bergvik skog väst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65613-2020</t>
        </is>
      </c>
      <c r="B3691" s="1" t="n">
        <v>44173</v>
      </c>
      <c r="C3691" s="1" t="n">
        <v>45736</v>
      </c>
      <c r="D3691" t="inlineStr">
        <is>
          <t>VÄRMLANDS LÄN</t>
        </is>
      </c>
      <c r="E3691" t="inlineStr">
        <is>
          <t>EDA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65827-2020</t>
        </is>
      </c>
      <c r="B3692" s="1" t="n">
        <v>44173</v>
      </c>
      <c r="C3692" s="1" t="n">
        <v>45736</v>
      </c>
      <c r="D3692" t="inlineStr">
        <is>
          <t>VÄRMLANDS LÄN</t>
        </is>
      </c>
      <c r="E3692" t="inlineStr">
        <is>
          <t>TORSBY</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65818-2020</t>
        </is>
      </c>
      <c r="B3693" s="1" t="n">
        <v>44174</v>
      </c>
      <c r="C3693" s="1" t="n">
        <v>45736</v>
      </c>
      <c r="D3693" t="inlineStr">
        <is>
          <t>VÄRMLANDS LÄN</t>
        </is>
      </c>
      <c r="E3693" t="inlineStr">
        <is>
          <t>SUNNE</t>
        </is>
      </c>
      <c r="F3693" t="inlineStr">
        <is>
          <t>Övriga Aktiebolag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65751-2020</t>
        </is>
      </c>
      <c r="B3694" s="1" t="n">
        <v>44174</v>
      </c>
      <c r="C3694" s="1" t="n">
        <v>45736</v>
      </c>
      <c r="D3694" t="inlineStr">
        <is>
          <t>VÄRMLANDS LÄN</t>
        </is>
      </c>
      <c r="E3694" t="inlineStr">
        <is>
          <t>ÅRJÄNG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65773-2020</t>
        </is>
      </c>
      <c r="B3695" s="1" t="n">
        <v>44174</v>
      </c>
      <c r="C3695" s="1" t="n">
        <v>45736</v>
      </c>
      <c r="D3695" t="inlineStr">
        <is>
          <t>VÄRMLANDS LÄN</t>
        </is>
      </c>
      <c r="E3695" t="inlineStr">
        <is>
          <t>ÅRJÄNG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65781-2020</t>
        </is>
      </c>
      <c r="B3696" s="1" t="n">
        <v>44174</v>
      </c>
      <c r="C3696" s="1" t="n">
        <v>45736</v>
      </c>
      <c r="D3696" t="inlineStr">
        <is>
          <t>VÄRMLANDS LÄN</t>
        </is>
      </c>
      <c r="E3696" t="inlineStr">
        <is>
          <t>ÅRJÄNG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66334-2020</t>
        </is>
      </c>
      <c r="B3697" s="1" t="n">
        <v>44174</v>
      </c>
      <c r="C3697" s="1" t="n">
        <v>45736</v>
      </c>
      <c r="D3697" t="inlineStr">
        <is>
          <t>VÄRMLANDS LÄN</t>
        </is>
      </c>
      <c r="E3697" t="inlineStr">
        <is>
          <t>ÅRJÄNG</t>
        </is>
      </c>
      <c r="F3697" t="inlineStr">
        <is>
          <t>Övriga Aktiebolag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66703-2020</t>
        </is>
      </c>
      <c r="B3698" s="1" t="n">
        <v>44174</v>
      </c>
      <c r="C3698" s="1" t="n">
        <v>45736</v>
      </c>
      <c r="D3698" t="inlineStr">
        <is>
          <t>VÄRMLANDS LÄN</t>
        </is>
      </c>
      <c r="E3698" t="inlineStr">
        <is>
          <t>TORSBY</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65920-2020</t>
        </is>
      </c>
      <c r="B3699" s="1" t="n">
        <v>44175</v>
      </c>
      <c r="C3699" s="1" t="n">
        <v>45736</v>
      </c>
      <c r="D3699" t="inlineStr">
        <is>
          <t>VÄRMLANDS LÄN</t>
        </is>
      </c>
      <c r="E3699" t="inlineStr">
        <is>
          <t>KARLSTAD</t>
        </is>
      </c>
      <c r="F3699" t="inlineStr">
        <is>
          <t>Bergvik skog väst AB</t>
        </is>
      </c>
      <c r="G3699" t="n">
        <v>11.8</v>
      </c>
      <c r="H3699" t="n">
        <v>0</v>
      </c>
      <c r="I3699" t="n">
        <v>0</v>
      </c>
      <c r="J3699" t="n">
        <v>0</v>
      </c>
      <c r="K3699" t="n">
        <v>0</v>
      </c>
      <c r="L3699" t="n">
        <v>0</v>
      </c>
      <c r="M3699" t="n">
        <v>0</v>
      </c>
      <c r="N3699" t="n">
        <v>0</v>
      </c>
      <c r="O3699" t="n">
        <v>0</v>
      </c>
      <c r="P3699" t="n">
        <v>0</v>
      </c>
      <c r="Q3699" t="n">
        <v>0</v>
      </c>
      <c r="R3699" s="2" t="inlineStr"/>
    </row>
    <row r="3700" ht="15" customHeight="1">
      <c r="A3700" t="inlineStr">
        <is>
          <t>A 65940-2020</t>
        </is>
      </c>
      <c r="B3700" s="1" t="n">
        <v>44175</v>
      </c>
      <c r="C3700" s="1" t="n">
        <v>45736</v>
      </c>
      <c r="D3700" t="inlineStr">
        <is>
          <t>VÄRMLANDS LÄN</t>
        </is>
      </c>
      <c r="E3700" t="inlineStr">
        <is>
          <t>FORSHAGA</t>
        </is>
      </c>
      <c r="F3700" t="inlineStr">
        <is>
          <t>Bergvik skog väst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66080-2020</t>
        </is>
      </c>
      <c r="B3701" s="1" t="n">
        <v>44175</v>
      </c>
      <c r="C3701" s="1" t="n">
        <v>45736</v>
      </c>
      <c r="D3701" t="inlineStr">
        <is>
          <t>VÄRMLANDS LÄN</t>
        </is>
      </c>
      <c r="E3701" t="inlineStr">
        <is>
          <t>ÅRJÄNG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66165-2020</t>
        </is>
      </c>
      <c r="B3702" s="1" t="n">
        <v>44175</v>
      </c>
      <c r="C3702" s="1" t="n">
        <v>45736</v>
      </c>
      <c r="D3702" t="inlineStr">
        <is>
          <t>VÄRMLANDS LÄN</t>
        </is>
      </c>
      <c r="E3702" t="inlineStr">
        <is>
          <t>HAGFORS</t>
        </is>
      </c>
      <c r="F3702" t="inlineStr">
        <is>
          <t>Bergvik skog väst AB</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66091-2020</t>
        </is>
      </c>
      <c r="B3703" s="1" t="n">
        <v>44175</v>
      </c>
      <c r="C3703" s="1" t="n">
        <v>45736</v>
      </c>
      <c r="D3703" t="inlineStr">
        <is>
          <t>VÄRMLANDS LÄN</t>
        </is>
      </c>
      <c r="E3703" t="inlineStr">
        <is>
          <t>HAGFORS</t>
        </is>
      </c>
      <c r="F3703" t="inlineStr">
        <is>
          <t>Bergvik skog väst AB</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66112-2020</t>
        </is>
      </c>
      <c r="B3704" s="1" t="n">
        <v>44175</v>
      </c>
      <c r="C3704" s="1" t="n">
        <v>45736</v>
      </c>
      <c r="D3704" t="inlineStr">
        <is>
          <t>VÄRMLANDS LÄN</t>
        </is>
      </c>
      <c r="E3704" t="inlineStr">
        <is>
          <t>HAGFORS</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66141-2020</t>
        </is>
      </c>
      <c r="B3705" s="1" t="n">
        <v>44175</v>
      </c>
      <c r="C3705" s="1" t="n">
        <v>45736</v>
      </c>
      <c r="D3705" t="inlineStr">
        <is>
          <t>VÄRMLANDS LÄN</t>
        </is>
      </c>
      <c r="E3705" t="inlineStr">
        <is>
          <t>HAGFORS</t>
        </is>
      </c>
      <c r="F3705" t="inlineStr">
        <is>
          <t>Bergvik skog väst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66194-2020</t>
        </is>
      </c>
      <c r="B3706" s="1" t="n">
        <v>44175</v>
      </c>
      <c r="C3706" s="1" t="n">
        <v>45736</v>
      </c>
      <c r="D3706" t="inlineStr">
        <is>
          <t>VÄRMLANDS LÄN</t>
        </is>
      </c>
      <c r="E3706" t="inlineStr">
        <is>
          <t>TORSBY</t>
        </is>
      </c>
      <c r="F3706" t="inlineStr">
        <is>
          <t>Bergvik skog väst AB</t>
        </is>
      </c>
      <c r="G3706" t="n">
        <v>18.4</v>
      </c>
      <c r="H3706" t="n">
        <v>0</v>
      </c>
      <c r="I3706" t="n">
        <v>0</v>
      </c>
      <c r="J3706" t="n">
        <v>0</v>
      </c>
      <c r="K3706" t="n">
        <v>0</v>
      </c>
      <c r="L3706" t="n">
        <v>0</v>
      </c>
      <c r="M3706" t="n">
        <v>0</v>
      </c>
      <c r="N3706" t="n">
        <v>0</v>
      </c>
      <c r="O3706" t="n">
        <v>0</v>
      </c>
      <c r="P3706" t="n">
        <v>0</v>
      </c>
      <c r="Q3706" t="n">
        <v>0</v>
      </c>
      <c r="R3706" s="2" t="inlineStr"/>
    </row>
    <row r="3707" ht="15" customHeight="1">
      <c r="A3707" t="inlineStr">
        <is>
          <t>A 66208-2020</t>
        </is>
      </c>
      <c r="B3707" s="1" t="n">
        <v>44175</v>
      </c>
      <c r="C3707" s="1" t="n">
        <v>45736</v>
      </c>
      <c r="D3707" t="inlineStr">
        <is>
          <t>VÄRMLANDS LÄN</t>
        </is>
      </c>
      <c r="E3707" t="inlineStr">
        <is>
          <t>SUNNE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66178-2020</t>
        </is>
      </c>
      <c r="B3708" s="1" t="n">
        <v>44175</v>
      </c>
      <c r="C3708" s="1" t="n">
        <v>45736</v>
      </c>
      <c r="D3708" t="inlineStr">
        <is>
          <t>VÄRMLANDS LÄN</t>
        </is>
      </c>
      <c r="E3708" t="inlineStr">
        <is>
          <t>EDA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66200-2020</t>
        </is>
      </c>
      <c r="B3709" s="1" t="n">
        <v>44175</v>
      </c>
      <c r="C3709" s="1" t="n">
        <v>45736</v>
      </c>
      <c r="D3709" t="inlineStr">
        <is>
          <t>VÄRMLANDS LÄN</t>
        </is>
      </c>
      <c r="E3709" t="inlineStr">
        <is>
          <t>EDA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66966-2020</t>
        </is>
      </c>
      <c r="B3710" s="1" t="n">
        <v>44175</v>
      </c>
      <c r="C3710" s="1" t="n">
        <v>45736</v>
      </c>
      <c r="D3710" t="inlineStr">
        <is>
          <t>VÄRMLANDS LÄN</t>
        </is>
      </c>
      <c r="E3710" t="inlineStr">
        <is>
          <t>SÄFFLE</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65950-2020</t>
        </is>
      </c>
      <c r="B3711" s="1" t="n">
        <v>44175</v>
      </c>
      <c r="C3711" s="1" t="n">
        <v>45736</v>
      </c>
      <c r="D3711" t="inlineStr">
        <is>
          <t>VÄRMLANDS LÄN</t>
        </is>
      </c>
      <c r="E3711" t="inlineStr">
        <is>
          <t>ÅRJÄNG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66294-2020</t>
        </is>
      </c>
      <c r="B3712" s="1" t="n">
        <v>44176</v>
      </c>
      <c r="C3712" s="1" t="n">
        <v>45736</v>
      </c>
      <c r="D3712" t="inlineStr">
        <is>
          <t>VÄRMLANDS LÄN</t>
        </is>
      </c>
      <c r="E3712" t="inlineStr">
        <is>
          <t>SUNNE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66326-2020</t>
        </is>
      </c>
      <c r="B3713" s="1" t="n">
        <v>44176</v>
      </c>
      <c r="C3713" s="1" t="n">
        <v>45736</v>
      </c>
      <c r="D3713" t="inlineStr">
        <is>
          <t>VÄRMLANDS LÄN</t>
        </is>
      </c>
      <c r="E3713" t="inlineStr">
        <is>
          <t>TORSBY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66363-2020</t>
        </is>
      </c>
      <c r="B3714" s="1" t="n">
        <v>44176</v>
      </c>
      <c r="C3714" s="1" t="n">
        <v>45736</v>
      </c>
      <c r="D3714" t="inlineStr">
        <is>
          <t>VÄRMLANDS LÄN</t>
        </is>
      </c>
      <c r="E3714" t="inlineStr">
        <is>
          <t>FILIPSTAD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66427-2020</t>
        </is>
      </c>
      <c r="B3715" s="1" t="n">
        <v>44176</v>
      </c>
      <c r="C3715" s="1" t="n">
        <v>45736</v>
      </c>
      <c r="D3715" t="inlineStr">
        <is>
          <t>VÄRMLANDS LÄN</t>
        </is>
      </c>
      <c r="E3715" t="inlineStr">
        <is>
          <t>FILIPSTAD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66415-2020</t>
        </is>
      </c>
      <c r="B3716" s="1" t="n">
        <v>44176</v>
      </c>
      <c r="C3716" s="1" t="n">
        <v>45736</v>
      </c>
      <c r="D3716" t="inlineStr">
        <is>
          <t>VÄRMLANDS LÄN</t>
        </is>
      </c>
      <c r="E3716" t="inlineStr">
        <is>
          <t>FILIPSTAD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67017-2020</t>
        </is>
      </c>
      <c r="B3717" s="1" t="n">
        <v>44176</v>
      </c>
      <c r="C3717" s="1" t="n">
        <v>45736</v>
      </c>
      <c r="D3717" t="inlineStr">
        <is>
          <t>VÄRMLANDS LÄN</t>
        </is>
      </c>
      <c r="E3717" t="inlineStr">
        <is>
          <t>GRUMS</t>
        </is>
      </c>
      <c r="F3717" t="inlineStr">
        <is>
          <t>Bergvik skog väst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67018-2020</t>
        </is>
      </c>
      <c r="B3718" s="1" t="n">
        <v>44176</v>
      </c>
      <c r="C3718" s="1" t="n">
        <v>45736</v>
      </c>
      <c r="D3718" t="inlineStr">
        <is>
          <t>VÄRMLANDS LÄN</t>
        </is>
      </c>
      <c r="E3718" t="inlineStr">
        <is>
          <t>GRUMS</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66521-2020</t>
        </is>
      </c>
      <c r="B3719" s="1" t="n">
        <v>44179</v>
      </c>
      <c r="C3719" s="1" t="n">
        <v>45736</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66602-2020</t>
        </is>
      </c>
      <c r="B3720" s="1" t="n">
        <v>44179</v>
      </c>
      <c r="C3720" s="1" t="n">
        <v>45736</v>
      </c>
      <c r="D3720" t="inlineStr">
        <is>
          <t>VÄRMLANDS LÄN</t>
        </is>
      </c>
      <c r="E3720" t="inlineStr">
        <is>
          <t>SUNNE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66807-2020</t>
        </is>
      </c>
      <c r="B3721" s="1" t="n">
        <v>44179</v>
      </c>
      <c r="C3721" s="1" t="n">
        <v>45736</v>
      </c>
      <c r="D3721" t="inlineStr">
        <is>
          <t>VÄRMLANDS LÄN</t>
        </is>
      </c>
      <c r="E3721" t="inlineStr">
        <is>
          <t>ARVIKA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67134-2020</t>
        </is>
      </c>
      <c r="B3722" s="1" t="n">
        <v>44179</v>
      </c>
      <c r="C3722" s="1" t="n">
        <v>45736</v>
      </c>
      <c r="D3722" t="inlineStr">
        <is>
          <t>VÄRMLANDS LÄN</t>
        </is>
      </c>
      <c r="E3722" t="inlineStr">
        <is>
          <t>ÅRJÄNG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66804-2020</t>
        </is>
      </c>
      <c r="B3723" s="1" t="n">
        <v>44179</v>
      </c>
      <c r="C3723" s="1" t="n">
        <v>45736</v>
      </c>
      <c r="D3723" t="inlineStr">
        <is>
          <t>VÄRMLANDS LÄN</t>
        </is>
      </c>
      <c r="E3723" t="inlineStr">
        <is>
          <t>FILIPSTAD</t>
        </is>
      </c>
      <c r="F3723" t="inlineStr">
        <is>
          <t>Bergvik skog väst AB</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67084-2020</t>
        </is>
      </c>
      <c r="B3724" s="1" t="n">
        <v>44179</v>
      </c>
      <c r="C3724" s="1" t="n">
        <v>45736</v>
      </c>
      <c r="D3724" t="inlineStr">
        <is>
          <t>VÄRMLANDS LÄN</t>
        </is>
      </c>
      <c r="E3724" t="inlineStr">
        <is>
          <t>TORSBY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67027-2020</t>
        </is>
      </c>
      <c r="B3725" s="1" t="n">
        <v>44180</v>
      </c>
      <c r="C3725" s="1" t="n">
        <v>45736</v>
      </c>
      <c r="D3725" t="inlineStr">
        <is>
          <t>VÄRMLANDS LÄN</t>
        </is>
      </c>
      <c r="E3725" t="inlineStr">
        <is>
          <t>FORSHAGA</t>
        </is>
      </c>
      <c r="F3725" t="inlineStr">
        <is>
          <t>Bergvik skog väst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67035-2020</t>
        </is>
      </c>
      <c r="B3726" s="1" t="n">
        <v>44180</v>
      </c>
      <c r="C3726" s="1" t="n">
        <v>45736</v>
      </c>
      <c r="D3726" t="inlineStr">
        <is>
          <t>VÄRMLANDS LÄN</t>
        </is>
      </c>
      <c r="E3726" t="inlineStr">
        <is>
          <t>ARVIKA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67022-2020</t>
        </is>
      </c>
      <c r="B3727" s="1" t="n">
        <v>44180</v>
      </c>
      <c r="C3727" s="1" t="n">
        <v>45736</v>
      </c>
      <c r="D3727" t="inlineStr">
        <is>
          <t>VÄRMLANDS LÄN</t>
        </is>
      </c>
      <c r="E3727" t="inlineStr">
        <is>
          <t>KARLSTAD</t>
        </is>
      </c>
      <c r="F3727" t="inlineStr">
        <is>
          <t>Kommuner</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66899-2020</t>
        </is>
      </c>
      <c r="B3728" s="1" t="n">
        <v>44180</v>
      </c>
      <c r="C3728" s="1" t="n">
        <v>45736</v>
      </c>
      <c r="D3728" t="inlineStr">
        <is>
          <t>VÄRMLANDS LÄN</t>
        </is>
      </c>
      <c r="E3728" t="inlineStr">
        <is>
          <t>SUNNE</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67353-2020</t>
        </is>
      </c>
      <c r="B3729" s="1" t="n">
        <v>44181</v>
      </c>
      <c r="C3729" s="1" t="n">
        <v>45736</v>
      </c>
      <c r="D3729" t="inlineStr">
        <is>
          <t>VÄRMLANDS LÄN</t>
        </is>
      </c>
      <c r="E3729" t="inlineStr">
        <is>
          <t>KRISTINEHAMN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67547-2020</t>
        </is>
      </c>
      <c r="B3730" s="1" t="n">
        <v>44181</v>
      </c>
      <c r="C3730" s="1" t="n">
        <v>45736</v>
      </c>
      <c r="D3730" t="inlineStr">
        <is>
          <t>VÄRMLANDS LÄN</t>
        </is>
      </c>
      <c r="E3730" t="inlineStr">
        <is>
          <t>TORSBY</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67564-2020</t>
        </is>
      </c>
      <c r="B3731" s="1" t="n">
        <v>44181</v>
      </c>
      <c r="C3731" s="1" t="n">
        <v>45736</v>
      </c>
      <c r="D3731" t="inlineStr">
        <is>
          <t>VÄRMLANDS LÄN</t>
        </is>
      </c>
      <c r="E3731" t="inlineStr">
        <is>
          <t>EDA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67351-2020</t>
        </is>
      </c>
      <c r="B3732" s="1" t="n">
        <v>44181</v>
      </c>
      <c r="C3732" s="1" t="n">
        <v>45736</v>
      </c>
      <c r="D3732" t="inlineStr">
        <is>
          <t>VÄRMLANDS LÄN</t>
        </is>
      </c>
      <c r="E3732" t="inlineStr">
        <is>
          <t>GRUMS</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67464-2020</t>
        </is>
      </c>
      <c r="B3733" s="1" t="n">
        <v>44181</v>
      </c>
      <c r="C3733" s="1" t="n">
        <v>45736</v>
      </c>
      <c r="D3733" t="inlineStr">
        <is>
          <t>VÄRMLANDS LÄN</t>
        </is>
      </c>
      <c r="E3733" t="inlineStr">
        <is>
          <t>TORSBY</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67632-2020</t>
        </is>
      </c>
      <c r="B3734" s="1" t="n">
        <v>44182</v>
      </c>
      <c r="C3734" s="1" t="n">
        <v>45736</v>
      </c>
      <c r="D3734" t="inlineStr">
        <is>
          <t>VÄRMLANDS LÄN</t>
        </is>
      </c>
      <c r="E3734" t="inlineStr">
        <is>
          <t>EDA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67734-2020</t>
        </is>
      </c>
      <c r="B3735" s="1" t="n">
        <v>44182</v>
      </c>
      <c r="C3735" s="1" t="n">
        <v>45736</v>
      </c>
      <c r="D3735" t="inlineStr">
        <is>
          <t>VÄRMLANDS LÄN</t>
        </is>
      </c>
      <c r="E3735" t="inlineStr">
        <is>
          <t>TORSBY</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67843-2020</t>
        </is>
      </c>
      <c r="B3736" s="1" t="n">
        <v>44182</v>
      </c>
      <c r="C3736" s="1" t="n">
        <v>45736</v>
      </c>
      <c r="D3736" t="inlineStr">
        <is>
          <t>VÄRMLANDS LÄN</t>
        </is>
      </c>
      <c r="E3736" t="inlineStr">
        <is>
          <t>FILIPSTAD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67852-2020</t>
        </is>
      </c>
      <c r="B3737" s="1" t="n">
        <v>44182</v>
      </c>
      <c r="C3737" s="1" t="n">
        <v>45736</v>
      </c>
      <c r="D3737" t="inlineStr">
        <is>
          <t>VÄRMLANDS LÄN</t>
        </is>
      </c>
      <c r="E3737" t="inlineStr">
        <is>
          <t>FILIPSTAD</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68261-2020</t>
        </is>
      </c>
      <c r="B3738" s="1" t="n">
        <v>44182</v>
      </c>
      <c r="C3738" s="1" t="n">
        <v>45736</v>
      </c>
      <c r="D3738" t="inlineStr">
        <is>
          <t>VÄRMLANDS LÄN</t>
        </is>
      </c>
      <c r="E3738" t="inlineStr">
        <is>
          <t>SUNNE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68244-2020</t>
        </is>
      </c>
      <c r="B3739" s="1" t="n">
        <v>44182</v>
      </c>
      <c r="C3739" s="1" t="n">
        <v>45736</v>
      </c>
      <c r="D3739" t="inlineStr">
        <is>
          <t>VÄRMLANDS LÄN</t>
        </is>
      </c>
      <c r="E3739" t="inlineStr">
        <is>
          <t>EDA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68355-2020</t>
        </is>
      </c>
      <c r="B3740" s="1" t="n">
        <v>44182</v>
      </c>
      <c r="C3740" s="1" t="n">
        <v>45736</v>
      </c>
      <c r="D3740" t="inlineStr">
        <is>
          <t>VÄRMLANDS LÄN</t>
        </is>
      </c>
      <c r="E3740" t="inlineStr">
        <is>
          <t>KARLSTAD</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68171-2020</t>
        </is>
      </c>
      <c r="B3741" s="1" t="n">
        <v>44183</v>
      </c>
      <c r="C3741" s="1" t="n">
        <v>45736</v>
      </c>
      <c r="D3741" t="inlineStr">
        <is>
          <t>VÄRMLANDS LÄN</t>
        </is>
      </c>
      <c r="E3741" t="inlineStr">
        <is>
          <t>SÄFFLE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68220-2020</t>
        </is>
      </c>
      <c r="B3742" s="1" t="n">
        <v>44183</v>
      </c>
      <c r="C3742" s="1" t="n">
        <v>45736</v>
      </c>
      <c r="D3742" t="inlineStr">
        <is>
          <t>VÄRMLANDS LÄN</t>
        </is>
      </c>
      <c r="E3742" t="inlineStr">
        <is>
          <t>TORSBY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68279-2020</t>
        </is>
      </c>
      <c r="B3743" s="1" t="n">
        <v>44183</v>
      </c>
      <c r="C3743" s="1" t="n">
        <v>45736</v>
      </c>
      <c r="D3743" t="inlineStr">
        <is>
          <t>VÄRMLANDS LÄN</t>
        </is>
      </c>
      <c r="E3743" t="inlineStr">
        <is>
          <t>ARVIKA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68238-2020</t>
        </is>
      </c>
      <c r="B3744" s="1" t="n">
        <v>44183</v>
      </c>
      <c r="C3744" s="1" t="n">
        <v>45736</v>
      </c>
      <c r="D3744" t="inlineStr">
        <is>
          <t>VÄRMLANDS LÄN</t>
        </is>
      </c>
      <c r="E3744" t="inlineStr">
        <is>
          <t>TORSBY</t>
        </is>
      </c>
      <c r="F3744" t="inlineStr">
        <is>
          <t>Bergvik skog väst AB</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68129-2020</t>
        </is>
      </c>
      <c r="B3745" s="1" t="n">
        <v>44183</v>
      </c>
      <c r="C3745" s="1" t="n">
        <v>45736</v>
      </c>
      <c r="D3745" t="inlineStr">
        <is>
          <t>VÄRMLANDS LÄN</t>
        </is>
      </c>
      <c r="E3745" t="inlineStr">
        <is>
          <t>HAGFORS</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68246-2020</t>
        </is>
      </c>
      <c r="B3746" s="1" t="n">
        <v>44183</v>
      </c>
      <c r="C3746" s="1" t="n">
        <v>45736</v>
      </c>
      <c r="D3746" t="inlineStr">
        <is>
          <t>VÄRMLANDS LÄN</t>
        </is>
      </c>
      <c r="E3746" t="inlineStr">
        <is>
          <t>TORSBY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68460-2020</t>
        </is>
      </c>
      <c r="B3747" s="1" t="n">
        <v>44186</v>
      </c>
      <c r="C3747" s="1" t="n">
        <v>45736</v>
      </c>
      <c r="D3747" t="inlineStr">
        <is>
          <t>VÄRMLANDS LÄN</t>
        </is>
      </c>
      <c r="E3747" t="inlineStr">
        <is>
          <t>SUNNE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68473-2020</t>
        </is>
      </c>
      <c r="B3748" s="1" t="n">
        <v>44186</v>
      </c>
      <c r="C3748" s="1" t="n">
        <v>45736</v>
      </c>
      <c r="D3748" t="inlineStr">
        <is>
          <t>VÄRMLANDS LÄN</t>
        </is>
      </c>
      <c r="E3748" t="inlineStr">
        <is>
          <t>SUNNE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68517-2020</t>
        </is>
      </c>
      <c r="B3749" s="1" t="n">
        <v>44186</v>
      </c>
      <c r="C3749" s="1" t="n">
        <v>45736</v>
      </c>
      <c r="D3749" t="inlineStr">
        <is>
          <t>VÄRMLANDS LÄN</t>
        </is>
      </c>
      <c r="E3749" t="inlineStr">
        <is>
          <t>FILIPSTAD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68549-2020</t>
        </is>
      </c>
      <c r="B3750" s="1" t="n">
        <v>44186</v>
      </c>
      <c r="C3750" s="1" t="n">
        <v>45736</v>
      </c>
      <c r="D3750" t="inlineStr">
        <is>
          <t>VÄRMLANDS LÄN</t>
        </is>
      </c>
      <c r="E3750" t="inlineStr">
        <is>
          <t>EDA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68441-2020</t>
        </is>
      </c>
      <c r="B3751" s="1" t="n">
        <v>44186</v>
      </c>
      <c r="C3751" s="1" t="n">
        <v>45736</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68467-2020</t>
        </is>
      </c>
      <c r="B3752" s="1" t="n">
        <v>44186</v>
      </c>
      <c r="C3752" s="1" t="n">
        <v>45736</v>
      </c>
      <c r="D3752" t="inlineStr">
        <is>
          <t>VÄRMLANDS LÄN</t>
        </is>
      </c>
      <c r="E3752" t="inlineStr">
        <is>
          <t>SUNNE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68344-2020</t>
        </is>
      </c>
      <c r="B3753" s="1" t="n">
        <v>44186</v>
      </c>
      <c r="C3753" s="1" t="n">
        <v>45736</v>
      </c>
      <c r="D3753" t="inlineStr">
        <is>
          <t>VÄRMLANDS LÄN</t>
        </is>
      </c>
      <c r="E3753" t="inlineStr">
        <is>
          <t>ÅRJÄNG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68452-2020</t>
        </is>
      </c>
      <c r="B3754" s="1" t="n">
        <v>44186</v>
      </c>
      <c r="C3754" s="1" t="n">
        <v>45736</v>
      </c>
      <c r="D3754" t="inlineStr">
        <is>
          <t>VÄRMLANDS LÄN</t>
        </is>
      </c>
      <c r="E3754" t="inlineStr">
        <is>
          <t>SUNNE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68480-2020</t>
        </is>
      </c>
      <c r="B3755" s="1" t="n">
        <v>44186</v>
      </c>
      <c r="C3755" s="1" t="n">
        <v>45736</v>
      </c>
      <c r="D3755" t="inlineStr">
        <is>
          <t>VÄRMLANDS LÄN</t>
        </is>
      </c>
      <c r="E3755" t="inlineStr">
        <is>
          <t>SUNNE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68515-2020</t>
        </is>
      </c>
      <c r="B3756" s="1" t="n">
        <v>44186</v>
      </c>
      <c r="C3756" s="1" t="n">
        <v>45736</v>
      </c>
      <c r="D3756" t="inlineStr">
        <is>
          <t>VÄRMLANDS LÄN</t>
        </is>
      </c>
      <c r="E3756" t="inlineStr">
        <is>
          <t>FILIPSTAD</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68462-2020</t>
        </is>
      </c>
      <c r="B3757" s="1" t="n">
        <v>44186</v>
      </c>
      <c r="C3757" s="1" t="n">
        <v>45736</v>
      </c>
      <c r="D3757" t="inlineStr">
        <is>
          <t>VÄRMLANDS LÄN</t>
        </is>
      </c>
      <c r="E3757" t="inlineStr">
        <is>
          <t>SUNNE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68476-2020</t>
        </is>
      </c>
      <c r="B3758" s="1" t="n">
        <v>44186</v>
      </c>
      <c r="C3758" s="1" t="n">
        <v>45736</v>
      </c>
      <c r="D3758" t="inlineStr">
        <is>
          <t>VÄRMLANDS LÄN</t>
        </is>
      </c>
      <c r="E3758" t="inlineStr">
        <is>
          <t>SUNNE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68603-2020</t>
        </is>
      </c>
      <c r="B3759" s="1" t="n">
        <v>44186</v>
      </c>
      <c r="C3759" s="1" t="n">
        <v>45736</v>
      </c>
      <c r="D3759" t="inlineStr">
        <is>
          <t>VÄRMLANDS LÄN</t>
        </is>
      </c>
      <c r="E3759" t="inlineStr">
        <is>
          <t>TORSBY</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68620-2020</t>
        </is>
      </c>
      <c r="B3760" s="1" t="n">
        <v>44186</v>
      </c>
      <c r="C3760" s="1" t="n">
        <v>45736</v>
      </c>
      <c r="D3760" t="inlineStr">
        <is>
          <t>VÄRMLANDS LÄN</t>
        </is>
      </c>
      <c r="E3760" t="inlineStr">
        <is>
          <t>FILIPSTAD</t>
        </is>
      </c>
      <c r="G3760" t="n">
        <v>29.6</v>
      </c>
      <c r="H3760" t="n">
        <v>0</v>
      </c>
      <c r="I3760" t="n">
        <v>0</v>
      </c>
      <c r="J3760" t="n">
        <v>0</v>
      </c>
      <c r="K3760" t="n">
        <v>0</v>
      </c>
      <c r="L3760" t="n">
        <v>0</v>
      </c>
      <c r="M3760" t="n">
        <v>0</v>
      </c>
      <c r="N3760" t="n">
        <v>0</v>
      </c>
      <c r="O3760" t="n">
        <v>0</v>
      </c>
      <c r="P3760" t="n">
        <v>0</v>
      </c>
      <c r="Q3760" t="n">
        <v>0</v>
      </c>
      <c r="R3760" s="2" t="inlineStr"/>
    </row>
    <row r="3761" ht="15" customHeight="1">
      <c r="A3761" t="inlineStr">
        <is>
          <t>A 68665-2020</t>
        </is>
      </c>
      <c r="B3761" s="1" t="n">
        <v>44187</v>
      </c>
      <c r="C3761" s="1" t="n">
        <v>45736</v>
      </c>
      <c r="D3761" t="inlineStr">
        <is>
          <t>VÄRMLANDS LÄN</t>
        </is>
      </c>
      <c r="E3761" t="inlineStr">
        <is>
          <t>FORSHAGA</t>
        </is>
      </c>
      <c r="F3761" t="inlineStr">
        <is>
          <t>Bergvik skog väst AB</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68687-2020</t>
        </is>
      </c>
      <c r="B3762" s="1" t="n">
        <v>44187</v>
      </c>
      <c r="C3762" s="1" t="n">
        <v>45736</v>
      </c>
      <c r="D3762" t="inlineStr">
        <is>
          <t>VÄRMLANDS LÄN</t>
        </is>
      </c>
      <c r="E3762" t="inlineStr">
        <is>
          <t>ÅRJÄNG</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68842-2020</t>
        </is>
      </c>
      <c r="B3763" s="1" t="n">
        <v>44187</v>
      </c>
      <c r="C3763" s="1" t="n">
        <v>45736</v>
      </c>
      <c r="D3763" t="inlineStr">
        <is>
          <t>VÄRMLANDS LÄN</t>
        </is>
      </c>
      <c r="E3763" t="inlineStr">
        <is>
          <t>KARLSTAD</t>
        </is>
      </c>
      <c r="F3763" t="inlineStr">
        <is>
          <t>Bergvik skog väst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68864-2020</t>
        </is>
      </c>
      <c r="B3764" s="1" t="n">
        <v>44187</v>
      </c>
      <c r="C3764" s="1" t="n">
        <v>45736</v>
      </c>
      <c r="D3764" t="inlineStr">
        <is>
          <t>VÄRMLANDS LÄN</t>
        </is>
      </c>
      <c r="E3764" t="inlineStr">
        <is>
          <t>SUNNE</t>
        </is>
      </c>
      <c r="F3764" t="inlineStr">
        <is>
          <t>Bergvik skog väst AB</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68672-2020</t>
        </is>
      </c>
      <c r="B3765" s="1" t="n">
        <v>44187</v>
      </c>
      <c r="C3765" s="1" t="n">
        <v>45736</v>
      </c>
      <c r="D3765" t="inlineStr">
        <is>
          <t>VÄRMLANDS LÄN</t>
        </is>
      </c>
      <c r="E3765" t="inlineStr">
        <is>
          <t>FORSHAGA</t>
        </is>
      </c>
      <c r="F3765" t="inlineStr">
        <is>
          <t>Bergvik skog väst AB</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68810-2020</t>
        </is>
      </c>
      <c r="B3766" s="1" t="n">
        <v>44187</v>
      </c>
      <c r="C3766" s="1" t="n">
        <v>45736</v>
      </c>
      <c r="D3766" t="inlineStr">
        <is>
          <t>VÄRMLANDS LÄN</t>
        </is>
      </c>
      <c r="E3766" t="inlineStr">
        <is>
          <t>SÄFFLE</t>
        </is>
      </c>
      <c r="F3766" t="inlineStr">
        <is>
          <t>Bergvik skog väst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68858-2020</t>
        </is>
      </c>
      <c r="B3767" s="1" t="n">
        <v>44187</v>
      </c>
      <c r="C3767" s="1" t="n">
        <v>45736</v>
      </c>
      <c r="D3767" t="inlineStr">
        <is>
          <t>VÄRMLANDS LÄN</t>
        </is>
      </c>
      <c r="E3767" t="inlineStr">
        <is>
          <t>SUNNE</t>
        </is>
      </c>
      <c r="F3767" t="inlineStr">
        <is>
          <t>Bergvik skog väst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68948-2020</t>
        </is>
      </c>
      <c r="B3768" s="1" t="n">
        <v>44187</v>
      </c>
      <c r="C3768" s="1" t="n">
        <v>45736</v>
      </c>
      <c r="D3768" t="inlineStr">
        <is>
          <t>VÄRMLANDS LÄN</t>
        </is>
      </c>
      <c r="E3768" t="inlineStr">
        <is>
          <t>SUNNE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68866-2020</t>
        </is>
      </c>
      <c r="B3769" s="1" t="n">
        <v>44187</v>
      </c>
      <c r="C3769" s="1" t="n">
        <v>45736</v>
      </c>
      <c r="D3769" t="inlineStr">
        <is>
          <t>VÄRMLANDS LÄN</t>
        </is>
      </c>
      <c r="E3769" t="inlineStr">
        <is>
          <t>SUNNE</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68693-2020</t>
        </is>
      </c>
      <c r="B3770" s="1" t="n">
        <v>44187</v>
      </c>
      <c r="C3770" s="1" t="n">
        <v>45736</v>
      </c>
      <c r="D3770" t="inlineStr">
        <is>
          <t>VÄRMLANDS LÄN</t>
        </is>
      </c>
      <c r="E3770" t="inlineStr">
        <is>
          <t>ÅRJÄNG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68877-2020</t>
        </is>
      </c>
      <c r="B3771" s="1" t="n">
        <v>44187</v>
      </c>
      <c r="C3771" s="1" t="n">
        <v>45736</v>
      </c>
      <c r="D3771" t="inlineStr">
        <is>
          <t>VÄRMLANDS LÄN</t>
        </is>
      </c>
      <c r="E3771" t="inlineStr">
        <is>
          <t>FILIPSTAD</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68907-2020</t>
        </is>
      </c>
      <c r="B3772" s="1" t="n">
        <v>44187</v>
      </c>
      <c r="C3772" s="1" t="n">
        <v>45736</v>
      </c>
      <c r="D3772" t="inlineStr">
        <is>
          <t>VÄRMLANDS LÄN</t>
        </is>
      </c>
      <c r="E3772" t="inlineStr">
        <is>
          <t>SUNNE</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68946-2020</t>
        </is>
      </c>
      <c r="B3773" s="1" t="n">
        <v>44187</v>
      </c>
      <c r="C3773" s="1" t="n">
        <v>45736</v>
      </c>
      <c r="D3773" t="inlineStr">
        <is>
          <t>VÄRMLANDS LÄN</t>
        </is>
      </c>
      <c r="E3773" t="inlineStr">
        <is>
          <t>SUNNE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69031-2020</t>
        </is>
      </c>
      <c r="B3774" s="1" t="n">
        <v>44188</v>
      </c>
      <c r="C3774" s="1" t="n">
        <v>45736</v>
      </c>
      <c r="D3774" t="inlineStr">
        <is>
          <t>VÄRMLANDS LÄN</t>
        </is>
      </c>
      <c r="E3774" t="inlineStr">
        <is>
          <t>FORSHAGA</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68985-2020</t>
        </is>
      </c>
      <c r="B3775" s="1" t="n">
        <v>44188</v>
      </c>
      <c r="C3775" s="1" t="n">
        <v>45736</v>
      </c>
      <c r="D3775" t="inlineStr">
        <is>
          <t>VÄRMLANDS LÄN</t>
        </is>
      </c>
      <c r="E3775" t="inlineStr">
        <is>
          <t>FORSHAGA</t>
        </is>
      </c>
      <c r="F3775" t="inlineStr">
        <is>
          <t>Bergvik skog väst AB</t>
        </is>
      </c>
      <c r="G3775" t="n">
        <v>9.300000000000001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68988-2020</t>
        </is>
      </c>
      <c r="B3776" s="1" t="n">
        <v>44188</v>
      </c>
      <c r="C3776" s="1" t="n">
        <v>45736</v>
      </c>
      <c r="D3776" t="inlineStr">
        <is>
          <t>VÄRMLANDS LÄN</t>
        </is>
      </c>
      <c r="E3776" t="inlineStr">
        <is>
          <t>KARLSTAD</t>
        </is>
      </c>
      <c r="F3776" t="inlineStr">
        <is>
          <t>Bergvik skog väst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69177-2020</t>
        </is>
      </c>
      <c r="B3777" s="1" t="n">
        <v>44189</v>
      </c>
      <c r="C3777" s="1" t="n">
        <v>45736</v>
      </c>
      <c r="D3777" t="inlineStr">
        <is>
          <t>VÄRMLANDS LÄN</t>
        </is>
      </c>
      <c r="E3777" t="inlineStr">
        <is>
          <t>SÄFFLE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69228-2020</t>
        </is>
      </c>
      <c r="B3778" s="1" t="n">
        <v>44192</v>
      </c>
      <c r="C3778" s="1" t="n">
        <v>45736</v>
      </c>
      <c r="D3778" t="inlineStr">
        <is>
          <t>VÄRMLANDS LÄN</t>
        </is>
      </c>
      <c r="E3778" t="inlineStr">
        <is>
          <t>SUNNE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69232-2020</t>
        </is>
      </c>
      <c r="B3779" s="1" t="n">
        <v>44192</v>
      </c>
      <c r="C3779" s="1" t="n">
        <v>45736</v>
      </c>
      <c r="D3779" t="inlineStr">
        <is>
          <t>VÄRMLANDS LÄN</t>
        </is>
      </c>
      <c r="E3779" t="inlineStr">
        <is>
          <t>SUNNE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69245-2020</t>
        </is>
      </c>
      <c r="B3780" s="1" t="n">
        <v>44192</v>
      </c>
      <c r="C3780" s="1" t="n">
        <v>45736</v>
      </c>
      <c r="D3780" t="inlineStr">
        <is>
          <t>VÄRMLANDS LÄN</t>
        </is>
      </c>
      <c r="E3780" t="inlineStr">
        <is>
          <t>TORSBY</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69250-2020</t>
        </is>
      </c>
      <c r="B3781" s="1" t="n">
        <v>44192</v>
      </c>
      <c r="C3781" s="1" t="n">
        <v>45736</v>
      </c>
      <c r="D3781" t="inlineStr">
        <is>
          <t>VÄRMLANDS LÄN</t>
        </is>
      </c>
      <c r="E3781" t="inlineStr">
        <is>
          <t>TORSBY</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69230-2020</t>
        </is>
      </c>
      <c r="B3782" s="1" t="n">
        <v>44192</v>
      </c>
      <c r="C3782" s="1" t="n">
        <v>45736</v>
      </c>
      <c r="D3782" t="inlineStr">
        <is>
          <t>VÄRMLANDS LÄN</t>
        </is>
      </c>
      <c r="E3782" t="inlineStr">
        <is>
          <t>SUNNE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69242-2020</t>
        </is>
      </c>
      <c r="B3783" s="1" t="n">
        <v>44192</v>
      </c>
      <c r="C3783" s="1" t="n">
        <v>45736</v>
      </c>
      <c r="D3783" t="inlineStr">
        <is>
          <t>VÄRMLANDS LÄN</t>
        </is>
      </c>
      <c r="E3783" t="inlineStr">
        <is>
          <t>TORSBY</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69247-2020</t>
        </is>
      </c>
      <c r="B3784" s="1" t="n">
        <v>44192</v>
      </c>
      <c r="C3784" s="1" t="n">
        <v>45736</v>
      </c>
      <c r="D3784" t="inlineStr">
        <is>
          <t>VÄRMLANDS LÄN</t>
        </is>
      </c>
      <c r="E3784" t="inlineStr">
        <is>
          <t>TORSBY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69231-2020</t>
        </is>
      </c>
      <c r="B3785" s="1" t="n">
        <v>44192</v>
      </c>
      <c r="C3785" s="1" t="n">
        <v>45736</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69237-2020</t>
        </is>
      </c>
      <c r="B3786" s="1" t="n">
        <v>44192</v>
      </c>
      <c r="C3786" s="1" t="n">
        <v>45736</v>
      </c>
      <c r="D3786" t="inlineStr">
        <is>
          <t>VÄRMLANDS LÄN</t>
        </is>
      </c>
      <c r="E3786" t="inlineStr">
        <is>
          <t>KRISTINEHAMN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69244-2020</t>
        </is>
      </c>
      <c r="B3787" s="1" t="n">
        <v>44192</v>
      </c>
      <c r="C3787" s="1" t="n">
        <v>45736</v>
      </c>
      <c r="D3787" t="inlineStr">
        <is>
          <t>VÄRMLANDS LÄN</t>
        </is>
      </c>
      <c r="E3787" t="inlineStr">
        <is>
          <t>TORSBY</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69248-2020</t>
        </is>
      </c>
      <c r="B3788" s="1" t="n">
        <v>44192</v>
      </c>
      <c r="C3788" s="1" t="n">
        <v>45736</v>
      </c>
      <c r="D3788" t="inlineStr">
        <is>
          <t>VÄRMLANDS LÄN</t>
        </is>
      </c>
      <c r="E3788" t="inlineStr">
        <is>
          <t>TORSBY</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69233-2020</t>
        </is>
      </c>
      <c r="B3789" s="1" t="n">
        <v>44192</v>
      </c>
      <c r="C3789" s="1" t="n">
        <v>45736</v>
      </c>
      <c r="D3789" t="inlineStr">
        <is>
          <t>VÄRMLANDS LÄN</t>
        </is>
      </c>
      <c r="E3789" t="inlineStr">
        <is>
          <t>SUNNE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69241-2020</t>
        </is>
      </c>
      <c r="B3790" s="1" t="n">
        <v>44192</v>
      </c>
      <c r="C3790" s="1" t="n">
        <v>45736</v>
      </c>
      <c r="D3790" t="inlineStr">
        <is>
          <t>VÄRMLANDS LÄN</t>
        </is>
      </c>
      <c r="E3790" t="inlineStr">
        <is>
          <t>TORSBY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69246-2020</t>
        </is>
      </c>
      <c r="B3791" s="1" t="n">
        <v>44192</v>
      </c>
      <c r="C3791" s="1" t="n">
        <v>45736</v>
      </c>
      <c r="D3791" t="inlineStr">
        <is>
          <t>VÄRMLANDS LÄN</t>
        </is>
      </c>
      <c r="E3791" t="inlineStr">
        <is>
          <t>TORSBY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69270-2020</t>
        </is>
      </c>
      <c r="B3792" s="1" t="n">
        <v>44193</v>
      </c>
      <c r="C3792" s="1" t="n">
        <v>45736</v>
      </c>
      <c r="D3792" t="inlineStr">
        <is>
          <t>VÄRMLANDS LÄN</t>
        </is>
      </c>
      <c r="E3792" t="inlineStr">
        <is>
          <t>SÄFFLE</t>
        </is>
      </c>
      <c r="F3792" t="inlineStr">
        <is>
          <t>Bergvik skog väst AB</t>
        </is>
      </c>
      <c r="G3792" t="n">
        <v>9.6</v>
      </c>
      <c r="H3792" t="n">
        <v>0</v>
      </c>
      <c r="I3792" t="n">
        <v>0</v>
      </c>
      <c r="J3792" t="n">
        <v>0</v>
      </c>
      <c r="K3792" t="n">
        <v>0</v>
      </c>
      <c r="L3792" t="n">
        <v>0</v>
      </c>
      <c r="M3792" t="n">
        <v>0</v>
      </c>
      <c r="N3792" t="n">
        <v>0</v>
      </c>
      <c r="O3792" t="n">
        <v>0</v>
      </c>
      <c r="P3792" t="n">
        <v>0</v>
      </c>
      <c r="Q3792" t="n">
        <v>0</v>
      </c>
      <c r="R3792" s="2" t="inlineStr"/>
    </row>
    <row r="3793" ht="15" customHeight="1">
      <c r="A3793" t="inlineStr">
        <is>
          <t>A 69361-2020</t>
        </is>
      </c>
      <c r="B3793" s="1" t="n">
        <v>44193</v>
      </c>
      <c r="C3793" s="1" t="n">
        <v>45736</v>
      </c>
      <c r="D3793" t="inlineStr">
        <is>
          <t>VÄRMLANDS LÄN</t>
        </is>
      </c>
      <c r="E3793" t="inlineStr">
        <is>
          <t>ARVIKA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69384-2020</t>
        </is>
      </c>
      <c r="B3794" s="1" t="n">
        <v>44193</v>
      </c>
      <c r="C3794" s="1" t="n">
        <v>45736</v>
      </c>
      <c r="D3794" t="inlineStr">
        <is>
          <t>VÄRMLANDS LÄN</t>
        </is>
      </c>
      <c r="E3794" t="inlineStr">
        <is>
          <t>KRISTINEHAMN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69266-2020</t>
        </is>
      </c>
      <c r="B3795" s="1" t="n">
        <v>44193</v>
      </c>
      <c r="C3795" s="1" t="n">
        <v>45736</v>
      </c>
      <c r="D3795" t="inlineStr">
        <is>
          <t>VÄRMLANDS LÄN</t>
        </is>
      </c>
      <c r="E3795" t="inlineStr">
        <is>
          <t>SÄFFLE</t>
        </is>
      </c>
      <c r="F3795" t="inlineStr">
        <is>
          <t>Bergvik skog väst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69364-2020</t>
        </is>
      </c>
      <c r="B3796" s="1" t="n">
        <v>44193</v>
      </c>
      <c r="C3796" s="1" t="n">
        <v>45736</v>
      </c>
      <c r="D3796" t="inlineStr">
        <is>
          <t>VÄRMLANDS LÄN</t>
        </is>
      </c>
      <c r="E3796" t="inlineStr">
        <is>
          <t>SÄFFLE</t>
        </is>
      </c>
      <c r="F3796" t="inlineStr">
        <is>
          <t>Bergvik skog väst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69367-2020</t>
        </is>
      </c>
      <c r="B3797" s="1" t="n">
        <v>44193</v>
      </c>
      <c r="C3797" s="1" t="n">
        <v>45736</v>
      </c>
      <c r="D3797" t="inlineStr">
        <is>
          <t>VÄRMLANDS LÄN</t>
        </is>
      </c>
      <c r="E3797" t="inlineStr">
        <is>
          <t>ARVIKA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69408-2020</t>
        </is>
      </c>
      <c r="B3798" s="1" t="n">
        <v>44193</v>
      </c>
      <c r="C3798" s="1" t="n">
        <v>45736</v>
      </c>
      <c r="D3798" t="inlineStr">
        <is>
          <t>VÄRMLANDS LÄN</t>
        </is>
      </c>
      <c r="E3798" t="inlineStr">
        <is>
          <t>SUNNE</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69443-2020</t>
        </is>
      </c>
      <c r="B3799" s="1" t="n">
        <v>44194</v>
      </c>
      <c r="C3799" s="1" t="n">
        <v>45736</v>
      </c>
      <c r="D3799" t="inlineStr">
        <is>
          <t>VÄRMLANDS LÄN</t>
        </is>
      </c>
      <c r="E3799" t="inlineStr">
        <is>
          <t>SÄFFLE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69492-2020</t>
        </is>
      </c>
      <c r="B3800" s="1" t="n">
        <v>44194</v>
      </c>
      <c r="C3800" s="1" t="n">
        <v>45736</v>
      </c>
      <c r="D3800" t="inlineStr">
        <is>
          <t>VÄRMLANDS LÄN</t>
        </is>
      </c>
      <c r="E3800" t="inlineStr">
        <is>
          <t>KRISTINEHAMN</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69520-2020</t>
        </is>
      </c>
      <c r="B3801" s="1" t="n">
        <v>44194</v>
      </c>
      <c r="C3801" s="1" t="n">
        <v>45736</v>
      </c>
      <c r="D3801" t="inlineStr">
        <is>
          <t>VÄRMLANDS LÄN</t>
        </is>
      </c>
      <c r="E3801" t="inlineStr">
        <is>
          <t>ÅRJÄNG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69434-2020</t>
        </is>
      </c>
      <c r="B3802" s="1" t="n">
        <v>44194</v>
      </c>
      <c r="C3802" s="1" t="n">
        <v>45736</v>
      </c>
      <c r="D3802" t="inlineStr">
        <is>
          <t>VÄRMLANDS LÄN</t>
        </is>
      </c>
      <c r="E3802" t="inlineStr">
        <is>
          <t>TORSBY</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69448-2020</t>
        </is>
      </c>
      <c r="B3803" s="1" t="n">
        <v>44194</v>
      </c>
      <c r="C3803" s="1" t="n">
        <v>45736</v>
      </c>
      <c r="D3803" t="inlineStr">
        <is>
          <t>VÄRMLANDS LÄN</t>
        </is>
      </c>
      <c r="E3803" t="inlineStr">
        <is>
          <t>TORSBY</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69647-2020</t>
        </is>
      </c>
      <c r="B3804" s="1" t="n">
        <v>44195</v>
      </c>
      <c r="C3804" s="1" t="n">
        <v>45736</v>
      </c>
      <c r="D3804" t="inlineStr">
        <is>
          <t>VÄRMLANDS LÄN</t>
        </is>
      </c>
      <c r="E3804" t="inlineStr">
        <is>
          <t>ÅRJÄNG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69661-2020</t>
        </is>
      </c>
      <c r="B3805" s="1" t="n">
        <v>44195</v>
      </c>
      <c r="C3805" s="1" t="n">
        <v>45736</v>
      </c>
      <c r="D3805" t="inlineStr">
        <is>
          <t>VÄRMLANDS LÄN</t>
        </is>
      </c>
      <c r="E3805" t="inlineStr">
        <is>
          <t>KRISTINEHAMN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69584-2020</t>
        </is>
      </c>
      <c r="B3806" s="1" t="n">
        <v>44195</v>
      </c>
      <c r="C3806" s="1" t="n">
        <v>45736</v>
      </c>
      <c r="D3806" t="inlineStr">
        <is>
          <t>VÄRMLANDS LÄN</t>
        </is>
      </c>
      <c r="E3806" t="inlineStr">
        <is>
          <t>ÅRJÄNG</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69628-2020</t>
        </is>
      </c>
      <c r="B3807" s="1" t="n">
        <v>44195</v>
      </c>
      <c r="C3807" s="1" t="n">
        <v>45736</v>
      </c>
      <c r="D3807" t="inlineStr">
        <is>
          <t>VÄRMLANDS LÄN</t>
        </is>
      </c>
      <c r="E3807" t="inlineStr">
        <is>
          <t>TORSBY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105-2021</t>
        </is>
      </c>
      <c r="B3808" s="1" t="n">
        <v>44200</v>
      </c>
      <c r="C3808" s="1" t="n">
        <v>45736</v>
      </c>
      <c r="D3808" t="inlineStr">
        <is>
          <t>VÄRMLANDS LÄN</t>
        </is>
      </c>
      <c r="E3808" t="inlineStr">
        <is>
          <t>KRISTINEHAMN</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170-2021</t>
        </is>
      </c>
      <c r="B3809" s="1" t="n">
        <v>44200</v>
      </c>
      <c r="C3809" s="1" t="n">
        <v>45736</v>
      </c>
      <c r="D3809" t="inlineStr">
        <is>
          <t>VÄRMLANDS LÄN</t>
        </is>
      </c>
      <c r="E3809" t="inlineStr">
        <is>
          <t>STORFORS</t>
        </is>
      </c>
      <c r="F3809" t="inlineStr">
        <is>
          <t>Bergvik skog väst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179-2021</t>
        </is>
      </c>
      <c r="B3810" s="1" t="n">
        <v>44200</v>
      </c>
      <c r="C3810" s="1" t="n">
        <v>45736</v>
      </c>
      <c r="D3810" t="inlineStr">
        <is>
          <t>VÄRMLANDS LÄN</t>
        </is>
      </c>
      <c r="E3810" t="inlineStr">
        <is>
          <t>SUNNE</t>
        </is>
      </c>
      <c r="G3810" t="n">
        <v>10.1</v>
      </c>
      <c r="H3810" t="n">
        <v>0</v>
      </c>
      <c r="I3810" t="n">
        <v>0</v>
      </c>
      <c r="J3810" t="n">
        <v>0</v>
      </c>
      <c r="K3810" t="n">
        <v>0</v>
      </c>
      <c r="L3810" t="n">
        <v>0</v>
      </c>
      <c r="M3810" t="n">
        <v>0</v>
      </c>
      <c r="N3810" t="n">
        <v>0</v>
      </c>
      <c r="O3810" t="n">
        <v>0</v>
      </c>
      <c r="P3810" t="n">
        <v>0</v>
      </c>
      <c r="Q3810" t="n">
        <v>0</v>
      </c>
      <c r="R3810" s="2" t="inlineStr"/>
    </row>
    <row r="3811" ht="15" customHeight="1">
      <c r="A3811" t="inlineStr">
        <is>
          <t>A 176-2021</t>
        </is>
      </c>
      <c r="B3811" s="1" t="n">
        <v>44200</v>
      </c>
      <c r="C3811" s="1" t="n">
        <v>45736</v>
      </c>
      <c r="D3811" t="inlineStr">
        <is>
          <t>VÄRMLANDS LÄN</t>
        </is>
      </c>
      <c r="E3811" t="inlineStr">
        <is>
          <t>STORFORS</t>
        </is>
      </c>
      <c r="F3811" t="inlineStr">
        <is>
          <t>Bergvik skog väst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183-2021</t>
        </is>
      </c>
      <c r="B3812" s="1" t="n">
        <v>44200</v>
      </c>
      <c r="C3812" s="1" t="n">
        <v>45736</v>
      </c>
      <c r="D3812" t="inlineStr">
        <is>
          <t>VÄRMLANDS LÄN</t>
        </is>
      </c>
      <c r="E3812" t="inlineStr">
        <is>
          <t>SUNNE</t>
        </is>
      </c>
      <c r="F3812" t="inlineStr">
        <is>
          <t>Övriga Aktiebolag</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210-2021</t>
        </is>
      </c>
      <c r="B3813" s="1" t="n">
        <v>44200</v>
      </c>
      <c r="C3813" s="1" t="n">
        <v>45736</v>
      </c>
      <c r="D3813" t="inlineStr">
        <is>
          <t>VÄRMLANDS LÄN</t>
        </is>
      </c>
      <c r="E3813" t="inlineStr">
        <is>
          <t>SUNNE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253-2021</t>
        </is>
      </c>
      <c r="B3814" s="1" t="n">
        <v>44200</v>
      </c>
      <c r="C3814" s="1" t="n">
        <v>45736</v>
      </c>
      <c r="D3814" t="inlineStr">
        <is>
          <t>VÄRMLANDS LÄN</t>
        </is>
      </c>
      <c r="E3814" t="inlineStr">
        <is>
          <t>SUNNE</t>
        </is>
      </c>
      <c r="G3814" t="n">
        <v>11.7</v>
      </c>
      <c r="H3814" t="n">
        <v>0</v>
      </c>
      <c r="I3814" t="n">
        <v>0</v>
      </c>
      <c r="J3814" t="n">
        <v>0</v>
      </c>
      <c r="K3814" t="n">
        <v>0</v>
      </c>
      <c r="L3814" t="n">
        <v>0</v>
      </c>
      <c r="M3814" t="n">
        <v>0</v>
      </c>
      <c r="N3814" t="n">
        <v>0</v>
      </c>
      <c r="O3814" t="n">
        <v>0</v>
      </c>
      <c r="P3814" t="n">
        <v>0</v>
      </c>
      <c r="Q3814" t="n">
        <v>0</v>
      </c>
      <c r="R3814" s="2" t="inlineStr"/>
    </row>
    <row r="3815" ht="15" customHeight="1">
      <c r="A3815" t="inlineStr">
        <is>
          <t>A 201-2021</t>
        </is>
      </c>
      <c r="B3815" s="1" t="n">
        <v>44200</v>
      </c>
      <c r="C3815" s="1" t="n">
        <v>45736</v>
      </c>
      <c r="D3815" t="inlineStr">
        <is>
          <t>VÄRMLANDS LÄN</t>
        </is>
      </c>
      <c r="E3815" t="inlineStr">
        <is>
          <t>SUNNE</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260-2021</t>
        </is>
      </c>
      <c r="B3816" s="1" t="n">
        <v>44200</v>
      </c>
      <c r="C3816" s="1" t="n">
        <v>45736</v>
      </c>
      <c r="D3816" t="inlineStr">
        <is>
          <t>VÄRMLANDS LÄN</t>
        </is>
      </c>
      <c r="E3816" t="inlineStr">
        <is>
          <t>ARVIKA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485-2021</t>
        </is>
      </c>
      <c r="B3817" s="1" t="n">
        <v>44200</v>
      </c>
      <c r="C3817" s="1" t="n">
        <v>45736</v>
      </c>
      <c r="D3817" t="inlineStr">
        <is>
          <t>VÄRMLANDS LÄN</t>
        </is>
      </c>
      <c r="E3817" t="inlineStr">
        <is>
          <t>ARVIKA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351-2021</t>
        </is>
      </c>
      <c r="B3818" s="1" t="n">
        <v>44201</v>
      </c>
      <c r="C3818" s="1" t="n">
        <v>45736</v>
      </c>
      <c r="D3818" t="inlineStr">
        <is>
          <t>VÄRMLANDS LÄN</t>
        </is>
      </c>
      <c r="E3818" t="inlineStr">
        <is>
          <t>SUNNE</t>
        </is>
      </c>
      <c r="F3818" t="inlineStr">
        <is>
          <t>Övriga statliga verk och myndigheter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387-2021</t>
        </is>
      </c>
      <c r="B3819" s="1" t="n">
        <v>44201</v>
      </c>
      <c r="C3819" s="1" t="n">
        <v>45736</v>
      </c>
      <c r="D3819" t="inlineStr">
        <is>
          <t>VÄRMLANDS LÄN</t>
        </is>
      </c>
      <c r="E3819" t="inlineStr">
        <is>
          <t>ÅRJÄNG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602-2021</t>
        </is>
      </c>
      <c r="B3820" s="1" t="n">
        <v>44201</v>
      </c>
      <c r="C3820" s="1" t="n">
        <v>45736</v>
      </c>
      <c r="D3820" t="inlineStr">
        <is>
          <t>VÄRMLANDS LÄN</t>
        </is>
      </c>
      <c r="E3820" t="inlineStr">
        <is>
          <t>SUNNE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332-2021</t>
        </is>
      </c>
      <c r="B3821" s="1" t="n">
        <v>44201</v>
      </c>
      <c r="C3821" s="1" t="n">
        <v>45736</v>
      </c>
      <c r="D3821" t="inlineStr">
        <is>
          <t>VÄRMLANDS LÄN</t>
        </is>
      </c>
      <c r="E3821" t="inlineStr">
        <is>
          <t>ÅRJÄNG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309-2021</t>
        </is>
      </c>
      <c r="B3822" s="1" t="n">
        <v>44201</v>
      </c>
      <c r="C3822" s="1" t="n">
        <v>45736</v>
      </c>
      <c r="D3822" t="inlineStr">
        <is>
          <t>VÄRMLANDS LÄN</t>
        </is>
      </c>
      <c r="E3822" t="inlineStr">
        <is>
          <t>SUNNE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339-2021</t>
        </is>
      </c>
      <c r="B3823" s="1" t="n">
        <v>44201</v>
      </c>
      <c r="C3823" s="1" t="n">
        <v>45736</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421-2021</t>
        </is>
      </c>
      <c r="B3824" s="1" t="n">
        <v>44201</v>
      </c>
      <c r="C3824" s="1" t="n">
        <v>45736</v>
      </c>
      <c r="D3824" t="inlineStr">
        <is>
          <t>VÄRMLANDS LÄN</t>
        </is>
      </c>
      <c r="E3824" t="inlineStr">
        <is>
          <t>EDA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625-2021</t>
        </is>
      </c>
      <c r="B3825" s="1" t="n">
        <v>44201</v>
      </c>
      <c r="C3825" s="1" t="n">
        <v>45736</v>
      </c>
      <c r="D3825" t="inlineStr">
        <is>
          <t>VÄRMLANDS LÄN</t>
        </is>
      </c>
      <c r="E3825" t="inlineStr">
        <is>
          <t>ARVIKA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637-2021</t>
        </is>
      </c>
      <c r="B3826" s="1" t="n">
        <v>44203</v>
      </c>
      <c r="C3826" s="1" t="n">
        <v>45736</v>
      </c>
      <c r="D3826" t="inlineStr">
        <is>
          <t>VÄRMLANDS LÄN</t>
        </is>
      </c>
      <c r="E3826" t="inlineStr">
        <is>
          <t>KARLSTAD</t>
        </is>
      </c>
      <c r="F3826" t="inlineStr">
        <is>
          <t>Kyrkan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708-2021</t>
        </is>
      </c>
      <c r="B3827" s="1" t="n">
        <v>44204</v>
      </c>
      <c r="C3827" s="1" t="n">
        <v>45736</v>
      </c>
      <c r="D3827" t="inlineStr">
        <is>
          <t>VÄRMLANDS LÄN</t>
        </is>
      </c>
      <c r="E3827" t="inlineStr">
        <is>
          <t>GRUMS</t>
        </is>
      </c>
      <c r="G3827" t="n">
        <v>17.1</v>
      </c>
      <c r="H3827" t="n">
        <v>0</v>
      </c>
      <c r="I3827" t="n">
        <v>0</v>
      </c>
      <c r="J3827" t="n">
        <v>0</v>
      </c>
      <c r="K3827" t="n">
        <v>0</v>
      </c>
      <c r="L3827" t="n">
        <v>0</v>
      </c>
      <c r="M3827" t="n">
        <v>0</v>
      </c>
      <c r="N3827" t="n">
        <v>0</v>
      </c>
      <c r="O3827" t="n">
        <v>0</v>
      </c>
      <c r="P3827" t="n">
        <v>0</v>
      </c>
      <c r="Q3827" t="n">
        <v>0</v>
      </c>
      <c r="R3827" s="2" t="inlineStr"/>
    </row>
    <row r="3828" ht="15" customHeight="1">
      <c r="A3828" t="inlineStr">
        <is>
          <t>A 814-2021</t>
        </is>
      </c>
      <c r="B3828" s="1" t="n">
        <v>44204</v>
      </c>
      <c r="C3828" s="1" t="n">
        <v>45736</v>
      </c>
      <c r="D3828" t="inlineStr">
        <is>
          <t>VÄRMLANDS LÄN</t>
        </is>
      </c>
      <c r="E3828" t="inlineStr">
        <is>
          <t>SÄFFLE</t>
        </is>
      </c>
      <c r="G3828" t="n">
        <v>11.5</v>
      </c>
      <c r="H3828" t="n">
        <v>0</v>
      </c>
      <c r="I3828" t="n">
        <v>0</v>
      </c>
      <c r="J3828" t="n">
        <v>0</v>
      </c>
      <c r="K3828" t="n">
        <v>0</v>
      </c>
      <c r="L3828" t="n">
        <v>0</v>
      </c>
      <c r="M3828" t="n">
        <v>0</v>
      </c>
      <c r="N3828" t="n">
        <v>0</v>
      </c>
      <c r="O3828" t="n">
        <v>0</v>
      </c>
      <c r="P3828" t="n">
        <v>0</v>
      </c>
      <c r="Q3828" t="n">
        <v>0</v>
      </c>
      <c r="R3828" s="2" t="inlineStr"/>
    </row>
    <row r="3829" ht="15" customHeight="1">
      <c r="A3829" t="inlineStr">
        <is>
          <t>A 751-2021</t>
        </is>
      </c>
      <c r="B3829" s="1" t="n">
        <v>44204</v>
      </c>
      <c r="C3829" s="1" t="n">
        <v>45736</v>
      </c>
      <c r="D3829" t="inlineStr">
        <is>
          <t>VÄRMLANDS LÄN</t>
        </is>
      </c>
      <c r="E3829" t="inlineStr">
        <is>
          <t>SUNNE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892-2021</t>
        </is>
      </c>
      <c r="B3830" s="1" t="n">
        <v>44206</v>
      </c>
      <c r="C3830" s="1" t="n">
        <v>45736</v>
      </c>
      <c r="D3830" t="inlineStr">
        <is>
          <t>VÄRMLANDS LÄN</t>
        </is>
      </c>
      <c r="E3830" t="inlineStr">
        <is>
          <t>SÄFFLE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935-2021</t>
        </is>
      </c>
      <c r="B3831" s="1" t="n">
        <v>44207</v>
      </c>
      <c r="C3831" s="1" t="n">
        <v>45736</v>
      </c>
      <c r="D3831" t="inlineStr">
        <is>
          <t>VÄRMLANDS LÄN</t>
        </is>
      </c>
      <c r="E3831" t="inlineStr">
        <is>
          <t>ÅRJÄNG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1048-2021</t>
        </is>
      </c>
      <c r="B3832" s="1" t="n">
        <v>44207</v>
      </c>
      <c r="C3832" s="1" t="n">
        <v>45736</v>
      </c>
      <c r="D3832" t="inlineStr">
        <is>
          <t>VÄRMLANDS LÄN</t>
        </is>
      </c>
      <c r="E3832" t="inlineStr">
        <is>
          <t>HAGFORS</t>
        </is>
      </c>
      <c r="F3832" t="inlineStr">
        <is>
          <t>Bergvik skog väst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909-2021</t>
        </is>
      </c>
      <c r="B3833" s="1" t="n">
        <v>44207</v>
      </c>
      <c r="C3833" s="1" t="n">
        <v>45736</v>
      </c>
      <c r="D3833" t="inlineStr">
        <is>
          <t>VÄRMLANDS LÄN</t>
        </is>
      </c>
      <c r="E3833" t="inlineStr">
        <is>
          <t>EDA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1059-2021</t>
        </is>
      </c>
      <c r="B3834" s="1" t="n">
        <v>44207</v>
      </c>
      <c r="C3834" s="1" t="n">
        <v>45736</v>
      </c>
      <c r="D3834" t="inlineStr">
        <is>
          <t>VÄRMLANDS LÄN</t>
        </is>
      </c>
      <c r="E3834" t="inlineStr">
        <is>
          <t>ARVIKA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1126-2021</t>
        </is>
      </c>
      <c r="B3835" s="1" t="n">
        <v>44207</v>
      </c>
      <c r="C3835" s="1" t="n">
        <v>45736</v>
      </c>
      <c r="D3835" t="inlineStr">
        <is>
          <t>VÄRMLANDS LÄN</t>
        </is>
      </c>
      <c r="E3835" t="inlineStr">
        <is>
          <t>EDA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1165-2021</t>
        </is>
      </c>
      <c r="B3836" s="1" t="n">
        <v>44207</v>
      </c>
      <c r="C3836" s="1" t="n">
        <v>45736</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1195-2021</t>
        </is>
      </c>
      <c r="B3837" s="1" t="n">
        <v>44208</v>
      </c>
      <c r="C3837" s="1" t="n">
        <v>45736</v>
      </c>
      <c r="D3837" t="inlineStr">
        <is>
          <t>VÄRMLANDS LÄN</t>
        </is>
      </c>
      <c r="E3837" t="inlineStr">
        <is>
          <t>SUNNE</t>
        </is>
      </c>
      <c r="F3837" t="inlineStr">
        <is>
          <t>Övriga Aktiebolag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1313-2021</t>
        </is>
      </c>
      <c r="B3838" s="1" t="n">
        <v>44208</v>
      </c>
      <c r="C3838" s="1" t="n">
        <v>45736</v>
      </c>
      <c r="D3838" t="inlineStr">
        <is>
          <t>VÄRMLANDS LÄN</t>
        </is>
      </c>
      <c r="E3838" t="inlineStr">
        <is>
          <t>KIL</t>
        </is>
      </c>
      <c r="F3838" t="inlineStr">
        <is>
          <t>Kyrkan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1269-2021</t>
        </is>
      </c>
      <c r="B3839" s="1" t="n">
        <v>44208</v>
      </c>
      <c r="C3839" s="1" t="n">
        <v>45736</v>
      </c>
      <c r="D3839" t="inlineStr">
        <is>
          <t>VÄRMLANDS LÄN</t>
        </is>
      </c>
      <c r="E3839" t="inlineStr">
        <is>
          <t>KIL</t>
        </is>
      </c>
      <c r="F3839" t="inlineStr">
        <is>
          <t>Kyrkan</t>
        </is>
      </c>
      <c r="G3839" t="n">
        <v>2.6</v>
      </c>
      <c r="H3839" t="n">
        <v>0</v>
      </c>
      <c r="I3839" t="n">
        <v>0</v>
      </c>
      <c r="J3839" t="n">
        <v>0</v>
      </c>
      <c r="K3839" t="n">
        <v>0</v>
      </c>
      <c r="L3839" t="n">
        <v>0</v>
      </c>
      <c r="M3839" t="n">
        <v>0</v>
      </c>
      <c r="N3839" t="n">
        <v>0</v>
      </c>
      <c r="O3839" t="n">
        <v>0</v>
      </c>
      <c r="P3839" t="n">
        <v>0</v>
      </c>
      <c r="Q3839" t="n">
        <v>0</v>
      </c>
      <c r="R3839" s="2" t="inlineStr"/>
      <c r="U3839">
        <f>HYPERLINK("https://klasma.github.io/Logging_1715/knärot/A 1269-2021 karta knärot.png", "A 1269-2021")</f>
        <v/>
      </c>
      <c r="V3839">
        <f>HYPERLINK("https://klasma.github.io/Logging_1715/klagomål/A 1269-2021 FSC-klagomål.docx", "A 1269-2021")</f>
        <v/>
      </c>
      <c r="W3839">
        <f>HYPERLINK("https://klasma.github.io/Logging_1715/klagomålsmail/A 1269-2021 FSC-klagomål mail.docx", "A 1269-2021")</f>
        <v/>
      </c>
      <c r="X3839">
        <f>HYPERLINK("https://klasma.github.io/Logging_1715/tillsyn/A 1269-2021 tillsynsbegäran.docx", "A 1269-2021")</f>
        <v/>
      </c>
      <c r="Y3839">
        <f>HYPERLINK("https://klasma.github.io/Logging_1715/tillsynsmail/A 1269-2021 tillsynsbegäran mail.docx", "A 1269-2021")</f>
        <v/>
      </c>
    </row>
    <row r="3840" ht="15" customHeight="1">
      <c r="A3840" t="inlineStr">
        <is>
          <t>A 1298-2021</t>
        </is>
      </c>
      <c r="B3840" s="1" t="n">
        <v>44208</v>
      </c>
      <c r="C3840" s="1" t="n">
        <v>45736</v>
      </c>
      <c r="D3840" t="inlineStr">
        <is>
          <t>VÄRMLANDS LÄN</t>
        </is>
      </c>
      <c r="E3840" t="inlineStr">
        <is>
          <t>SÄFFLE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1391-2021</t>
        </is>
      </c>
      <c r="B3841" s="1" t="n">
        <v>44208</v>
      </c>
      <c r="C3841" s="1" t="n">
        <v>45736</v>
      </c>
      <c r="D3841" t="inlineStr">
        <is>
          <t>VÄRMLANDS LÄN</t>
        </is>
      </c>
      <c r="E3841" t="inlineStr">
        <is>
          <t>FILIPSTAD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1397-2021</t>
        </is>
      </c>
      <c r="B3842" s="1" t="n">
        <v>44208</v>
      </c>
      <c r="C3842" s="1" t="n">
        <v>45736</v>
      </c>
      <c r="D3842" t="inlineStr">
        <is>
          <t>VÄRMLANDS LÄN</t>
        </is>
      </c>
      <c r="E3842" t="inlineStr">
        <is>
          <t>ARVIKA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1348-2021</t>
        </is>
      </c>
      <c r="B3843" s="1" t="n">
        <v>44208</v>
      </c>
      <c r="C3843" s="1" t="n">
        <v>45736</v>
      </c>
      <c r="D3843" t="inlineStr">
        <is>
          <t>VÄRMLANDS LÄN</t>
        </is>
      </c>
      <c r="E3843" t="inlineStr">
        <is>
          <t>GRUMS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1449-2021</t>
        </is>
      </c>
      <c r="B3844" s="1" t="n">
        <v>44208</v>
      </c>
      <c r="C3844" s="1" t="n">
        <v>45736</v>
      </c>
      <c r="D3844" t="inlineStr">
        <is>
          <t>VÄRMLANDS LÄN</t>
        </is>
      </c>
      <c r="E3844" t="inlineStr">
        <is>
          <t>SUNNE</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1486-2021</t>
        </is>
      </c>
      <c r="B3845" s="1" t="n">
        <v>44208</v>
      </c>
      <c r="C3845" s="1" t="n">
        <v>45736</v>
      </c>
      <c r="D3845" t="inlineStr">
        <is>
          <t>VÄRMLANDS LÄN</t>
        </is>
      </c>
      <c r="E3845" t="inlineStr">
        <is>
          <t>KARLSTAD</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1516-2021</t>
        </is>
      </c>
      <c r="B3846" s="1" t="n">
        <v>44209</v>
      </c>
      <c r="C3846" s="1" t="n">
        <v>45736</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1526-2021</t>
        </is>
      </c>
      <c r="B3847" s="1" t="n">
        <v>44209</v>
      </c>
      <c r="C3847" s="1" t="n">
        <v>45736</v>
      </c>
      <c r="D3847" t="inlineStr">
        <is>
          <t>VÄRMLANDS LÄN</t>
        </is>
      </c>
      <c r="E3847" t="inlineStr">
        <is>
          <t>TORSBY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1535-2021</t>
        </is>
      </c>
      <c r="B3848" s="1" t="n">
        <v>44209</v>
      </c>
      <c r="C3848" s="1" t="n">
        <v>45736</v>
      </c>
      <c r="D3848" t="inlineStr">
        <is>
          <t>VÄRMLANDS LÄN</t>
        </is>
      </c>
      <c r="E3848" t="inlineStr">
        <is>
          <t>TORSBY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1534-2021</t>
        </is>
      </c>
      <c r="B3849" s="1" t="n">
        <v>44209</v>
      </c>
      <c r="C3849" s="1" t="n">
        <v>45736</v>
      </c>
      <c r="D3849" t="inlineStr">
        <is>
          <t>VÄRMLANDS LÄN</t>
        </is>
      </c>
      <c r="E3849" t="inlineStr">
        <is>
          <t>ARVIKA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1544-2021</t>
        </is>
      </c>
      <c r="B3850" s="1" t="n">
        <v>44209</v>
      </c>
      <c r="C3850" s="1" t="n">
        <v>45736</v>
      </c>
      <c r="D3850" t="inlineStr">
        <is>
          <t>VÄRMLANDS LÄN</t>
        </is>
      </c>
      <c r="E3850" t="inlineStr">
        <is>
          <t>TORSBY</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1588-2021</t>
        </is>
      </c>
      <c r="B3851" s="1" t="n">
        <v>44209</v>
      </c>
      <c r="C3851" s="1" t="n">
        <v>45736</v>
      </c>
      <c r="D3851" t="inlineStr">
        <is>
          <t>VÄRMLANDS LÄN</t>
        </is>
      </c>
      <c r="E3851" t="inlineStr">
        <is>
          <t>SÄFFLE</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1906-2021</t>
        </is>
      </c>
      <c r="B3852" s="1" t="n">
        <v>44210</v>
      </c>
      <c r="C3852" s="1" t="n">
        <v>45736</v>
      </c>
      <c r="D3852" t="inlineStr">
        <is>
          <t>VÄRMLANDS LÄN</t>
        </is>
      </c>
      <c r="E3852" t="inlineStr">
        <is>
          <t>ARVIKA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1974-2021</t>
        </is>
      </c>
      <c r="B3853" s="1" t="n">
        <v>44210</v>
      </c>
      <c r="C3853" s="1" t="n">
        <v>45736</v>
      </c>
      <c r="D3853" t="inlineStr">
        <is>
          <t>VÄRMLANDS LÄN</t>
        </is>
      </c>
      <c r="E3853" t="inlineStr">
        <is>
          <t>KRISTINEHAMN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1880-2021</t>
        </is>
      </c>
      <c r="B3854" s="1" t="n">
        <v>44210</v>
      </c>
      <c r="C3854" s="1" t="n">
        <v>45736</v>
      </c>
      <c r="D3854" t="inlineStr">
        <is>
          <t>VÄRMLANDS LÄN</t>
        </is>
      </c>
      <c r="E3854" t="inlineStr">
        <is>
          <t>GRUMS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2017-2021</t>
        </is>
      </c>
      <c r="B3855" s="1" t="n">
        <v>44210</v>
      </c>
      <c r="C3855" s="1" t="n">
        <v>45736</v>
      </c>
      <c r="D3855" t="inlineStr">
        <is>
          <t>VÄRMLANDS LÄN</t>
        </is>
      </c>
      <c r="E3855" t="inlineStr">
        <is>
          <t>FORSHAGA</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2107-2021</t>
        </is>
      </c>
      <c r="B3856" s="1" t="n">
        <v>44210</v>
      </c>
      <c r="C3856" s="1" t="n">
        <v>45736</v>
      </c>
      <c r="D3856" t="inlineStr">
        <is>
          <t>VÄRMLANDS LÄN</t>
        </is>
      </c>
      <c r="E3856" t="inlineStr">
        <is>
          <t>KRISTINEHAMN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2059-2021</t>
        </is>
      </c>
      <c r="B3857" s="1" t="n">
        <v>44210</v>
      </c>
      <c r="C3857" s="1" t="n">
        <v>45736</v>
      </c>
      <c r="D3857" t="inlineStr">
        <is>
          <t>VÄRMLANDS LÄN</t>
        </is>
      </c>
      <c r="E3857" t="inlineStr">
        <is>
          <t>KRISTINEHAMN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2114-2021</t>
        </is>
      </c>
      <c r="B3858" s="1" t="n">
        <v>44210</v>
      </c>
      <c r="C3858" s="1" t="n">
        <v>45736</v>
      </c>
      <c r="D3858" t="inlineStr">
        <is>
          <t>VÄRMLANDS LÄN</t>
        </is>
      </c>
      <c r="E3858" t="inlineStr">
        <is>
          <t>KRISTINEHAMN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2121-2021</t>
        </is>
      </c>
      <c r="B3859" s="1" t="n">
        <v>44211</v>
      </c>
      <c r="C3859" s="1" t="n">
        <v>45736</v>
      </c>
      <c r="D3859" t="inlineStr">
        <is>
          <t>VÄRMLANDS LÄN</t>
        </is>
      </c>
      <c r="E3859" t="inlineStr">
        <is>
          <t>FORSHAGA</t>
        </is>
      </c>
      <c r="F3859" t="inlineStr">
        <is>
          <t>Bergvik skog väst AB</t>
        </is>
      </c>
      <c r="G3859" t="n">
        <v>20.8</v>
      </c>
      <c r="H3859" t="n">
        <v>0</v>
      </c>
      <c r="I3859" t="n">
        <v>0</v>
      </c>
      <c r="J3859" t="n">
        <v>0</v>
      </c>
      <c r="K3859" t="n">
        <v>0</v>
      </c>
      <c r="L3859" t="n">
        <v>0</v>
      </c>
      <c r="M3859" t="n">
        <v>0</v>
      </c>
      <c r="N3859" t="n">
        <v>0</v>
      </c>
      <c r="O3859" t="n">
        <v>0</v>
      </c>
      <c r="P3859" t="n">
        <v>0</v>
      </c>
      <c r="Q3859" t="n">
        <v>0</v>
      </c>
      <c r="R3859" s="2" t="inlineStr"/>
    </row>
    <row r="3860" ht="15" customHeight="1">
      <c r="A3860" t="inlineStr">
        <is>
          <t>A 2141-2021</t>
        </is>
      </c>
      <c r="B3860" s="1" t="n">
        <v>44211</v>
      </c>
      <c r="C3860" s="1" t="n">
        <v>45736</v>
      </c>
      <c r="D3860" t="inlineStr">
        <is>
          <t>VÄRMLANDS LÄN</t>
        </is>
      </c>
      <c r="E3860" t="inlineStr">
        <is>
          <t>FORSHAGA</t>
        </is>
      </c>
      <c r="F3860" t="inlineStr">
        <is>
          <t>Bergvik skog väst AB</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2214-2021</t>
        </is>
      </c>
      <c r="B3861" s="1" t="n">
        <v>44211</v>
      </c>
      <c r="C3861" s="1" t="n">
        <v>45736</v>
      </c>
      <c r="D3861" t="inlineStr">
        <is>
          <t>VÄRMLANDS LÄN</t>
        </is>
      </c>
      <c r="E3861" t="inlineStr">
        <is>
          <t>ARVIKA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2031-2021</t>
        </is>
      </c>
      <c r="B3862" s="1" t="n">
        <v>44211</v>
      </c>
      <c r="C3862" s="1" t="n">
        <v>45736</v>
      </c>
      <c r="D3862" t="inlineStr">
        <is>
          <t>VÄRMLANDS LÄN</t>
        </is>
      </c>
      <c r="E3862" t="inlineStr">
        <is>
          <t>KRISTINEHAMN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2224-2021</t>
        </is>
      </c>
      <c r="B3863" s="1" t="n">
        <v>44211</v>
      </c>
      <c r="C3863" s="1" t="n">
        <v>45736</v>
      </c>
      <c r="D3863" t="inlineStr">
        <is>
          <t>VÄRMLANDS LÄN</t>
        </is>
      </c>
      <c r="E3863" t="inlineStr">
        <is>
          <t>SUNNE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2323-2021</t>
        </is>
      </c>
      <c r="B3864" s="1" t="n">
        <v>44211</v>
      </c>
      <c r="C3864" s="1" t="n">
        <v>45736</v>
      </c>
      <c r="D3864" t="inlineStr">
        <is>
          <t>VÄRMLANDS LÄN</t>
        </is>
      </c>
      <c r="E3864" t="inlineStr">
        <is>
          <t>SÄFFLE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2225-2021</t>
        </is>
      </c>
      <c r="B3865" s="1" t="n">
        <v>44211</v>
      </c>
      <c r="C3865" s="1" t="n">
        <v>45736</v>
      </c>
      <c r="D3865" t="inlineStr">
        <is>
          <t>VÄRMLANDS LÄN</t>
        </is>
      </c>
      <c r="E3865" t="inlineStr">
        <is>
          <t>SUNNE</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2237-2021</t>
        </is>
      </c>
      <c r="B3866" s="1" t="n">
        <v>44211</v>
      </c>
      <c r="C3866" s="1" t="n">
        <v>45736</v>
      </c>
      <c r="D3866" t="inlineStr">
        <is>
          <t>VÄRMLANDS LÄN</t>
        </is>
      </c>
      <c r="E3866" t="inlineStr">
        <is>
          <t>ARVIKA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2293-2021</t>
        </is>
      </c>
      <c r="B3867" s="1" t="n">
        <v>44212</v>
      </c>
      <c r="C3867" s="1" t="n">
        <v>45736</v>
      </c>
      <c r="D3867" t="inlineStr">
        <is>
          <t>VÄRMLANDS LÄN</t>
        </is>
      </c>
      <c r="E3867" t="inlineStr">
        <is>
          <t>EDA</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2319-2021</t>
        </is>
      </c>
      <c r="B3868" s="1" t="n">
        <v>44214</v>
      </c>
      <c r="C3868" s="1" t="n">
        <v>45736</v>
      </c>
      <c r="D3868" t="inlineStr">
        <is>
          <t>VÄRMLANDS LÄN</t>
        </is>
      </c>
      <c r="E3868" t="inlineStr">
        <is>
          <t>SUNNE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2428-2021</t>
        </is>
      </c>
      <c r="B3869" s="1" t="n">
        <v>44214</v>
      </c>
      <c r="C3869" s="1" t="n">
        <v>45736</v>
      </c>
      <c r="D3869" t="inlineStr">
        <is>
          <t>VÄRMLANDS LÄN</t>
        </is>
      </c>
      <c r="E3869" t="inlineStr">
        <is>
          <t>HAGFORS</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2436-2021</t>
        </is>
      </c>
      <c r="B3870" s="1" t="n">
        <v>44214</v>
      </c>
      <c r="C3870" s="1" t="n">
        <v>45736</v>
      </c>
      <c r="D3870" t="inlineStr">
        <is>
          <t>VÄRMLANDS LÄN</t>
        </is>
      </c>
      <c r="E3870" t="inlineStr">
        <is>
          <t>HAGFORS</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2317-2021</t>
        </is>
      </c>
      <c r="B3871" s="1" t="n">
        <v>44214</v>
      </c>
      <c r="C3871" s="1" t="n">
        <v>45736</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2368-2021</t>
        </is>
      </c>
      <c r="B3872" s="1" t="n">
        <v>44214</v>
      </c>
      <c r="C3872" s="1" t="n">
        <v>45736</v>
      </c>
      <c r="D3872" t="inlineStr">
        <is>
          <t>VÄRMLANDS LÄN</t>
        </is>
      </c>
      <c r="E3872" t="inlineStr">
        <is>
          <t>SUNNE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2321-2021</t>
        </is>
      </c>
      <c r="B3873" s="1" t="n">
        <v>44214</v>
      </c>
      <c r="C3873" s="1" t="n">
        <v>45736</v>
      </c>
      <c r="D3873" t="inlineStr">
        <is>
          <t>VÄRMLANDS LÄN</t>
        </is>
      </c>
      <c r="E3873" t="inlineStr">
        <is>
          <t>TORSBY</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2576-2021</t>
        </is>
      </c>
      <c r="B3874" s="1" t="n">
        <v>44214</v>
      </c>
      <c r="C3874" s="1" t="n">
        <v>45736</v>
      </c>
      <c r="D3874" t="inlineStr">
        <is>
          <t>VÄRMLANDS LÄN</t>
        </is>
      </c>
      <c r="E3874" t="inlineStr">
        <is>
          <t>TORSBY</t>
        </is>
      </c>
      <c r="F3874" t="inlineStr">
        <is>
          <t>Kommuner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2593-2021</t>
        </is>
      </c>
      <c r="B3875" s="1" t="n">
        <v>44214</v>
      </c>
      <c r="C3875" s="1" t="n">
        <v>45736</v>
      </c>
      <c r="D3875" t="inlineStr">
        <is>
          <t>VÄRMLANDS LÄN</t>
        </is>
      </c>
      <c r="E3875" t="inlineStr">
        <is>
          <t>ÅRJÄNG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2672-2021</t>
        </is>
      </c>
      <c r="B3876" s="1" t="n">
        <v>44214</v>
      </c>
      <c r="C3876" s="1" t="n">
        <v>45736</v>
      </c>
      <c r="D3876" t="inlineStr">
        <is>
          <t>VÄRMLANDS LÄN</t>
        </is>
      </c>
      <c r="E3876" t="inlineStr">
        <is>
          <t>FILIPSTAD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2667-2021</t>
        </is>
      </c>
      <c r="B3877" s="1" t="n">
        <v>44215</v>
      </c>
      <c r="C3877" s="1" t="n">
        <v>45736</v>
      </c>
      <c r="D3877" t="inlineStr">
        <is>
          <t>VÄRMLANDS LÄN</t>
        </is>
      </c>
      <c r="E3877" t="inlineStr">
        <is>
          <t>ÅRJÄNG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2758-2021</t>
        </is>
      </c>
      <c r="B3878" s="1" t="n">
        <v>44215</v>
      </c>
      <c r="C3878" s="1" t="n">
        <v>45736</v>
      </c>
      <c r="D3878" t="inlineStr">
        <is>
          <t>VÄRMLANDS LÄN</t>
        </is>
      </c>
      <c r="E3878" t="inlineStr">
        <is>
          <t>TORSBY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2653-2021</t>
        </is>
      </c>
      <c r="B3879" s="1" t="n">
        <v>44215</v>
      </c>
      <c r="C3879" s="1" t="n">
        <v>45736</v>
      </c>
      <c r="D3879" t="inlineStr">
        <is>
          <t>VÄRMLANDS LÄN</t>
        </is>
      </c>
      <c r="E3879" t="inlineStr">
        <is>
          <t>SUNNE</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2610-2021</t>
        </is>
      </c>
      <c r="B3880" s="1" t="n">
        <v>44215</v>
      </c>
      <c r="C3880" s="1" t="n">
        <v>45736</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2931-2021</t>
        </is>
      </c>
      <c r="B3881" s="1" t="n">
        <v>44216</v>
      </c>
      <c r="C3881" s="1" t="n">
        <v>45736</v>
      </c>
      <c r="D3881" t="inlineStr">
        <is>
          <t>VÄRMLANDS LÄN</t>
        </is>
      </c>
      <c r="E3881" t="inlineStr">
        <is>
          <t>ARVIKA</t>
        </is>
      </c>
      <c r="F3881" t="inlineStr">
        <is>
          <t>Bergvik skog väst AB</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2991-2021</t>
        </is>
      </c>
      <c r="B3882" s="1" t="n">
        <v>44216</v>
      </c>
      <c r="C3882" s="1" t="n">
        <v>45736</v>
      </c>
      <c r="D3882" t="inlineStr">
        <is>
          <t>VÄRMLANDS LÄN</t>
        </is>
      </c>
      <c r="E3882" t="inlineStr">
        <is>
          <t>HAGFORS</t>
        </is>
      </c>
      <c r="F3882" t="inlineStr">
        <is>
          <t>Bergvik skog väst AB</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3013-2021</t>
        </is>
      </c>
      <c r="B3883" s="1" t="n">
        <v>44216</v>
      </c>
      <c r="C3883" s="1" t="n">
        <v>45736</v>
      </c>
      <c r="D3883" t="inlineStr">
        <is>
          <t>VÄRMLANDS LÄN</t>
        </is>
      </c>
      <c r="E3883" t="inlineStr">
        <is>
          <t>SÄFFLE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3110-2021</t>
        </is>
      </c>
      <c r="B3884" s="1" t="n">
        <v>44217</v>
      </c>
      <c r="C3884" s="1" t="n">
        <v>45736</v>
      </c>
      <c r="D3884" t="inlineStr">
        <is>
          <t>VÄRMLANDS LÄN</t>
        </is>
      </c>
      <c r="E3884" t="inlineStr">
        <is>
          <t>EDA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3167-2021</t>
        </is>
      </c>
      <c r="B3885" s="1" t="n">
        <v>44217</v>
      </c>
      <c r="C3885" s="1" t="n">
        <v>45736</v>
      </c>
      <c r="D3885" t="inlineStr">
        <is>
          <t>VÄRMLANDS LÄN</t>
        </is>
      </c>
      <c r="E3885" t="inlineStr">
        <is>
          <t>EDA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3233-2021</t>
        </is>
      </c>
      <c r="B3886" s="1" t="n">
        <v>44217</v>
      </c>
      <c r="C3886" s="1" t="n">
        <v>45736</v>
      </c>
      <c r="D3886" t="inlineStr">
        <is>
          <t>VÄRMLANDS LÄN</t>
        </is>
      </c>
      <c r="E3886" t="inlineStr">
        <is>
          <t>EDA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3287-2021</t>
        </is>
      </c>
      <c r="B3887" s="1" t="n">
        <v>44217</v>
      </c>
      <c r="C3887" s="1" t="n">
        <v>45736</v>
      </c>
      <c r="D3887" t="inlineStr">
        <is>
          <t>VÄRMLANDS LÄN</t>
        </is>
      </c>
      <c r="E3887" t="inlineStr">
        <is>
          <t>MUNKFORS</t>
        </is>
      </c>
      <c r="F3887" t="inlineStr">
        <is>
          <t>Bergvik skog väst AB</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3280-2021</t>
        </is>
      </c>
      <c r="B3888" s="1" t="n">
        <v>44217</v>
      </c>
      <c r="C3888" s="1" t="n">
        <v>45736</v>
      </c>
      <c r="D3888" t="inlineStr">
        <is>
          <t>VÄRMLANDS LÄN</t>
        </is>
      </c>
      <c r="E3888" t="inlineStr">
        <is>
          <t>HAGFORS</t>
        </is>
      </c>
      <c r="F3888" t="inlineStr">
        <is>
          <t>Bergvik skog väst AB</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3907-2021</t>
        </is>
      </c>
      <c r="B3889" s="1" t="n">
        <v>44217</v>
      </c>
      <c r="C3889" s="1" t="n">
        <v>45736</v>
      </c>
      <c r="D3889" t="inlineStr">
        <is>
          <t>VÄRMLANDS LÄN</t>
        </is>
      </c>
      <c r="E3889" t="inlineStr">
        <is>
          <t>SÄFFLE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3160-2021</t>
        </is>
      </c>
      <c r="B3890" s="1" t="n">
        <v>44217</v>
      </c>
      <c r="C3890" s="1" t="n">
        <v>45736</v>
      </c>
      <c r="D3890" t="inlineStr">
        <is>
          <t>VÄRMLANDS LÄN</t>
        </is>
      </c>
      <c r="E3890" t="inlineStr">
        <is>
          <t>TORSBY</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3289-2021</t>
        </is>
      </c>
      <c r="B3891" s="1" t="n">
        <v>44217</v>
      </c>
      <c r="C3891" s="1" t="n">
        <v>45736</v>
      </c>
      <c r="D3891" t="inlineStr">
        <is>
          <t>VÄRMLANDS LÄN</t>
        </is>
      </c>
      <c r="E3891" t="inlineStr">
        <is>
          <t>ARVIKA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3336-2021</t>
        </is>
      </c>
      <c r="B3892" s="1" t="n">
        <v>44217</v>
      </c>
      <c r="C3892" s="1" t="n">
        <v>45736</v>
      </c>
      <c r="D3892" t="inlineStr">
        <is>
          <t>VÄRMLANDS LÄN</t>
        </is>
      </c>
      <c r="E3892" t="inlineStr">
        <is>
          <t>TORSBY</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3980-2021</t>
        </is>
      </c>
      <c r="B3893" s="1" t="n">
        <v>44217</v>
      </c>
      <c r="C3893" s="1" t="n">
        <v>45736</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3973-2021</t>
        </is>
      </c>
      <c r="B3894" s="1" t="n">
        <v>44217</v>
      </c>
      <c r="C3894" s="1" t="n">
        <v>45736</v>
      </c>
      <c r="D3894" t="inlineStr">
        <is>
          <t>VÄRMLANDS LÄN</t>
        </is>
      </c>
      <c r="E3894" t="inlineStr">
        <is>
          <t>ÅRJÄNG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3551-2021</t>
        </is>
      </c>
      <c r="B3895" s="1" t="n">
        <v>44218</v>
      </c>
      <c r="C3895" s="1" t="n">
        <v>45736</v>
      </c>
      <c r="D3895" t="inlineStr">
        <is>
          <t>VÄRMLANDS LÄN</t>
        </is>
      </c>
      <c r="E3895" t="inlineStr">
        <is>
          <t>SÄFFLE</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4176-2021</t>
        </is>
      </c>
      <c r="B3896" s="1" t="n">
        <v>44218</v>
      </c>
      <c r="C3896" s="1" t="n">
        <v>45736</v>
      </c>
      <c r="D3896" t="inlineStr">
        <is>
          <t>VÄRMLANDS LÄN</t>
        </is>
      </c>
      <c r="E3896" t="inlineStr">
        <is>
          <t>KARLSTAD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3674-2021</t>
        </is>
      </c>
      <c r="B3897" s="1" t="n">
        <v>44221</v>
      </c>
      <c r="C3897" s="1" t="n">
        <v>45736</v>
      </c>
      <c r="D3897" t="inlineStr">
        <is>
          <t>VÄRMLANDS LÄN</t>
        </is>
      </c>
      <c r="E3897" t="inlineStr">
        <is>
          <t>HAGFORS</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3796-2021</t>
        </is>
      </c>
      <c r="B3898" s="1" t="n">
        <v>44221</v>
      </c>
      <c r="C3898" s="1" t="n">
        <v>45736</v>
      </c>
      <c r="D3898" t="inlineStr">
        <is>
          <t>VÄRMLANDS LÄN</t>
        </is>
      </c>
      <c r="E3898" t="inlineStr">
        <is>
          <t>ÅRJÄNG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3678-2021</t>
        </is>
      </c>
      <c r="B3899" s="1" t="n">
        <v>44221</v>
      </c>
      <c r="C3899" s="1" t="n">
        <v>45736</v>
      </c>
      <c r="D3899" t="inlineStr">
        <is>
          <t>VÄRMLANDS LÄN</t>
        </is>
      </c>
      <c r="E3899" t="inlineStr">
        <is>
          <t>HAGFORS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3825-2021</t>
        </is>
      </c>
      <c r="B3900" s="1" t="n">
        <v>44221</v>
      </c>
      <c r="C3900" s="1" t="n">
        <v>45736</v>
      </c>
      <c r="D3900" t="inlineStr">
        <is>
          <t>VÄRMLANDS LÄN</t>
        </is>
      </c>
      <c r="E3900" t="inlineStr">
        <is>
          <t>SÄFFLE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3664-2021</t>
        </is>
      </c>
      <c r="B3901" s="1" t="n">
        <v>44221</v>
      </c>
      <c r="C3901" s="1" t="n">
        <v>45736</v>
      </c>
      <c r="D3901" t="inlineStr">
        <is>
          <t>VÄRMLANDS LÄN</t>
        </is>
      </c>
      <c r="E3901" t="inlineStr">
        <is>
          <t>ARVIKA</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4231-2021</t>
        </is>
      </c>
      <c r="B3902" s="1" t="n">
        <v>44221</v>
      </c>
      <c r="C3902" s="1" t="n">
        <v>45736</v>
      </c>
      <c r="D3902" t="inlineStr">
        <is>
          <t>VÄRMLANDS LÄN</t>
        </is>
      </c>
      <c r="E3902" t="inlineStr">
        <is>
          <t>SÄFFLE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4266-2021</t>
        </is>
      </c>
      <c r="B3903" s="1" t="n">
        <v>44221</v>
      </c>
      <c r="C3903" s="1" t="n">
        <v>45736</v>
      </c>
      <c r="D3903" t="inlineStr">
        <is>
          <t>VÄRMLANDS LÄN</t>
        </is>
      </c>
      <c r="E3903" t="inlineStr">
        <is>
          <t>SÄFFLE</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4263-2021</t>
        </is>
      </c>
      <c r="B3904" s="1" t="n">
        <v>44221</v>
      </c>
      <c r="C3904" s="1" t="n">
        <v>45736</v>
      </c>
      <c r="D3904" t="inlineStr">
        <is>
          <t>VÄRMLANDS LÄN</t>
        </is>
      </c>
      <c r="E3904" t="inlineStr">
        <is>
          <t>SÄFFLE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4353-2021</t>
        </is>
      </c>
      <c r="B3905" s="1" t="n">
        <v>44221</v>
      </c>
      <c r="C3905" s="1" t="n">
        <v>45736</v>
      </c>
      <c r="D3905" t="inlineStr">
        <is>
          <t>VÄRMLANDS LÄN</t>
        </is>
      </c>
      <c r="E3905" t="inlineStr">
        <is>
          <t>SÄFFLE</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3884-2021</t>
        </is>
      </c>
      <c r="B3906" s="1" t="n">
        <v>44221</v>
      </c>
      <c r="C3906" s="1" t="n">
        <v>45736</v>
      </c>
      <c r="D3906" t="inlineStr">
        <is>
          <t>VÄRMLANDS LÄN</t>
        </is>
      </c>
      <c r="E3906" t="inlineStr">
        <is>
          <t>SÄFFLE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4235-2021</t>
        </is>
      </c>
      <c r="B3907" s="1" t="n">
        <v>44221</v>
      </c>
      <c r="C3907" s="1" t="n">
        <v>45736</v>
      </c>
      <c r="D3907" t="inlineStr">
        <is>
          <t>VÄRMLANDS LÄN</t>
        </is>
      </c>
      <c r="E3907" t="inlineStr">
        <is>
          <t>SÄFFLE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3883-2021</t>
        </is>
      </c>
      <c r="B3908" s="1" t="n">
        <v>44222</v>
      </c>
      <c r="C3908" s="1" t="n">
        <v>45736</v>
      </c>
      <c r="D3908" t="inlineStr">
        <is>
          <t>VÄRMLANDS LÄN</t>
        </is>
      </c>
      <c r="E3908" t="inlineStr">
        <is>
          <t>KARLSTAD</t>
        </is>
      </c>
      <c r="F3908" t="inlineStr">
        <is>
          <t>Kommuner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3942-2021</t>
        </is>
      </c>
      <c r="B3909" s="1" t="n">
        <v>44222</v>
      </c>
      <c r="C3909" s="1" t="n">
        <v>45736</v>
      </c>
      <c r="D3909" t="inlineStr">
        <is>
          <t>VÄRMLANDS LÄN</t>
        </is>
      </c>
      <c r="E3909" t="inlineStr">
        <is>
          <t>KARLSTAD</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3970-2021</t>
        </is>
      </c>
      <c r="B3910" s="1" t="n">
        <v>44222</v>
      </c>
      <c r="C3910" s="1" t="n">
        <v>45736</v>
      </c>
      <c r="D3910" t="inlineStr">
        <is>
          <t>VÄRMLANDS LÄN</t>
        </is>
      </c>
      <c r="E3910" t="inlineStr">
        <is>
          <t>KIL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4086-2021</t>
        </is>
      </c>
      <c r="B3911" s="1" t="n">
        <v>44222</v>
      </c>
      <c r="C3911" s="1" t="n">
        <v>45736</v>
      </c>
      <c r="D3911" t="inlineStr">
        <is>
          <t>VÄRMLANDS LÄN</t>
        </is>
      </c>
      <c r="E3911" t="inlineStr">
        <is>
          <t>ARVIKA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4104-2021</t>
        </is>
      </c>
      <c r="B3912" s="1" t="n">
        <v>44222</v>
      </c>
      <c r="C3912" s="1" t="n">
        <v>45736</v>
      </c>
      <c r="D3912" t="inlineStr">
        <is>
          <t>VÄRMLANDS LÄN</t>
        </is>
      </c>
      <c r="E3912" t="inlineStr">
        <is>
          <t>FORSHAGA</t>
        </is>
      </c>
      <c r="F3912" t="inlineStr">
        <is>
          <t>Bergvik skog väst AB</t>
        </is>
      </c>
      <c r="G3912" t="n">
        <v>20.9</v>
      </c>
      <c r="H3912" t="n">
        <v>0</v>
      </c>
      <c r="I3912" t="n">
        <v>0</v>
      </c>
      <c r="J3912" t="n">
        <v>0</v>
      </c>
      <c r="K3912" t="n">
        <v>0</v>
      </c>
      <c r="L3912" t="n">
        <v>0</v>
      </c>
      <c r="M3912" t="n">
        <v>0</v>
      </c>
      <c r="N3912" t="n">
        <v>0</v>
      </c>
      <c r="O3912" t="n">
        <v>0</v>
      </c>
      <c r="P3912" t="n">
        <v>0</v>
      </c>
      <c r="Q3912" t="n">
        <v>0</v>
      </c>
      <c r="R3912" s="2" t="inlineStr"/>
    </row>
    <row r="3913" ht="15" customHeight="1">
      <c r="A3913" t="inlineStr">
        <is>
          <t>A 4110-2021</t>
        </is>
      </c>
      <c r="B3913" s="1" t="n">
        <v>44222</v>
      </c>
      <c r="C3913" s="1" t="n">
        <v>45736</v>
      </c>
      <c r="D3913" t="inlineStr">
        <is>
          <t>VÄRMLANDS LÄN</t>
        </is>
      </c>
      <c r="E3913" t="inlineStr">
        <is>
          <t>GRUMS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4295-2021</t>
        </is>
      </c>
      <c r="B3914" s="1" t="n">
        <v>44222</v>
      </c>
      <c r="C3914" s="1" t="n">
        <v>45736</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4083-2021</t>
        </is>
      </c>
      <c r="B3915" s="1" t="n">
        <v>44222</v>
      </c>
      <c r="C3915" s="1" t="n">
        <v>45736</v>
      </c>
      <c r="D3915" t="inlineStr">
        <is>
          <t>VÄRMLANDS LÄN</t>
        </is>
      </c>
      <c r="E3915" t="inlineStr">
        <is>
          <t>KRISTINEHAMN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4099-2021</t>
        </is>
      </c>
      <c r="B3916" s="1" t="n">
        <v>44222</v>
      </c>
      <c r="C3916" s="1" t="n">
        <v>45736</v>
      </c>
      <c r="D3916" t="inlineStr">
        <is>
          <t>VÄRMLANDS LÄN</t>
        </is>
      </c>
      <c r="E3916" t="inlineStr">
        <is>
          <t>ARVIKA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4450-2021</t>
        </is>
      </c>
      <c r="B3917" s="1" t="n">
        <v>44222</v>
      </c>
      <c r="C3917" s="1" t="n">
        <v>45736</v>
      </c>
      <c r="D3917" t="inlineStr">
        <is>
          <t>VÄRMLANDS LÄN</t>
        </is>
      </c>
      <c r="E3917" t="inlineStr">
        <is>
          <t>KARLSTAD</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4160-2021</t>
        </is>
      </c>
      <c r="B3918" s="1" t="n">
        <v>44223</v>
      </c>
      <c r="C3918" s="1" t="n">
        <v>45736</v>
      </c>
      <c r="D3918" t="inlineStr">
        <is>
          <t>VÄRMLANDS LÄN</t>
        </is>
      </c>
      <c r="E3918" t="inlineStr">
        <is>
          <t>ÅRJÄNG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4345-2021</t>
        </is>
      </c>
      <c r="B3919" s="1" t="n">
        <v>44223</v>
      </c>
      <c r="C3919" s="1" t="n">
        <v>45736</v>
      </c>
      <c r="D3919" t="inlineStr">
        <is>
          <t>VÄRMLANDS LÄN</t>
        </is>
      </c>
      <c r="E3919" t="inlineStr">
        <is>
          <t>EDA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4129-2021</t>
        </is>
      </c>
      <c r="B3920" s="1" t="n">
        <v>44223</v>
      </c>
      <c r="C3920" s="1" t="n">
        <v>45736</v>
      </c>
      <c r="D3920" t="inlineStr">
        <is>
          <t>VÄRMLANDS LÄN</t>
        </is>
      </c>
      <c r="E3920" t="inlineStr">
        <is>
          <t>EDA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4238-2021</t>
        </is>
      </c>
      <c r="B3921" s="1" t="n">
        <v>44223</v>
      </c>
      <c r="C3921" s="1" t="n">
        <v>45736</v>
      </c>
      <c r="D3921" t="inlineStr">
        <is>
          <t>VÄRMLANDS LÄN</t>
        </is>
      </c>
      <c r="E3921" t="inlineStr">
        <is>
          <t>KIL</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4300-2021</t>
        </is>
      </c>
      <c r="B3922" s="1" t="n">
        <v>44223</v>
      </c>
      <c r="C3922" s="1" t="n">
        <v>45736</v>
      </c>
      <c r="D3922" t="inlineStr">
        <is>
          <t>VÄRMLANDS LÄN</t>
        </is>
      </c>
      <c r="E3922" t="inlineStr">
        <is>
          <t>ÅRJÄNG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4392-2021</t>
        </is>
      </c>
      <c r="B3923" s="1" t="n">
        <v>44223</v>
      </c>
      <c r="C3923" s="1" t="n">
        <v>45736</v>
      </c>
      <c r="D3923" t="inlineStr">
        <is>
          <t>VÄRMLANDS LÄN</t>
        </is>
      </c>
      <c r="E3923" t="inlineStr">
        <is>
          <t>TORSBY</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4324-2021</t>
        </is>
      </c>
      <c r="B3924" s="1" t="n">
        <v>44223</v>
      </c>
      <c r="C3924" s="1" t="n">
        <v>45736</v>
      </c>
      <c r="D3924" t="inlineStr">
        <is>
          <t>VÄRMLANDS LÄN</t>
        </is>
      </c>
      <c r="E3924" t="inlineStr">
        <is>
          <t>SÄFFLE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4558-2021</t>
        </is>
      </c>
      <c r="B3925" s="1" t="n">
        <v>44223</v>
      </c>
      <c r="C3925" s="1" t="n">
        <v>45736</v>
      </c>
      <c r="D3925" t="inlineStr">
        <is>
          <t>VÄRMLANDS LÄN</t>
        </is>
      </c>
      <c r="E3925" t="inlineStr">
        <is>
          <t>TORSBY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4803-2021</t>
        </is>
      </c>
      <c r="B3926" s="1" t="n">
        <v>44223</v>
      </c>
      <c r="C3926" s="1" t="n">
        <v>45736</v>
      </c>
      <c r="D3926" t="inlineStr">
        <is>
          <t>VÄRMLANDS LÄN</t>
        </is>
      </c>
      <c r="E3926" t="inlineStr">
        <is>
          <t>SÄFFLE</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4393-2021</t>
        </is>
      </c>
      <c r="B3927" s="1" t="n">
        <v>44223</v>
      </c>
      <c r="C3927" s="1" t="n">
        <v>45736</v>
      </c>
      <c r="D3927" t="inlineStr">
        <is>
          <t>VÄRMLANDS LÄN</t>
        </is>
      </c>
      <c r="E3927" t="inlineStr">
        <is>
          <t>TORSBY</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4564-2021</t>
        </is>
      </c>
      <c r="B3928" s="1" t="n">
        <v>44223</v>
      </c>
      <c r="C3928" s="1" t="n">
        <v>45736</v>
      </c>
      <c r="D3928" t="inlineStr">
        <is>
          <t>VÄRMLANDS LÄN</t>
        </is>
      </c>
      <c r="E3928" t="inlineStr">
        <is>
          <t>TORSBY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4420-2021</t>
        </is>
      </c>
      <c r="B3929" s="1" t="n">
        <v>44224</v>
      </c>
      <c r="C3929" s="1" t="n">
        <v>45736</v>
      </c>
      <c r="D3929" t="inlineStr">
        <is>
          <t>VÄRMLANDS LÄN</t>
        </is>
      </c>
      <c r="E3929" t="inlineStr">
        <is>
          <t>FILIPSTAD</t>
        </is>
      </c>
      <c r="F3929" t="inlineStr">
        <is>
          <t>Bergvik skog väst AB</t>
        </is>
      </c>
      <c r="G3929" t="n">
        <v>23.1</v>
      </c>
      <c r="H3929" t="n">
        <v>0</v>
      </c>
      <c r="I3929" t="n">
        <v>0</v>
      </c>
      <c r="J3929" t="n">
        <v>0</v>
      </c>
      <c r="K3929" t="n">
        <v>0</v>
      </c>
      <c r="L3929" t="n">
        <v>0</v>
      </c>
      <c r="M3929" t="n">
        <v>0</v>
      </c>
      <c r="N3929" t="n">
        <v>0</v>
      </c>
      <c r="O3929" t="n">
        <v>0</v>
      </c>
      <c r="P3929" t="n">
        <v>0</v>
      </c>
      <c r="Q3929" t="n">
        <v>0</v>
      </c>
      <c r="R3929" s="2" t="inlineStr"/>
    </row>
    <row r="3930" ht="15" customHeight="1">
      <c r="A3930" t="inlineStr">
        <is>
          <t>A 4537-2021</t>
        </is>
      </c>
      <c r="B3930" s="1" t="n">
        <v>44224</v>
      </c>
      <c r="C3930" s="1" t="n">
        <v>45736</v>
      </c>
      <c r="D3930" t="inlineStr">
        <is>
          <t>VÄRMLANDS LÄN</t>
        </is>
      </c>
      <c r="E3930" t="inlineStr">
        <is>
          <t>EDA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4593-2021</t>
        </is>
      </c>
      <c r="B3931" s="1" t="n">
        <v>44224</v>
      </c>
      <c r="C3931" s="1" t="n">
        <v>45736</v>
      </c>
      <c r="D3931" t="inlineStr">
        <is>
          <t>VÄRMLANDS LÄN</t>
        </is>
      </c>
      <c r="E3931" t="inlineStr">
        <is>
          <t>SÄFFLE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4479-2021</t>
        </is>
      </c>
      <c r="B3932" s="1" t="n">
        <v>44224</v>
      </c>
      <c r="C3932" s="1" t="n">
        <v>45736</v>
      </c>
      <c r="D3932" t="inlineStr">
        <is>
          <t>VÄRMLANDS LÄN</t>
        </is>
      </c>
      <c r="E3932" t="inlineStr">
        <is>
          <t>TORSBY</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4617-2021</t>
        </is>
      </c>
      <c r="B3933" s="1" t="n">
        <v>44224</v>
      </c>
      <c r="C3933" s="1" t="n">
        <v>45736</v>
      </c>
      <c r="D3933" t="inlineStr">
        <is>
          <t>VÄRMLANDS LÄN</t>
        </is>
      </c>
      <c r="E3933" t="inlineStr">
        <is>
          <t>FILIPSTAD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4475-2021</t>
        </is>
      </c>
      <c r="B3934" s="1" t="n">
        <v>44224</v>
      </c>
      <c r="C3934" s="1" t="n">
        <v>45736</v>
      </c>
      <c r="D3934" t="inlineStr">
        <is>
          <t>VÄRMLANDS LÄN</t>
        </is>
      </c>
      <c r="E3934" t="inlineStr">
        <is>
          <t>FILIPSTAD</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4607-2021</t>
        </is>
      </c>
      <c r="B3935" s="1" t="n">
        <v>44224</v>
      </c>
      <c r="C3935" s="1" t="n">
        <v>45736</v>
      </c>
      <c r="D3935" t="inlineStr">
        <is>
          <t>VÄRMLANDS LÄN</t>
        </is>
      </c>
      <c r="E3935" t="inlineStr">
        <is>
          <t>ÅRJÄNG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4619-2021</t>
        </is>
      </c>
      <c r="B3936" s="1" t="n">
        <v>44224</v>
      </c>
      <c r="C3936" s="1" t="n">
        <v>45736</v>
      </c>
      <c r="D3936" t="inlineStr">
        <is>
          <t>VÄRMLANDS LÄN</t>
        </is>
      </c>
      <c r="E3936" t="inlineStr">
        <is>
          <t>FILIPSTAD</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4630-2021</t>
        </is>
      </c>
      <c r="B3937" s="1" t="n">
        <v>44224</v>
      </c>
      <c r="C3937" s="1" t="n">
        <v>45736</v>
      </c>
      <c r="D3937" t="inlineStr">
        <is>
          <t>VÄRMLANDS LÄN</t>
        </is>
      </c>
      <c r="E3937" t="inlineStr">
        <is>
          <t>ARVIKA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4702-2021</t>
        </is>
      </c>
      <c r="B3938" s="1" t="n">
        <v>44225</v>
      </c>
      <c r="C3938" s="1" t="n">
        <v>45736</v>
      </c>
      <c r="D3938" t="inlineStr">
        <is>
          <t>VÄRMLANDS LÄN</t>
        </is>
      </c>
      <c r="E3938" t="inlineStr">
        <is>
          <t>EDA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4711-2021</t>
        </is>
      </c>
      <c r="B3939" s="1" t="n">
        <v>44225</v>
      </c>
      <c r="C3939" s="1" t="n">
        <v>45736</v>
      </c>
      <c r="D3939" t="inlineStr">
        <is>
          <t>VÄRMLANDS LÄN</t>
        </is>
      </c>
      <c r="E3939" t="inlineStr">
        <is>
          <t>TORSBY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4681-2021</t>
        </is>
      </c>
      <c r="B3940" s="1" t="n">
        <v>44225</v>
      </c>
      <c r="C3940" s="1" t="n">
        <v>45736</v>
      </c>
      <c r="D3940" t="inlineStr">
        <is>
          <t>VÄRMLANDS LÄN</t>
        </is>
      </c>
      <c r="E3940" t="inlineStr">
        <is>
          <t>KARLSTAD</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4712-2021</t>
        </is>
      </c>
      <c r="B3941" s="1" t="n">
        <v>44225</v>
      </c>
      <c r="C3941" s="1" t="n">
        <v>45736</v>
      </c>
      <c r="D3941" t="inlineStr">
        <is>
          <t>VÄRMLANDS LÄN</t>
        </is>
      </c>
      <c r="E3941" t="inlineStr">
        <is>
          <t>SUNNE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4724-2021</t>
        </is>
      </c>
      <c r="B3942" s="1" t="n">
        <v>44225</v>
      </c>
      <c r="C3942" s="1" t="n">
        <v>45736</v>
      </c>
      <c r="D3942" t="inlineStr">
        <is>
          <t>VÄRMLANDS LÄN</t>
        </is>
      </c>
      <c r="E3942" t="inlineStr">
        <is>
          <t>SUNNE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4863-2021</t>
        </is>
      </c>
      <c r="B3943" s="1" t="n">
        <v>44225</v>
      </c>
      <c r="C3943" s="1" t="n">
        <v>45736</v>
      </c>
      <c r="D3943" t="inlineStr">
        <is>
          <t>VÄRMLANDS LÄN</t>
        </is>
      </c>
      <c r="E3943" t="inlineStr">
        <is>
          <t>SUNNE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4834-2021</t>
        </is>
      </c>
      <c r="B3944" s="1" t="n">
        <v>44225</v>
      </c>
      <c r="C3944" s="1" t="n">
        <v>45736</v>
      </c>
      <c r="D3944" t="inlineStr">
        <is>
          <t>VÄRMLANDS LÄN</t>
        </is>
      </c>
      <c r="E3944" t="inlineStr">
        <is>
          <t>HAGFORS</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4738-2021</t>
        </is>
      </c>
      <c r="B3945" s="1" t="n">
        <v>44225</v>
      </c>
      <c r="C3945" s="1" t="n">
        <v>45736</v>
      </c>
      <c r="D3945" t="inlineStr">
        <is>
          <t>VÄRMLANDS LÄN</t>
        </is>
      </c>
      <c r="E3945" t="inlineStr">
        <is>
          <t>FILIPSTAD</t>
        </is>
      </c>
      <c r="F3945" t="inlineStr">
        <is>
          <t>Bergvik skog väst AB</t>
        </is>
      </c>
      <c r="G3945" t="n">
        <v>14.7</v>
      </c>
      <c r="H3945" t="n">
        <v>0</v>
      </c>
      <c r="I3945" t="n">
        <v>0</v>
      </c>
      <c r="J3945" t="n">
        <v>0</v>
      </c>
      <c r="K3945" t="n">
        <v>0</v>
      </c>
      <c r="L3945" t="n">
        <v>0</v>
      </c>
      <c r="M3945" t="n">
        <v>0</v>
      </c>
      <c r="N3945" t="n">
        <v>0</v>
      </c>
      <c r="O3945" t="n">
        <v>0</v>
      </c>
      <c r="P3945" t="n">
        <v>0</v>
      </c>
      <c r="Q3945" t="n">
        <v>0</v>
      </c>
      <c r="R3945" s="2" t="inlineStr"/>
    </row>
    <row r="3946" ht="15" customHeight="1">
      <c r="A3946" t="inlineStr">
        <is>
          <t>A 5682-2021</t>
        </is>
      </c>
      <c r="B3946" s="1" t="n">
        <v>44225</v>
      </c>
      <c r="C3946" s="1" t="n">
        <v>45736</v>
      </c>
      <c r="D3946" t="inlineStr">
        <is>
          <t>VÄRMLANDS LÄN</t>
        </is>
      </c>
      <c r="E3946" t="inlineStr">
        <is>
          <t>KARLSTAD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4916-2021</t>
        </is>
      </c>
      <c r="B3947" s="1" t="n">
        <v>44226</v>
      </c>
      <c r="C3947" s="1" t="n">
        <v>45736</v>
      </c>
      <c r="D3947" t="inlineStr">
        <is>
          <t>VÄRMLANDS LÄN</t>
        </is>
      </c>
      <c r="E3947" t="inlineStr">
        <is>
          <t>SUNNE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4935-2021</t>
        </is>
      </c>
      <c r="B3948" s="1" t="n">
        <v>44227</v>
      </c>
      <c r="C3948" s="1" t="n">
        <v>45736</v>
      </c>
      <c r="D3948" t="inlineStr">
        <is>
          <t>VÄRMLANDS LÄN</t>
        </is>
      </c>
      <c r="E3948" t="inlineStr">
        <is>
          <t>EDA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4934-2021</t>
        </is>
      </c>
      <c r="B3949" s="1" t="n">
        <v>44227</v>
      </c>
      <c r="C3949" s="1" t="n">
        <v>45736</v>
      </c>
      <c r="D3949" t="inlineStr">
        <is>
          <t>VÄRMLANDS LÄN</t>
        </is>
      </c>
      <c r="E3949" t="inlineStr">
        <is>
          <t>EDA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4936-2021</t>
        </is>
      </c>
      <c r="B3950" s="1" t="n">
        <v>44227</v>
      </c>
      <c r="C3950" s="1" t="n">
        <v>45736</v>
      </c>
      <c r="D3950" t="inlineStr">
        <is>
          <t>VÄRMLANDS LÄN</t>
        </is>
      </c>
      <c r="E3950" t="inlineStr">
        <is>
          <t>EDA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4991-2021</t>
        </is>
      </c>
      <c r="B3951" s="1" t="n">
        <v>44228</v>
      </c>
      <c r="C3951" s="1" t="n">
        <v>45736</v>
      </c>
      <c r="D3951" t="inlineStr">
        <is>
          <t>VÄRMLANDS LÄN</t>
        </is>
      </c>
      <c r="E3951" t="inlineStr">
        <is>
          <t>FORSHAGA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5141-2021</t>
        </is>
      </c>
      <c r="B3952" s="1" t="n">
        <v>44228</v>
      </c>
      <c r="C3952" s="1" t="n">
        <v>45736</v>
      </c>
      <c r="D3952" t="inlineStr">
        <is>
          <t>VÄRMLANDS LÄN</t>
        </is>
      </c>
      <c r="E3952" t="inlineStr">
        <is>
          <t>FILIPSTAD</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5167-2021</t>
        </is>
      </c>
      <c r="B3953" s="1" t="n">
        <v>44228</v>
      </c>
      <c r="C3953" s="1" t="n">
        <v>45736</v>
      </c>
      <c r="D3953" t="inlineStr">
        <is>
          <t>VÄRMLANDS LÄN</t>
        </is>
      </c>
      <c r="E3953" t="inlineStr">
        <is>
          <t>GRUMS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5072-2021</t>
        </is>
      </c>
      <c r="B3954" s="1" t="n">
        <v>44228</v>
      </c>
      <c r="C3954" s="1" t="n">
        <v>45736</v>
      </c>
      <c r="D3954" t="inlineStr">
        <is>
          <t>VÄRMLANDS LÄN</t>
        </is>
      </c>
      <c r="E3954" t="inlineStr">
        <is>
          <t>HAMMARÖ</t>
        </is>
      </c>
      <c r="G3954" t="n">
        <v>0.5</v>
      </c>
      <c r="H3954" t="n">
        <v>0</v>
      </c>
      <c r="I3954" t="n">
        <v>0</v>
      </c>
      <c r="J3954" t="n">
        <v>0</v>
      </c>
      <c r="K3954" t="n">
        <v>0</v>
      </c>
      <c r="L3954" t="n">
        <v>0</v>
      </c>
      <c r="M3954" t="n">
        <v>0</v>
      </c>
      <c r="N3954" t="n">
        <v>0</v>
      </c>
      <c r="O3954" t="n">
        <v>0</v>
      </c>
      <c r="P3954" t="n">
        <v>0</v>
      </c>
      <c r="Q3954" t="n">
        <v>0</v>
      </c>
      <c r="R3954" s="2" t="inlineStr"/>
      <c r="U3954">
        <f>HYPERLINK("https://klasma.github.io/Logging_1761/knärot/A 5072-2021 karta knärot.png", "A 5072-2021")</f>
        <v/>
      </c>
      <c r="V3954">
        <f>HYPERLINK("https://klasma.github.io/Logging_1761/klagomål/A 5072-2021 FSC-klagomål.docx", "A 5072-2021")</f>
        <v/>
      </c>
      <c r="W3954">
        <f>HYPERLINK("https://klasma.github.io/Logging_1761/klagomålsmail/A 5072-2021 FSC-klagomål mail.docx", "A 5072-2021")</f>
        <v/>
      </c>
      <c r="X3954">
        <f>HYPERLINK("https://klasma.github.io/Logging_1761/tillsyn/A 5072-2021 tillsynsbegäran.docx", "A 5072-2021")</f>
        <v/>
      </c>
      <c r="Y3954">
        <f>HYPERLINK("https://klasma.github.io/Logging_1761/tillsynsmail/A 5072-2021 tillsynsbegäran mail.docx", "A 5072-2021")</f>
        <v/>
      </c>
    </row>
    <row r="3955" ht="15" customHeight="1">
      <c r="A3955" t="inlineStr">
        <is>
          <t>A 5176-2021</t>
        </is>
      </c>
      <c r="B3955" s="1" t="n">
        <v>44228</v>
      </c>
      <c r="C3955" s="1" t="n">
        <v>45736</v>
      </c>
      <c r="D3955" t="inlineStr">
        <is>
          <t>VÄRMLANDS LÄN</t>
        </is>
      </c>
      <c r="E3955" t="inlineStr">
        <is>
          <t>FILIPSTAD</t>
        </is>
      </c>
      <c r="F3955" t="inlineStr">
        <is>
          <t>Bergvik skog väst AB</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5050-2021</t>
        </is>
      </c>
      <c r="B3956" s="1" t="n">
        <v>44228</v>
      </c>
      <c r="C3956" s="1" t="n">
        <v>45736</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5105-2021</t>
        </is>
      </c>
      <c r="B3957" s="1" t="n">
        <v>44228</v>
      </c>
      <c r="C3957" s="1" t="n">
        <v>45736</v>
      </c>
      <c r="D3957" t="inlineStr">
        <is>
          <t>VÄRMLANDS LÄN</t>
        </is>
      </c>
      <c r="E3957" t="inlineStr">
        <is>
          <t>TORSBY</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5197-2021</t>
        </is>
      </c>
      <c r="B3958" s="1" t="n">
        <v>44228</v>
      </c>
      <c r="C3958" s="1" t="n">
        <v>45736</v>
      </c>
      <c r="D3958" t="inlineStr">
        <is>
          <t>VÄRMLANDS LÄN</t>
        </is>
      </c>
      <c r="E3958" t="inlineStr">
        <is>
          <t>KARLSTAD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5328-2021</t>
        </is>
      </c>
      <c r="B3959" s="1" t="n">
        <v>44229</v>
      </c>
      <c r="C3959" s="1" t="n">
        <v>45736</v>
      </c>
      <c r="D3959" t="inlineStr">
        <is>
          <t>VÄRMLANDS LÄN</t>
        </is>
      </c>
      <c r="E3959" t="inlineStr">
        <is>
          <t>KIL</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5259-2021</t>
        </is>
      </c>
      <c r="B3960" s="1" t="n">
        <v>44229</v>
      </c>
      <c r="C3960" s="1" t="n">
        <v>45736</v>
      </c>
      <c r="D3960" t="inlineStr">
        <is>
          <t>VÄRMLANDS LÄN</t>
        </is>
      </c>
      <c r="E3960" t="inlineStr">
        <is>
          <t>ÅRJÄNG</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5342-2021</t>
        </is>
      </c>
      <c r="B3961" s="1" t="n">
        <v>44229</v>
      </c>
      <c r="C3961" s="1" t="n">
        <v>45736</v>
      </c>
      <c r="D3961" t="inlineStr">
        <is>
          <t>VÄRMLANDS LÄN</t>
        </is>
      </c>
      <c r="E3961" t="inlineStr">
        <is>
          <t>FILIPSTAD</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5329-2021</t>
        </is>
      </c>
      <c r="B3962" s="1" t="n">
        <v>44229</v>
      </c>
      <c r="C3962" s="1" t="n">
        <v>45736</v>
      </c>
      <c r="D3962" t="inlineStr">
        <is>
          <t>VÄRMLANDS LÄN</t>
        </is>
      </c>
      <c r="E3962" t="inlineStr">
        <is>
          <t>KIL</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5365-2021</t>
        </is>
      </c>
      <c r="B3963" s="1" t="n">
        <v>44229</v>
      </c>
      <c r="C3963" s="1" t="n">
        <v>45736</v>
      </c>
      <c r="D3963" t="inlineStr">
        <is>
          <t>VÄRMLANDS LÄN</t>
        </is>
      </c>
      <c r="E3963" t="inlineStr">
        <is>
          <t>TORSBY</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5229-2021</t>
        </is>
      </c>
      <c r="B3964" s="1" t="n">
        <v>44229</v>
      </c>
      <c r="C3964" s="1" t="n">
        <v>45736</v>
      </c>
      <c r="D3964" t="inlineStr">
        <is>
          <t>VÄRMLANDS LÄN</t>
        </is>
      </c>
      <c r="E3964" t="inlineStr">
        <is>
          <t>ARVIKA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6169-2021</t>
        </is>
      </c>
      <c r="B3965" s="1" t="n">
        <v>44229</v>
      </c>
      <c r="C3965" s="1" t="n">
        <v>45736</v>
      </c>
      <c r="D3965" t="inlineStr">
        <is>
          <t>VÄRMLANDS LÄN</t>
        </is>
      </c>
      <c r="E3965" t="inlineStr">
        <is>
          <t>SÄFFLE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5729-2021</t>
        </is>
      </c>
      <c r="B3966" s="1" t="n">
        <v>44229</v>
      </c>
      <c r="C3966" s="1" t="n">
        <v>45736</v>
      </c>
      <c r="D3966" t="inlineStr">
        <is>
          <t>VÄRMLANDS LÄN</t>
        </is>
      </c>
      <c r="E3966" t="inlineStr">
        <is>
          <t>FILIPSTAD</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6164-2021</t>
        </is>
      </c>
      <c r="B3967" s="1" t="n">
        <v>44229</v>
      </c>
      <c r="C3967" s="1" t="n">
        <v>45736</v>
      </c>
      <c r="D3967" t="inlineStr">
        <is>
          <t>VÄRMLANDS LÄN</t>
        </is>
      </c>
      <c r="E3967" t="inlineStr">
        <is>
          <t>SÄFFLE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5428-2021</t>
        </is>
      </c>
      <c r="B3968" s="1" t="n">
        <v>44229</v>
      </c>
      <c r="C3968" s="1" t="n">
        <v>45736</v>
      </c>
      <c r="D3968" t="inlineStr">
        <is>
          <t>VÄRMLANDS LÄN</t>
        </is>
      </c>
      <c r="E3968" t="inlineStr">
        <is>
          <t>MUNKFORS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5713-2021</t>
        </is>
      </c>
      <c r="B3969" s="1" t="n">
        <v>44230</v>
      </c>
      <c r="C3969" s="1" t="n">
        <v>45736</v>
      </c>
      <c r="D3969" t="inlineStr">
        <is>
          <t>VÄRMLANDS LÄN</t>
        </is>
      </c>
      <c r="E3969" t="inlineStr">
        <is>
          <t>ÅRJÄNG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5572-2021</t>
        </is>
      </c>
      <c r="B3970" s="1" t="n">
        <v>44230</v>
      </c>
      <c r="C3970" s="1" t="n">
        <v>45736</v>
      </c>
      <c r="D3970" t="inlineStr">
        <is>
          <t>VÄRMLANDS LÄN</t>
        </is>
      </c>
      <c r="E3970" t="inlineStr">
        <is>
          <t>TORSBY</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5634-2021</t>
        </is>
      </c>
      <c r="B3971" s="1" t="n">
        <v>44230</v>
      </c>
      <c r="C3971" s="1" t="n">
        <v>45736</v>
      </c>
      <c r="D3971" t="inlineStr">
        <is>
          <t>VÄRMLANDS LÄN</t>
        </is>
      </c>
      <c r="E3971" t="inlineStr">
        <is>
          <t>SUNNE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5710-2021</t>
        </is>
      </c>
      <c r="B3972" s="1" t="n">
        <v>44230</v>
      </c>
      <c r="C3972" s="1" t="n">
        <v>45736</v>
      </c>
      <c r="D3972" t="inlineStr">
        <is>
          <t>VÄRMLANDS LÄN</t>
        </is>
      </c>
      <c r="E3972" t="inlineStr">
        <is>
          <t>KARLSTAD</t>
        </is>
      </c>
      <c r="G3972" t="n">
        <v>10.9</v>
      </c>
      <c r="H3972" t="n">
        <v>0</v>
      </c>
      <c r="I3972" t="n">
        <v>0</v>
      </c>
      <c r="J3972" t="n">
        <v>0</v>
      </c>
      <c r="K3972" t="n">
        <v>0</v>
      </c>
      <c r="L3972" t="n">
        <v>0</v>
      </c>
      <c r="M3972" t="n">
        <v>0</v>
      </c>
      <c r="N3972" t="n">
        <v>0</v>
      </c>
      <c r="O3972" t="n">
        <v>0</v>
      </c>
      <c r="P3972" t="n">
        <v>0</v>
      </c>
      <c r="Q3972" t="n">
        <v>0</v>
      </c>
      <c r="R3972" s="2" t="inlineStr"/>
    </row>
    <row r="3973" ht="15" customHeight="1">
      <c r="A3973" t="inlineStr">
        <is>
          <t>A 5890-2021</t>
        </is>
      </c>
      <c r="B3973" s="1" t="n">
        <v>44230</v>
      </c>
      <c r="C3973" s="1" t="n">
        <v>45736</v>
      </c>
      <c r="D3973" t="inlineStr">
        <is>
          <t>VÄRMLANDS LÄN</t>
        </is>
      </c>
      <c r="E3973" t="inlineStr">
        <is>
          <t>SUNNE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5884-2021</t>
        </is>
      </c>
      <c r="B3974" s="1" t="n">
        <v>44230</v>
      </c>
      <c r="C3974" s="1" t="n">
        <v>45736</v>
      </c>
      <c r="D3974" t="inlineStr">
        <is>
          <t>VÄRMLANDS LÄN</t>
        </is>
      </c>
      <c r="E3974" t="inlineStr">
        <is>
          <t>SUNNE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6055-2021</t>
        </is>
      </c>
      <c r="B3975" s="1" t="n">
        <v>44230</v>
      </c>
      <c r="C3975" s="1" t="n">
        <v>45736</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5834-2021</t>
        </is>
      </c>
      <c r="B3976" s="1" t="n">
        <v>44231</v>
      </c>
      <c r="C3976" s="1" t="n">
        <v>45736</v>
      </c>
      <c r="D3976" t="inlineStr">
        <is>
          <t>VÄRMLANDS LÄN</t>
        </is>
      </c>
      <c r="E3976" t="inlineStr">
        <is>
          <t>FILIPSTAD</t>
        </is>
      </c>
      <c r="F3976" t="inlineStr">
        <is>
          <t>Bergvik skog väst AB</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5839-2021</t>
        </is>
      </c>
      <c r="B3977" s="1" t="n">
        <v>44231</v>
      </c>
      <c r="C3977" s="1" t="n">
        <v>45736</v>
      </c>
      <c r="D3977" t="inlineStr">
        <is>
          <t>VÄRMLANDS LÄN</t>
        </is>
      </c>
      <c r="E3977" t="inlineStr">
        <is>
          <t>TORSBY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5881-2021</t>
        </is>
      </c>
      <c r="B3978" s="1" t="n">
        <v>44231</v>
      </c>
      <c r="C3978" s="1" t="n">
        <v>45736</v>
      </c>
      <c r="D3978" t="inlineStr">
        <is>
          <t>VÄRMLANDS LÄN</t>
        </is>
      </c>
      <c r="E3978" t="inlineStr">
        <is>
          <t>ARVIKA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5920-2021</t>
        </is>
      </c>
      <c r="B3979" s="1" t="n">
        <v>44231</v>
      </c>
      <c r="C3979" s="1" t="n">
        <v>45736</v>
      </c>
      <c r="D3979" t="inlineStr">
        <is>
          <t>VÄRMLANDS LÄN</t>
        </is>
      </c>
      <c r="E3979" t="inlineStr">
        <is>
          <t>SÄFFLE</t>
        </is>
      </c>
      <c r="F3979" t="inlineStr">
        <is>
          <t>Bergvik skog väst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5907-2021</t>
        </is>
      </c>
      <c r="B3980" s="1" t="n">
        <v>44231</v>
      </c>
      <c r="C3980" s="1" t="n">
        <v>45736</v>
      </c>
      <c r="D3980" t="inlineStr">
        <is>
          <t>VÄRMLANDS LÄN</t>
        </is>
      </c>
      <c r="E3980" t="inlineStr">
        <is>
          <t>ARVIKA</t>
        </is>
      </c>
      <c r="F3980" t="inlineStr">
        <is>
          <t>Bergvik skog väst AB</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6034-2021</t>
        </is>
      </c>
      <c r="B3981" s="1" t="n">
        <v>44232</v>
      </c>
      <c r="C3981" s="1" t="n">
        <v>45736</v>
      </c>
      <c r="D3981" t="inlineStr">
        <is>
          <t>VÄRMLANDS LÄN</t>
        </is>
      </c>
      <c r="E3981" t="inlineStr">
        <is>
          <t>ÅRJÄNG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6063-2021</t>
        </is>
      </c>
      <c r="B3982" s="1" t="n">
        <v>44232</v>
      </c>
      <c r="C3982" s="1" t="n">
        <v>45736</v>
      </c>
      <c r="D3982" t="inlineStr">
        <is>
          <t>VÄRMLANDS LÄN</t>
        </is>
      </c>
      <c r="E3982" t="inlineStr">
        <is>
          <t>TORSBY</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6111-2021</t>
        </is>
      </c>
      <c r="B3983" s="1" t="n">
        <v>44232</v>
      </c>
      <c r="C3983" s="1" t="n">
        <v>45736</v>
      </c>
      <c r="D3983" t="inlineStr">
        <is>
          <t>VÄRMLANDS LÄN</t>
        </is>
      </c>
      <c r="E3983" t="inlineStr">
        <is>
          <t>TORSBY</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6121-2021</t>
        </is>
      </c>
      <c r="B3984" s="1" t="n">
        <v>44232</v>
      </c>
      <c r="C3984" s="1" t="n">
        <v>45736</v>
      </c>
      <c r="D3984" t="inlineStr">
        <is>
          <t>VÄRMLANDS LÄN</t>
        </is>
      </c>
      <c r="E3984" t="inlineStr">
        <is>
          <t>TORSBY</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6068-2021</t>
        </is>
      </c>
      <c r="B3985" s="1" t="n">
        <v>44232</v>
      </c>
      <c r="C3985" s="1" t="n">
        <v>45736</v>
      </c>
      <c r="D3985" t="inlineStr">
        <is>
          <t>VÄRMLANDS LÄN</t>
        </is>
      </c>
      <c r="E3985" t="inlineStr">
        <is>
          <t>TORSBY</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6102-2021</t>
        </is>
      </c>
      <c r="B3986" s="1" t="n">
        <v>44232</v>
      </c>
      <c r="C3986" s="1" t="n">
        <v>45736</v>
      </c>
      <c r="D3986" t="inlineStr">
        <is>
          <t>VÄRMLANDS LÄN</t>
        </is>
      </c>
      <c r="E3986" t="inlineStr">
        <is>
          <t>TORSBY</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6184-2021</t>
        </is>
      </c>
      <c r="B3987" s="1" t="n">
        <v>44233</v>
      </c>
      <c r="C3987" s="1" t="n">
        <v>45736</v>
      </c>
      <c r="D3987" t="inlineStr">
        <is>
          <t>VÄRMLANDS LÄN</t>
        </is>
      </c>
      <c r="E3987" t="inlineStr">
        <is>
          <t>ARVIKA</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6195-2021</t>
        </is>
      </c>
      <c r="B3988" s="1" t="n">
        <v>44234</v>
      </c>
      <c r="C3988" s="1" t="n">
        <v>45736</v>
      </c>
      <c r="D3988" t="inlineStr">
        <is>
          <t>VÄRMLANDS LÄN</t>
        </is>
      </c>
      <c r="E3988" t="inlineStr">
        <is>
          <t>SUNNE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6194-2021</t>
        </is>
      </c>
      <c r="B3989" s="1" t="n">
        <v>44234</v>
      </c>
      <c r="C3989" s="1" t="n">
        <v>45736</v>
      </c>
      <c r="D3989" t="inlineStr">
        <is>
          <t>VÄRMLANDS LÄN</t>
        </is>
      </c>
      <c r="E3989" t="inlineStr">
        <is>
          <t>KRISTINEHAMN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6364-2021</t>
        </is>
      </c>
      <c r="B3990" s="1" t="n">
        <v>44235</v>
      </c>
      <c r="C3990" s="1" t="n">
        <v>45736</v>
      </c>
      <c r="D3990" t="inlineStr">
        <is>
          <t>VÄRMLANDS LÄN</t>
        </is>
      </c>
      <c r="E3990" t="inlineStr">
        <is>
          <t>SUNNE</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6209-2021</t>
        </is>
      </c>
      <c r="B3991" s="1" t="n">
        <v>44235</v>
      </c>
      <c r="C3991" s="1" t="n">
        <v>45736</v>
      </c>
      <c r="D3991" t="inlineStr">
        <is>
          <t>VÄRMLANDS LÄN</t>
        </is>
      </c>
      <c r="E3991" t="inlineStr">
        <is>
          <t>SÄFFLE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6289-2021</t>
        </is>
      </c>
      <c r="B3992" s="1" t="n">
        <v>44235</v>
      </c>
      <c r="C3992" s="1" t="n">
        <v>45736</v>
      </c>
      <c r="D3992" t="inlineStr">
        <is>
          <t>VÄRMLANDS LÄN</t>
        </is>
      </c>
      <c r="E3992" t="inlineStr">
        <is>
          <t>SUNNE</t>
        </is>
      </c>
      <c r="F3992" t="inlineStr">
        <is>
          <t>Bergvik skog väst AB</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6389-2021</t>
        </is>
      </c>
      <c r="B3993" s="1" t="n">
        <v>44235</v>
      </c>
      <c r="C3993" s="1" t="n">
        <v>45736</v>
      </c>
      <c r="D3993" t="inlineStr">
        <is>
          <t>VÄRMLANDS LÄN</t>
        </is>
      </c>
      <c r="E3993" t="inlineStr">
        <is>
          <t>ÅRJÄNG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6410-2021</t>
        </is>
      </c>
      <c r="B3994" s="1" t="n">
        <v>44235</v>
      </c>
      <c r="C3994" s="1" t="n">
        <v>45736</v>
      </c>
      <c r="D3994" t="inlineStr">
        <is>
          <t>VÄRMLANDS LÄN</t>
        </is>
      </c>
      <c r="E3994" t="inlineStr">
        <is>
          <t>ÅRJÄNG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6474-2021</t>
        </is>
      </c>
      <c r="B3995" s="1" t="n">
        <v>44235</v>
      </c>
      <c r="C3995" s="1" t="n">
        <v>45736</v>
      </c>
      <c r="D3995" t="inlineStr">
        <is>
          <t>VÄRMLANDS LÄN</t>
        </is>
      </c>
      <c r="E3995" t="inlineStr">
        <is>
          <t>ARVIKA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6539-2021</t>
        </is>
      </c>
      <c r="B3996" s="1" t="n">
        <v>44235</v>
      </c>
      <c r="C3996" s="1" t="n">
        <v>45736</v>
      </c>
      <c r="D3996" t="inlineStr">
        <is>
          <t>VÄRMLANDS LÄN</t>
        </is>
      </c>
      <c r="E3996" t="inlineStr">
        <is>
          <t>FILIPSTAD</t>
        </is>
      </c>
      <c r="F3996" t="inlineStr">
        <is>
          <t>Bergvik skog väst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6472-2021</t>
        </is>
      </c>
      <c r="B3997" s="1" t="n">
        <v>44235</v>
      </c>
      <c r="C3997" s="1" t="n">
        <v>45736</v>
      </c>
      <c r="D3997" t="inlineStr">
        <is>
          <t>VÄRMLANDS LÄN</t>
        </is>
      </c>
      <c r="E3997" t="inlineStr">
        <is>
          <t>EDA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6478-2021</t>
        </is>
      </c>
      <c r="B3998" s="1" t="n">
        <v>44235</v>
      </c>
      <c r="C3998" s="1" t="n">
        <v>45736</v>
      </c>
      <c r="D3998" t="inlineStr">
        <is>
          <t>VÄRMLANDS LÄN</t>
        </is>
      </c>
      <c r="E3998" t="inlineStr">
        <is>
          <t>ARVIKA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6542-2021</t>
        </is>
      </c>
      <c r="B3999" s="1" t="n">
        <v>44235</v>
      </c>
      <c r="C3999" s="1" t="n">
        <v>45736</v>
      </c>
      <c r="D3999" t="inlineStr">
        <is>
          <t>VÄRMLANDS LÄN</t>
        </is>
      </c>
      <c r="E3999" t="inlineStr">
        <is>
          <t>FILIPSTAD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6522-2021</t>
        </is>
      </c>
      <c r="B4000" s="1" t="n">
        <v>44236</v>
      </c>
      <c r="C4000" s="1" t="n">
        <v>45736</v>
      </c>
      <c r="D4000" t="inlineStr">
        <is>
          <t>VÄRMLANDS LÄN</t>
        </is>
      </c>
      <c r="E4000" t="inlineStr">
        <is>
          <t>ÅRJÄNG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6551-2021</t>
        </is>
      </c>
      <c r="B4001" s="1" t="n">
        <v>44236</v>
      </c>
      <c r="C4001" s="1" t="n">
        <v>45736</v>
      </c>
      <c r="D4001" t="inlineStr">
        <is>
          <t>VÄRMLANDS LÄN</t>
        </is>
      </c>
      <c r="E4001" t="inlineStr">
        <is>
          <t>ÅRJÄNG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6505-2021</t>
        </is>
      </c>
      <c r="B4002" s="1" t="n">
        <v>44236</v>
      </c>
      <c r="C4002" s="1" t="n">
        <v>45736</v>
      </c>
      <c r="D4002" t="inlineStr">
        <is>
          <t>VÄRMLANDS LÄN</t>
        </is>
      </c>
      <c r="E4002" t="inlineStr">
        <is>
          <t>KRISTINEHAMN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6656-2021</t>
        </is>
      </c>
      <c r="B4003" s="1" t="n">
        <v>44236</v>
      </c>
      <c r="C4003" s="1" t="n">
        <v>45736</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6696-2021</t>
        </is>
      </c>
      <c r="B4004" s="1" t="n">
        <v>44236</v>
      </c>
      <c r="C4004" s="1" t="n">
        <v>45736</v>
      </c>
      <c r="D4004" t="inlineStr">
        <is>
          <t>VÄRMLANDS LÄN</t>
        </is>
      </c>
      <c r="E4004" t="inlineStr">
        <is>
          <t>EDA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6709-2021</t>
        </is>
      </c>
      <c r="B4005" s="1" t="n">
        <v>44236</v>
      </c>
      <c r="C4005" s="1" t="n">
        <v>45736</v>
      </c>
      <c r="D4005" t="inlineStr">
        <is>
          <t>VÄRMLANDS LÄN</t>
        </is>
      </c>
      <c r="E4005" t="inlineStr">
        <is>
          <t>SUNNE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6770-2021</t>
        </is>
      </c>
      <c r="B4006" s="1" t="n">
        <v>44236</v>
      </c>
      <c r="C4006" s="1" t="n">
        <v>45736</v>
      </c>
      <c r="D4006" t="inlineStr">
        <is>
          <t>VÄRMLANDS LÄN</t>
        </is>
      </c>
      <c r="E4006" t="inlineStr">
        <is>
          <t>FILIPSTAD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6825-2021</t>
        </is>
      </c>
      <c r="B4007" s="1" t="n">
        <v>44237</v>
      </c>
      <c r="C4007" s="1" t="n">
        <v>45736</v>
      </c>
      <c r="D4007" t="inlineStr">
        <is>
          <t>VÄRMLANDS LÄN</t>
        </is>
      </c>
      <c r="E4007" t="inlineStr">
        <is>
          <t>SUNNE</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6900-2021</t>
        </is>
      </c>
      <c r="B4008" s="1" t="n">
        <v>44237</v>
      </c>
      <c r="C4008" s="1" t="n">
        <v>45736</v>
      </c>
      <c r="D4008" t="inlineStr">
        <is>
          <t>VÄRMLANDS LÄN</t>
        </is>
      </c>
      <c r="E4008" t="inlineStr">
        <is>
          <t>ÅRJÄNG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6908-2021</t>
        </is>
      </c>
      <c r="B4009" s="1" t="n">
        <v>44237</v>
      </c>
      <c r="C4009" s="1" t="n">
        <v>45736</v>
      </c>
      <c r="D4009" t="inlineStr">
        <is>
          <t>VÄRMLANDS LÄN</t>
        </is>
      </c>
      <c r="E4009" t="inlineStr">
        <is>
          <t>ÅRJÄNG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6964-2021</t>
        </is>
      </c>
      <c r="B4010" s="1" t="n">
        <v>44237</v>
      </c>
      <c r="C4010" s="1" t="n">
        <v>45736</v>
      </c>
      <c r="D4010" t="inlineStr">
        <is>
          <t>VÄRMLANDS LÄN</t>
        </is>
      </c>
      <c r="E4010" t="inlineStr">
        <is>
          <t>FORSHAGA</t>
        </is>
      </c>
      <c r="F4010" t="inlineStr">
        <is>
          <t>Bergvik skog väst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6937-2021</t>
        </is>
      </c>
      <c r="B4011" s="1" t="n">
        <v>44237</v>
      </c>
      <c r="C4011" s="1" t="n">
        <v>45736</v>
      </c>
      <c r="D4011" t="inlineStr">
        <is>
          <t>VÄRMLANDS LÄN</t>
        </is>
      </c>
      <c r="E4011" t="inlineStr">
        <is>
          <t>SUNNE</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7223-2021</t>
        </is>
      </c>
      <c r="B4012" s="1" t="n">
        <v>44238</v>
      </c>
      <c r="C4012" s="1" t="n">
        <v>45736</v>
      </c>
      <c r="D4012" t="inlineStr">
        <is>
          <t>VÄRMLANDS LÄN</t>
        </is>
      </c>
      <c r="E4012" t="inlineStr">
        <is>
          <t>SUNNE</t>
        </is>
      </c>
      <c r="F4012" t="inlineStr">
        <is>
          <t>Bergvik skog väst AB</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7259-2021</t>
        </is>
      </c>
      <c r="B4013" s="1" t="n">
        <v>44238</v>
      </c>
      <c r="C4013" s="1" t="n">
        <v>45736</v>
      </c>
      <c r="D4013" t="inlineStr">
        <is>
          <t>VÄRMLANDS LÄN</t>
        </is>
      </c>
      <c r="E4013" t="inlineStr">
        <is>
          <t>ARVIKA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7224-2021</t>
        </is>
      </c>
      <c r="B4014" s="1" t="n">
        <v>44238</v>
      </c>
      <c r="C4014" s="1" t="n">
        <v>45736</v>
      </c>
      <c r="D4014" t="inlineStr">
        <is>
          <t>VÄRMLANDS LÄN</t>
        </is>
      </c>
      <c r="E4014" t="inlineStr">
        <is>
          <t>ARVIKA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7253-2021</t>
        </is>
      </c>
      <c r="B4015" s="1" t="n">
        <v>44238</v>
      </c>
      <c r="C4015" s="1" t="n">
        <v>45736</v>
      </c>
      <c r="D4015" t="inlineStr">
        <is>
          <t>VÄRMLANDS LÄN</t>
        </is>
      </c>
      <c r="E4015" t="inlineStr">
        <is>
          <t>KARLSTAD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7170-2021</t>
        </is>
      </c>
      <c r="B4016" s="1" t="n">
        <v>44238</v>
      </c>
      <c r="C4016" s="1" t="n">
        <v>45736</v>
      </c>
      <c r="D4016" t="inlineStr">
        <is>
          <t>VÄRMLANDS LÄN</t>
        </is>
      </c>
      <c r="E4016" t="inlineStr">
        <is>
          <t>MUNKFORS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7214-2021</t>
        </is>
      </c>
      <c r="B4017" s="1" t="n">
        <v>44238</v>
      </c>
      <c r="C4017" s="1" t="n">
        <v>45736</v>
      </c>
      <c r="D4017" t="inlineStr">
        <is>
          <t>VÄRMLANDS LÄN</t>
        </is>
      </c>
      <c r="E4017" t="inlineStr">
        <is>
          <t>ÅRJÄNG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7256-2021</t>
        </is>
      </c>
      <c r="B4018" s="1" t="n">
        <v>44238</v>
      </c>
      <c r="C4018" s="1" t="n">
        <v>45736</v>
      </c>
      <c r="D4018" t="inlineStr">
        <is>
          <t>VÄRMLANDS LÄN</t>
        </is>
      </c>
      <c r="E4018" t="inlineStr">
        <is>
          <t>ARVIKA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7301-2021</t>
        </is>
      </c>
      <c r="B4019" s="1" t="n">
        <v>44238</v>
      </c>
      <c r="C4019" s="1" t="n">
        <v>45736</v>
      </c>
      <c r="D4019" t="inlineStr">
        <is>
          <t>VÄRMLANDS LÄN</t>
        </is>
      </c>
      <c r="E4019" t="inlineStr">
        <is>
          <t>SÄFFLE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7312-2021</t>
        </is>
      </c>
      <c r="B4020" s="1" t="n">
        <v>44238</v>
      </c>
      <c r="C4020" s="1" t="n">
        <v>45736</v>
      </c>
      <c r="D4020" t="inlineStr">
        <is>
          <t>VÄRMLANDS LÄN</t>
        </is>
      </c>
      <c r="E4020" t="inlineStr">
        <is>
          <t>GRUMS</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7372-2021</t>
        </is>
      </c>
      <c r="B4021" s="1" t="n">
        <v>44239</v>
      </c>
      <c r="C4021" s="1" t="n">
        <v>45736</v>
      </c>
      <c r="D4021" t="inlineStr">
        <is>
          <t>VÄRMLANDS LÄN</t>
        </is>
      </c>
      <c r="E4021" t="inlineStr">
        <is>
          <t>SUNNE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7413-2021</t>
        </is>
      </c>
      <c r="B4022" s="1" t="n">
        <v>44239</v>
      </c>
      <c r="C4022" s="1" t="n">
        <v>45736</v>
      </c>
      <c r="D4022" t="inlineStr">
        <is>
          <t>VÄRMLANDS LÄN</t>
        </is>
      </c>
      <c r="E4022" t="inlineStr">
        <is>
          <t>SUNNE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7555-2021</t>
        </is>
      </c>
      <c r="B4023" s="1" t="n">
        <v>44239</v>
      </c>
      <c r="C4023" s="1" t="n">
        <v>45736</v>
      </c>
      <c r="D4023" t="inlineStr">
        <is>
          <t>VÄRMLANDS LÄN</t>
        </is>
      </c>
      <c r="E4023" t="inlineStr">
        <is>
          <t>ÅRJÄNG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7527-2021</t>
        </is>
      </c>
      <c r="B4024" s="1" t="n">
        <v>44239</v>
      </c>
      <c r="C4024" s="1" t="n">
        <v>45736</v>
      </c>
      <c r="D4024" t="inlineStr">
        <is>
          <t>VÄRMLANDS LÄN</t>
        </is>
      </c>
      <c r="E4024" t="inlineStr">
        <is>
          <t>ÅRJÄNG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7537-2021</t>
        </is>
      </c>
      <c r="B4025" s="1" t="n">
        <v>44239</v>
      </c>
      <c r="C4025" s="1" t="n">
        <v>45736</v>
      </c>
      <c r="D4025" t="inlineStr">
        <is>
          <t>VÄRMLANDS LÄN</t>
        </is>
      </c>
      <c r="E4025" t="inlineStr">
        <is>
          <t>ÅRJÄNG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7576-2021</t>
        </is>
      </c>
      <c r="B4026" s="1" t="n">
        <v>44240</v>
      </c>
      <c r="C4026" s="1" t="n">
        <v>45736</v>
      </c>
      <c r="D4026" t="inlineStr">
        <is>
          <t>VÄRMLANDS LÄN</t>
        </is>
      </c>
      <c r="E4026" t="inlineStr">
        <is>
          <t>ÅRJÄNG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7606-2021</t>
        </is>
      </c>
      <c r="B4027" s="1" t="n">
        <v>44241</v>
      </c>
      <c r="C4027" s="1" t="n">
        <v>45736</v>
      </c>
      <c r="D4027" t="inlineStr">
        <is>
          <t>VÄRMLANDS LÄN</t>
        </is>
      </c>
      <c r="E4027" t="inlineStr">
        <is>
          <t>HAGFORS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7593-2021</t>
        </is>
      </c>
      <c r="B4028" s="1" t="n">
        <v>44241</v>
      </c>
      <c r="C4028" s="1" t="n">
        <v>45736</v>
      </c>
      <c r="D4028" t="inlineStr">
        <is>
          <t>VÄRMLANDS LÄN</t>
        </is>
      </c>
      <c r="E4028" t="inlineStr">
        <is>
          <t>FILIPSTAD</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7605-2021</t>
        </is>
      </c>
      <c r="B4029" s="1" t="n">
        <v>44241</v>
      </c>
      <c r="C4029" s="1" t="n">
        <v>45736</v>
      </c>
      <c r="D4029" t="inlineStr">
        <is>
          <t>VÄRMLANDS LÄN</t>
        </is>
      </c>
      <c r="E4029" t="inlineStr">
        <is>
          <t>HAGFORS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7604-2021</t>
        </is>
      </c>
      <c r="B4030" s="1" t="n">
        <v>44241</v>
      </c>
      <c r="C4030" s="1" t="n">
        <v>45736</v>
      </c>
      <c r="D4030" t="inlineStr">
        <is>
          <t>VÄRMLANDS LÄN</t>
        </is>
      </c>
      <c r="E4030" t="inlineStr">
        <is>
          <t>HAGFORS</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7661-2021</t>
        </is>
      </c>
      <c r="B4031" s="1" t="n">
        <v>44242</v>
      </c>
      <c r="C4031" s="1" t="n">
        <v>45736</v>
      </c>
      <c r="D4031" t="inlineStr">
        <is>
          <t>VÄRMLANDS LÄN</t>
        </is>
      </c>
      <c r="E4031" t="inlineStr">
        <is>
          <t>TORSBY</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7725-2021</t>
        </is>
      </c>
      <c r="B4032" s="1" t="n">
        <v>44242</v>
      </c>
      <c r="C4032" s="1" t="n">
        <v>45736</v>
      </c>
      <c r="D4032" t="inlineStr">
        <is>
          <t>VÄRMLANDS LÄN</t>
        </is>
      </c>
      <c r="E4032" t="inlineStr">
        <is>
          <t>ARVIKA</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7723-2021</t>
        </is>
      </c>
      <c r="B4033" s="1" t="n">
        <v>44242</v>
      </c>
      <c r="C4033" s="1" t="n">
        <v>45736</v>
      </c>
      <c r="D4033" t="inlineStr">
        <is>
          <t>VÄRMLANDS LÄN</t>
        </is>
      </c>
      <c r="E4033" t="inlineStr">
        <is>
          <t>ARVIKA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7758-2021</t>
        </is>
      </c>
      <c r="B4034" s="1" t="n">
        <v>44242</v>
      </c>
      <c r="C4034" s="1" t="n">
        <v>45736</v>
      </c>
      <c r="D4034" t="inlineStr">
        <is>
          <t>VÄRMLANDS LÄN</t>
        </is>
      </c>
      <c r="E4034" t="inlineStr">
        <is>
          <t>SÄFFLE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7727-2021</t>
        </is>
      </c>
      <c r="B4035" s="1" t="n">
        <v>44242</v>
      </c>
      <c r="C4035" s="1" t="n">
        <v>45736</v>
      </c>
      <c r="D4035" t="inlineStr">
        <is>
          <t>VÄRMLANDS LÄN</t>
        </is>
      </c>
      <c r="E4035" t="inlineStr">
        <is>
          <t>ARVIKA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7774-2021</t>
        </is>
      </c>
      <c r="B4036" s="1" t="n">
        <v>44242</v>
      </c>
      <c r="C4036" s="1" t="n">
        <v>45736</v>
      </c>
      <c r="D4036" t="inlineStr">
        <is>
          <t>VÄRMLANDS LÄN</t>
        </is>
      </c>
      <c r="E4036" t="inlineStr">
        <is>
          <t>ÅRJÄNG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7975-2021</t>
        </is>
      </c>
      <c r="B4037" s="1" t="n">
        <v>44242</v>
      </c>
      <c r="C4037" s="1" t="n">
        <v>45736</v>
      </c>
      <c r="D4037" t="inlineStr">
        <is>
          <t>VÄRMLANDS LÄN</t>
        </is>
      </c>
      <c r="E4037" t="inlineStr">
        <is>
          <t>ÅRJÄNG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8034-2021</t>
        </is>
      </c>
      <c r="B4038" s="1" t="n">
        <v>44243</v>
      </c>
      <c r="C4038" s="1" t="n">
        <v>45736</v>
      </c>
      <c r="D4038" t="inlineStr">
        <is>
          <t>VÄRMLANDS LÄN</t>
        </is>
      </c>
      <c r="E4038" t="inlineStr">
        <is>
          <t>TORSBY</t>
        </is>
      </c>
      <c r="G4038" t="n">
        <v>15.4</v>
      </c>
      <c r="H4038" t="n">
        <v>0</v>
      </c>
      <c r="I4038" t="n">
        <v>0</v>
      </c>
      <c r="J4038" t="n">
        <v>0</v>
      </c>
      <c r="K4038" t="n">
        <v>0</v>
      </c>
      <c r="L4038" t="n">
        <v>0</v>
      </c>
      <c r="M4038" t="n">
        <v>0</v>
      </c>
      <c r="N4038" t="n">
        <v>0</v>
      </c>
      <c r="O4038" t="n">
        <v>0</v>
      </c>
      <c r="P4038" t="n">
        <v>0</v>
      </c>
      <c r="Q4038" t="n">
        <v>0</v>
      </c>
      <c r="R4038" s="2" t="inlineStr"/>
    </row>
    <row r="4039" ht="15" customHeight="1">
      <c r="A4039" t="inlineStr">
        <is>
          <t>A 7898-2021</t>
        </is>
      </c>
      <c r="B4039" s="1" t="n">
        <v>44243</v>
      </c>
      <c r="C4039" s="1" t="n">
        <v>45736</v>
      </c>
      <c r="D4039" t="inlineStr">
        <is>
          <t>VÄRMLANDS LÄN</t>
        </is>
      </c>
      <c r="E4039" t="inlineStr">
        <is>
          <t>TORSBY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8228-2021</t>
        </is>
      </c>
      <c r="B4040" s="1" t="n">
        <v>44243</v>
      </c>
      <c r="C4040" s="1" t="n">
        <v>45736</v>
      </c>
      <c r="D4040" t="inlineStr">
        <is>
          <t>VÄRMLANDS LÄN</t>
        </is>
      </c>
      <c r="E4040" t="inlineStr">
        <is>
          <t>KARLSTAD</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8230-2021</t>
        </is>
      </c>
      <c r="B4041" s="1" t="n">
        <v>44243</v>
      </c>
      <c r="C4041" s="1" t="n">
        <v>45736</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8151-2021</t>
        </is>
      </c>
      <c r="B4042" s="1" t="n">
        <v>44244</v>
      </c>
      <c r="C4042" s="1" t="n">
        <v>45736</v>
      </c>
      <c r="D4042" t="inlineStr">
        <is>
          <t>VÄRMLANDS LÄN</t>
        </is>
      </c>
      <c r="E4042" t="inlineStr">
        <is>
          <t>EDA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8132-2021</t>
        </is>
      </c>
      <c r="B4043" s="1" t="n">
        <v>44244</v>
      </c>
      <c r="C4043" s="1" t="n">
        <v>45736</v>
      </c>
      <c r="D4043" t="inlineStr">
        <is>
          <t>VÄRMLANDS LÄN</t>
        </is>
      </c>
      <c r="E4043" t="inlineStr">
        <is>
          <t>EDA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8144-2021</t>
        </is>
      </c>
      <c r="B4044" s="1" t="n">
        <v>44244</v>
      </c>
      <c r="C4044" s="1" t="n">
        <v>45736</v>
      </c>
      <c r="D4044" t="inlineStr">
        <is>
          <t>VÄRMLANDS LÄN</t>
        </is>
      </c>
      <c r="E4044" t="inlineStr">
        <is>
          <t>EDA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8192-2021</t>
        </is>
      </c>
      <c r="B4045" s="1" t="n">
        <v>44244</v>
      </c>
      <c r="C4045" s="1" t="n">
        <v>45736</v>
      </c>
      <c r="D4045" t="inlineStr">
        <is>
          <t>VÄRMLANDS LÄN</t>
        </is>
      </c>
      <c r="E4045" t="inlineStr">
        <is>
          <t>SUNNE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8140-2021</t>
        </is>
      </c>
      <c r="B4046" s="1" t="n">
        <v>44244</v>
      </c>
      <c r="C4046" s="1" t="n">
        <v>45736</v>
      </c>
      <c r="D4046" t="inlineStr">
        <is>
          <t>VÄRMLANDS LÄN</t>
        </is>
      </c>
      <c r="E4046" t="inlineStr">
        <is>
          <t>EDA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8183-2021</t>
        </is>
      </c>
      <c r="B4047" s="1" t="n">
        <v>44244</v>
      </c>
      <c r="C4047" s="1" t="n">
        <v>45736</v>
      </c>
      <c r="D4047" t="inlineStr">
        <is>
          <t>VÄRMLANDS LÄN</t>
        </is>
      </c>
      <c r="E4047" t="inlineStr">
        <is>
          <t>KIL</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8143-2021</t>
        </is>
      </c>
      <c r="B4048" s="1" t="n">
        <v>44244</v>
      </c>
      <c r="C4048" s="1" t="n">
        <v>45736</v>
      </c>
      <c r="D4048" t="inlineStr">
        <is>
          <t>VÄRMLANDS LÄN</t>
        </is>
      </c>
      <c r="E4048" t="inlineStr">
        <is>
          <t>EDA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8435-2021</t>
        </is>
      </c>
      <c r="B4049" s="1" t="n">
        <v>44245</v>
      </c>
      <c r="C4049" s="1" t="n">
        <v>45736</v>
      </c>
      <c r="D4049" t="inlineStr">
        <is>
          <t>VÄRMLANDS LÄN</t>
        </is>
      </c>
      <c r="E4049" t="inlineStr">
        <is>
          <t>KARLSTAD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8520-2021</t>
        </is>
      </c>
      <c r="B4050" s="1" t="n">
        <v>44245</v>
      </c>
      <c r="C4050" s="1" t="n">
        <v>45736</v>
      </c>
      <c r="D4050" t="inlineStr">
        <is>
          <t>VÄRMLANDS LÄN</t>
        </is>
      </c>
      <c r="E4050" t="inlineStr">
        <is>
          <t>SUNNE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8378-2021</t>
        </is>
      </c>
      <c r="B4051" s="1" t="n">
        <v>44245</v>
      </c>
      <c r="C4051" s="1" t="n">
        <v>45736</v>
      </c>
      <c r="D4051" t="inlineStr">
        <is>
          <t>VÄRMLANDS LÄN</t>
        </is>
      </c>
      <c r="E4051" t="inlineStr">
        <is>
          <t>HAGFORS</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8600-2021</t>
        </is>
      </c>
      <c r="B4052" s="1" t="n">
        <v>44245</v>
      </c>
      <c r="C4052" s="1" t="n">
        <v>45736</v>
      </c>
      <c r="D4052" t="inlineStr">
        <is>
          <t>VÄRMLANDS LÄN</t>
        </is>
      </c>
      <c r="E4052" t="inlineStr">
        <is>
          <t>KRISTINEHAMN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8957-2021</t>
        </is>
      </c>
      <c r="B4053" s="1" t="n">
        <v>44246</v>
      </c>
      <c r="C4053" s="1" t="n">
        <v>45736</v>
      </c>
      <c r="D4053" t="inlineStr">
        <is>
          <t>VÄRMLANDS LÄN</t>
        </is>
      </c>
      <c r="E4053" t="inlineStr">
        <is>
          <t>ÅRJÄNG</t>
        </is>
      </c>
      <c r="F4053" t="inlineStr">
        <is>
          <t>Övriga Aktiebolag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8951-2021</t>
        </is>
      </c>
      <c r="B4054" s="1" t="n">
        <v>44246</v>
      </c>
      <c r="C4054" s="1" t="n">
        <v>45736</v>
      </c>
      <c r="D4054" t="inlineStr">
        <is>
          <t>VÄRMLANDS LÄN</t>
        </is>
      </c>
      <c r="E4054" t="inlineStr">
        <is>
          <t>ÅRJÄNG</t>
        </is>
      </c>
      <c r="F4054" t="inlineStr">
        <is>
          <t>Övriga Aktiebolag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8740-2021</t>
        </is>
      </c>
      <c r="B4055" s="1" t="n">
        <v>44246</v>
      </c>
      <c r="C4055" s="1" t="n">
        <v>45736</v>
      </c>
      <c r="D4055" t="inlineStr">
        <is>
          <t>VÄRMLANDS LÄN</t>
        </is>
      </c>
      <c r="E4055" t="inlineStr">
        <is>
          <t>SÄFFLE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8910-2021</t>
        </is>
      </c>
      <c r="B4056" s="1" t="n">
        <v>44246</v>
      </c>
      <c r="C4056" s="1" t="n">
        <v>45736</v>
      </c>
      <c r="D4056" t="inlineStr">
        <is>
          <t>VÄRMLANDS LÄN</t>
        </is>
      </c>
      <c r="E4056" t="inlineStr">
        <is>
          <t>TORSBY</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8882-2021</t>
        </is>
      </c>
      <c r="B4057" s="1" t="n">
        <v>44247</v>
      </c>
      <c r="C4057" s="1" t="n">
        <v>45736</v>
      </c>
      <c r="D4057" t="inlineStr">
        <is>
          <t>VÄRMLANDS LÄN</t>
        </is>
      </c>
      <c r="E4057" t="inlineStr">
        <is>
          <t>SÄFFLE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8885-2021</t>
        </is>
      </c>
      <c r="B4058" s="1" t="n">
        <v>44248</v>
      </c>
      <c r="C4058" s="1" t="n">
        <v>45736</v>
      </c>
      <c r="D4058" t="inlineStr">
        <is>
          <t>VÄRMLANDS LÄN</t>
        </is>
      </c>
      <c r="E4058" t="inlineStr">
        <is>
          <t>ÅRJÄNG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9289-2021</t>
        </is>
      </c>
      <c r="B4059" s="1" t="n">
        <v>44249</v>
      </c>
      <c r="C4059" s="1" t="n">
        <v>45736</v>
      </c>
      <c r="D4059" t="inlineStr">
        <is>
          <t>VÄRMLANDS LÄN</t>
        </is>
      </c>
      <c r="E4059" t="inlineStr">
        <is>
          <t>EDA</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9441-2021</t>
        </is>
      </c>
      <c r="B4060" s="1" t="n">
        <v>44251</v>
      </c>
      <c r="C4060" s="1" t="n">
        <v>45736</v>
      </c>
      <c r="D4060" t="inlineStr">
        <is>
          <t>VÄRMLANDS LÄN</t>
        </is>
      </c>
      <c r="E4060" t="inlineStr">
        <is>
          <t>ÅRJÄNG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9436-2021</t>
        </is>
      </c>
      <c r="B4061" s="1" t="n">
        <v>44251</v>
      </c>
      <c r="C4061" s="1" t="n">
        <v>45736</v>
      </c>
      <c r="D4061" t="inlineStr">
        <is>
          <t>VÄRMLANDS LÄN</t>
        </is>
      </c>
      <c r="E4061" t="inlineStr">
        <is>
          <t>SÄFFLE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9484-2021</t>
        </is>
      </c>
      <c r="B4062" s="1" t="n">
        <v>44251</v>
      </c>
      <c r="C4062" s="1" t="n">
        <v>45736</v>
      </c>
      <c r="D4062" t="inlineStr">
        <is>
          <t>VÄRMLANDS LÄN</t>
        </is>
      </c>
      <c r="E4062" t="inlineStr">
        <is>
          <t>ÅRJÄNG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9570-2021</t>
        </is>
      </c>
      <c r="B4063" s="1" t="n">
        <v>44251</v>
      </c>
      <c r="C4063" s="1" t="n">
        <v>45736</v>
      </c>
      <c r="D4063" t="inlineStr">
        <is>
          <t>VÄRMLANDS LÄN</t>
        </is>
      </c>
      <c r="E4063" t="inlineStr">
        <is>
          <t>KIL</t>
        </is>
      </c>
      <c r="F4063" t="inlineStr">
        <is>
          <t>Kommuner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9769-2021</t>
        </is>
      </c>
      <c r="B4064" s="1" t="n">
        <v>44252</v>
      </c>
      <c r="C4064" s="1" t="n">
        <v>45736</v>
      </c>
      <c r="D4064" t="inlineStr">
        <is>
          <t>VÄRMLANDS LÄN</t>
        </is>
      </c>
      <c r="E4064" t="inlineStr">
        <is>
          <t>SUNNE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9775-2021</t>
        </is>
      </c>
      <c r="B4065" s="1" t="n">
        <v>44252</v>
      </c>
      <c r="C4065" s="1" t="n">
        <v>45736</v>
      </c>
      <c r="D4065" t="inlineStr">
        <is>
          <t>VÄRMLANDS LÄN</t>
        </is>
      </c>
      <c r="E4065" t="inlineStr">
        <is>
          <t>TORSBY</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9821-2021</t>
        </is>
      </c>
      <c r="B4066" s="1" t="n">
        <v>44252</v>
      </c>
      <c r="C4066" s="1" t="n">
        <v>45736</v>
      </c>
      <c r="D4066" t="inlineStr">
        <is>
          <t>VÄRMLANDS LÄN</t>
        </is>
      </c>
      <c r="E4066" t="inlineStr">
        <is>
          <t>HAGFORS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9687-2021</t>
        </is>
      </c>
      <c r="B4067" s="1" t="n">
        <v>44252</v>
      </c>
      <c r="C4067" s="1" t="n">
        <v>45736</v>
      </c>
      <c r="D4067" t="inlineStr">
        <is>
          <t>VÄRMLANDS LÄN</t>
        </is>
      </c>
      <c r="E4067" t="inlineStr">
        <is>
          <t>KRISTINEHAMN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9825-2021</t>
        </is>
      </c>
      <c r="B4068" s="1" t="n">
        <v>44252</v>
      </c>
      <c r="C4068" s="1" t="n">
        <v>45736</v>
      </c>
      <c r="D4068" t="inlineStr">
        <is>
          <t>VÄRMLANDS LÄN</t>
        </is>
      </c>
      <c r="E4068" t="inlineStr">
        <is>
          <t>KARLSTAD</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9851-2021</t>
        </is>
      </c>
      <c r="B4069" s="1" t="n">
        <v>44253</v>
      </c>
      <c r="C4069" s="1" t="n">
        <v>45736</v>
      </c>
      <c r="D4069" t="inlineStr">
        <is>
          <t>VÄRMLANDS LÄN</t>
        </is>
      </c>
      <c r="E4069" t="inlineStr">
        <is>
          <t>ARVIKA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10070-2021</t>
        </is>
      </c>
      <c r="B4070" s="1" t="n">
        <v>44256</v>
      </c>
      <c r="C4070" s="1" t="n">
        <v>45736</v>
      </c>
      <c r="D4070" t="inlineStr">
        <is>
          <t>VÄRMLANDS LÄN</t>
        </is>
      </c>
      <c r="E4070" t="inlineStr">
        <is>
          <t>GRUMS</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10096-2021</t>
        </is>
      </c>
      <c r="B4071" s="1" t="n">
        <v>44256</v>
      </c>
      <c r="C4071" s="1" t="n">
        <v>45736</v>
      </c>
      <c r="D4071" t="inlineStr">
        <is>
          <t>VÄRMLANDS LÄN</t>
        </is>
      </c>
      <c r="E4071" t="inlineStr">
        <is>
          <t>HAGFORS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10104-2021</t>
        </is>
      </c>
      <c r="B4072" s="1" t="n">
        <v>44256</v>
      </c>
      <c r="C4072" s="1" t="n">
        <v>45736</v>
      </c>
      <c r="D4072" t="inlineStr">
        <is>
          <t>VÄRMLANDS LÄN</t>
        </is>
      </c>
      <c r="E4072" t="inlineStr">
        <is>
          <t>KRISTINEHAMN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10111-2021</t>
        </is>
      </c>
      <c r="B4073" s="1" t="n">
        <v>44256</v>
      </c>
      <c r="C4073" s="1" t="n">
        <v>45736</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10133-2021</t>
        </is>
      </c>
      <c r="B4074" s="1" t="n">
        <v>44256</v>
      </c>
      <c r="C4074" s="1" t="n">
        <v>45736</v>
      </c>
      <c r="D4074" t="inlineStr">
        <is>
          <t>VÄRMLANDS LÄN</t>
        </is>
      </c>
      <c r="E4074" t="inlineStr">
        <is>
          <t>TORSBY</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10103-2021</t>
        </is>
      </c>
      <c r="B4075" s="1" t="n">
        <v>44256</v>
      </c>
      <c r="C4075" s="1" t="n">
        <v>45736</v>
      </c>
      <c r="D4075" t="inlineStr">
        <is>
          <t>VÄRMLANDS LÄN</t>
        </is>
      </c>
      <c r="E4075" t="inlineStr">
        <is>
          <t>KRISTINEHAMN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10109-2021</t>
        </is>
      </c>
      <c r="B4076" s="1" t="n">
        <v>44256</v>
      </c>
      <c r="C4076" s="1" t="n">
        <v>45736</v>
      </c>
      <c r="D4076" t="inlineStr">
        <is>
          <t>VÄRMLANDS LÄN</t>
        </is>
      </c>
      <c r="E4076" t="inlineStr">
        <is>
          <t>KRISTINEHAMN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10157-2021</t>
        </is>
      </c>
      <c r="B4077" s="1" t="n">
        <v>44256</v>
      </c>
      <c r="C4077" s="1" t="n">
        <v>45736</v>
      </c>
      <c r="D4077" t="inlineStr">
        <is>
          <t>VÄRMLANDS LÄN</t>
        </is>
      </c>
      <c r="E4077" t="inlineStr">
        <is>
          <t>KARLSTAD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10184-2021</t>
        </is>
      </c>
      <c r="B4078" s="1" t="n">
        <v>44256</v>
      </c>
      <c r="C4078" s="1" t="n">
        <v>45736</v>
      </c>
      <c r="D4078" t="inlineStr">
        <is>
          <t>VÄRMLANDS LÄN</t>
        </is>
      </c>
      <c r="E4078" t="inlineStr">
        <is>
          <t>KRISTINEHAMN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10182-2021</t>
        </is>
      </c>
      <c r="B4079" s="1" t="n">
        <v>44256</v>
      </c>
      <c r="C4079" s="1" t="n">
        <v>45736</v>
      </c>
      <c r="D4079" t="inlineStr">
        <is>
          <t>VÄRMLANDS LÄN</t>
        </is>
      </c>
      <c r="E4079" t="inlineStr">
        <is>
          <t>KRISTINEHAMN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10102-2021</t>
        </is>
      </c>
      <c r="B4080" s="1" t="n">
        <v>44256</v>
      </c>
      <c r="C4080" s="1" t="n">
        <v>45736</v>
      </c>
      <c r="D4080" t="inlineStr">
        <is>
          <t>VÄRMLANDS LÄN</t>
        </is>
      </c>
      <c r="E4080" t="inlineStr">
        <is>
          <t>KRISTINEHAMN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10108-2021</t>
        </is>
      </c>
      <c r="B4081" s="1" t="n">
        <v>44256</v>
      </c>
      <c r="C4081" s="1" t="n">
        <v>45736</v>
      </c>
      <c r="D4081" t="inlineStr">
        <is>
          <t>VÄRMLANDS LÄN</t>
        </is>
      </c>
      <c r="E4081" t="inlineStr">
        <is>
          <t>KRISTINEHAMN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10175-2021</t>
        </is>
      </c>
      <c r="B4082" s="1" t="n">
        <v>44256</v>
      </c>
      <c r="C4082" s="1" t="n">
        <v>45736</v>
      </c>
      <c r="D4082" t="inlineStr">
        <is>
          <t>VÄRMLANDS LÄN</t>
        </is>
      </c>
      <c r="E4082" t="inlineStr">
        <is>
          <t>KRISTINEHAMN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10190-2021</t>
        </is>
      </c>
      <c r="B4083" s="1" t="n">
        <v>44256</v>
      </c>
      <c r="C4083" s="1" t="n">
        <v>45736</v>
      </c>
      <c r="D4083" t="inlineStr">
        <is>
          <t>VÄRMLANDS LÄN</t>
        </is>
      </c>
      <c r="E4083" t="inlineStr">
        <is>
          <t>KRISTINEHAMN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10107-2021</t>
        </is>
      </c>
      <c r="B4084" s="1" t="n">
        <v>44256</v>
      </c>
      <c r="C4084" s="1" t="n">
        <v>45736</v>
      </c>
      <c r="D4084" t="inlineStr">
        <is>
          <t>VÄRMLANDS LÄN</t>
        </is>
      </c>
      <c r="E4084" t="inlineStr">
        <is>
          <t>KRISTINEHAMN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10118-2021</t>
        </is>
      </c>
      <c r="B4085" s="1" t="n">
        <v>44256</v>
      </c>
      <c r="C4085" s="1" t="n">
        <v>45736</v>
      </c>
      <c r="D4085" t="inlineStr">
        <is>
          <t>VÄRMLANDS LÄN</t>
        </is>
      </c>
      <c r="E4085" t="inlineStr">
        <is>
          <t>TORSBY</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10151-2021</t>
        </is>
      </c>
      <c r="B4086" s="1" t="n">
        <v>44256</v>
      </c>
      <c r="C4086" s="1" t="n">
        <v>45736</v>
      </c>
      <c r="D4086" t="inlineStr">
        <is>
          <t>VÄRMLANDS LÄN</t>
        </is>
      </c>
      <c r="E4086" t="inlineStr">
        <is>
          <t>SUNNE</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10310-2021</t>
        </is>
      </c>
      <c r="B4087" s="1" t="n">
        <v>44257</v>
      </c>
      <c r="C4087" s="1" t="n">
        <v>45736</v>
      </c>
      <c r="D4087" t="inlineStr">
        <is>
          <t>VÄRMLANDS LÄN</t>
        </is>
      </c>
      <c r="E4087" t="inlineStr">
        <is>
          <t>HAGFORS</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10322-2021</t>
        </is>
      </c>
      <c r="B4088" s="1" t="n">
        <v>44257</v>
      </c>
      <c r="C4088" s="1" t="n">
        <v>45736</v>
      </c>
      <c r="D4088" t="inlineStr">
        <is>
          <t>VÄRMLANDS LÄN</t>
        </is>
      </c>
      <c r="E4088" t="inlineStr">
        <is>
          <t>EDA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10579-2021</t>
        </is>
      </c>
      <c r="B4089" s="1" t="n">
        <v>44257</v>
      </c>
      <c r="C4089" s="1" t="n">
        <v>45736</v>
      </c>
      <c r="D4089" t="inlineStr">
        <is>
          <t>VÄRMLANDS LÄN</t>
        </is>
      </c>
      <c r="E4089" t="inlineStr">
        <is>
          <t>TORSBY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10565-2021</t>
        </is>
      </c>
      <c r="B4090" s="1" t="n">
        <v>44258</v>
      </c>
      <c r="C4090" s="1" t="n">
        <v>45736</v>
      </c>
      <c r="D4090" t="inlineStr">
        <is>
          <t>VÄRMLANDS LÄN</t>
        </is>
      </c>
      <c r="E4090" t="inlineStr">
        <is>
          <t>SÄFFLE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10494-2021</t>
        </is>
      </c>
      <c r="B4091" s="1" t="n">
        <v>44258</v>
      </c>
      <c r="C4091" s="1" t="n">
        <v>45736</v>
      </c>
      <c r="D4091" t="inlineStr">
        <is>
          <t>VÄRMLANDS LÄN</t>
        </is>
      </c>
      <c r="E4091" t="inlineStr">
        <is>
          <t>KRISTINEHAMN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10541-2021</t>
        </is>
      </c>
      <c r="B4092" s="1" t="n">
        <v>44258</v>
      </c>
      <c r="C4092" s="1" t="n">
        <v>45736</v>
      </c>
      <c r="D4092" t="inlineStr">
        <is>
          <t>VÄRMLANDS LÄN</t>
        </is>
      </c>
      <c r="E4092" t="inlineStr">
        <is>
          <t>ÅRJÄNG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10563-2021</t>
        </is>
      </c>
      <c r="B4093" s="1" t="n">
        <v>44258</v>
      </c>
      <c r="C4093" s="1" t="n">
        <v>45736</v>
      </c>
      <c r="D4093" t="inlineStr">
        <is>
          <t>VÄRMLANDS LÄN</t>
        </is>
      </c>
      <c r="E4093" t="inlineStr">
        <is>
          <t>SÄFFLE</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10661-2021</t>
        </is>
      </c>
      <c r="B4094" s="1" t="n">
        <v>44258</v>
      </c>
      <c r="C4094" s="1" t="n">
        <v>45736</v>
      </c>
      <c r="D4094" t="inlineStr">
        <is>
          <t>VÄRMLANDS LÄN</t>
        </is>
      </c>
      <c r="E4094" t="inlineStr">
        <is>
          <t>SÄFFLE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10594-2021</t>
        </is>
      </c>
      <c r="B4095" s="1" t="n">
        <v>44258</v>
      </c>
      <c r="C4095" s="1" t="n">
        <v>45736</v>
      </c>
      <c r="D4095" t="inlineStr">
        <is>
          <t>VÄRMLANDS LÄN</t>
        </is>
      </c>
      <c r="E4095" t="inlineStr">
        <is>
          <t>ÅRJÄNG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10631-2021</t>
        </is>
      </c>
      <c r="B4096" s="1" t="n">
        <v>44258</v>
      </c>
      <c r="C4096" s="1" t="n">
        <v>45736</v>
      </c>
      <c r="D4096" t="inlineStr">
        <is>
          <t>VÄRMLANDS LÄN</t>
        </is>
      </c>
      <c r="E4096" t="inlineStr">
        <is>
          <t>SUNNE</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10644-2021</t>
        </is>
      </c>
      <c r="B4097" s="1" t="n">
        <v>44258</v>
      </c>
      <c r="C4097" s="1" t="n">
        <v>45736</v>
      </c>
      <c r="D4097" t="inlineStr">
        <is>
          <t>VÄRMLANDS LÄN</t>
        </is>
      </c>
      <c r="E4097" t="inlineStr">
        <is>
          <t>SUNNE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10658-2021</t>
        </is>
      </c>
      <c r="B4098" s="1" t="n">
        <v>44258</v>
      </c>
      <c r="C4098" s="1" t="n">
        <v>45736</v>
      </c>
      <c r="D4098" t="inlineStr">
        <is>
          <t>VÄRMLANDS LÄN</t>
        </is>
      </c>
      <c r="E4098" t="inlineStr">
        <is>
          <t>SUNNE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10588-2021</t>
        </is>
      </c>
      <c r="B4099" s="1" t="n">
        <v>44258</v>
      </c>
      <c r="C4099" s="1" t="n">
        <v>45736</v>
      </c>
      <c r="D4099" t="inlineStr">
        <is>
          <t>VÄRMLANDS LÄN</t>
        </is>
      </c>
      <c r="E4099" t="inlineStr">
        <is>
          <t>ÅRJÄNG</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10717-2021</t>
        </is>
      </c>
      <c r="B4100" s="1" t="n">
        <v>44258</v>
      </c>
      <c r="C4100" s="1" t="n">
        <v>45736</v>
      </c>
      <c r="D4100" t="inlineStr">
        <is>
          <t>VÄRMLANDS LÄN</t>
        </is>
      </c>
      <c r="E4100" t="inlineStr">
        <is>
          <t>KARLSTAD</t>
        </is>
      </c>
      <c r="G4100" t="n">
        <v>25.2</v>
      </c>
      <c r="H4100" t="n">
        <v>0</v>
      </c>
      <c r="I4100" t="n">
        <v>0</v>
      </c>
      <c r="J4100" t="n">
        <v>0</v>
      </c>
      <c r="K4100" t="n">
        <v>0</v>
      </c>
      <c r="L4100" t="n">
        <v>0</v>
      </c>
      <c r="M4100" t="n">
        <v>0</v>
      </c>
      <c r="N4100" t="n">
        <v>0</v>
      </c>
      <c r="O4100" t="n">
        <v>0</v>
      </c>
      <c r="P4100" t="n">
        <v>0</v>
      </c>
      <c r="Q4100" t="n">
        <v>0</v>
      </c>
      <c r="R4100" s="2" t="inlineStr"/>
    </row>
    <row r="4101" ht="15" customHeight="1">
      <c r="A4101" t="inlineStr">
        <is>
          <t>A 10721-2021</t>
        </is>
      </c>
      <c r="B4101" s="1" t="n">
        <v>44258</v>
      </c>
      <c r="C4101" s="1" t="n">
        <v>45736</v>
      </c>
      <c r="D4101" t="inlineStr">
        <is>
          <t>VÄRMLANDS LÄN</t>
        </is>
      </c>
      <c r="E4101" t="inlineStr">
        <is>
          <t>MUNKFORS</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10730-2021</t>
        </is>
      </c>
      <c r="B4102" s="1" t="n">
        <v>44258</v>
      </c>
      <c r="C4102" s="1" t="n">
        <v>45736</v>
      </c>
      <c r="D4102" t="inlineStr">
        <is>
          <t>VÄRMLANDS LÄN</t>
        </is>
      </c>
      <c r="E4102" t="inlineStr">
        <is>
          <t>EDA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10803-2021</t>
        </is>
      </c>
      <c r="B4103" s="1" t="n">
        <v>44258</v>
      </c>
      <c r="C4103" s="1" t="n">
        <v>45736</v>
      </c>
      <c r="D4103" t="inlineStr">
        <is>
          <t>VÄRMLANDS LÄN</t>
        </is>
      </c>
      <c r="E4103" t="inlineStr">
        <is>
          <t>GRUMS</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10501-2021</t>
        </is>
      </c>
      <c r="B4104" s="1" t="n">
        <v>44258</v>
      </c>
      <c r="C4104" s="1" t="n">
        <v>45736</v>
      </c>
      <c r="D4104" t="inlineStr">
        <is>
          <t>VÄRMLANDS LÄN</t>
        </is>
      </c>
      <c r="E4104" t="inlineStr">
        <is>
          <t>FILIPSTAD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10720-2021</t>
        </is>
      </c>
      <c r="B4105" s="1" t="n">
        <v>44258</v>
      </c>
      <c r="C4105" s="1" t="n">
        <v>45736</v>
      </c>
      <c r="D4105" t="inlineStr">
        <is>
          <t>VÄRMLANDS LÄN</t>
        </is>
      </c>
      <c r="E4105" t="inlineStr">
        <is>
          <t>MUNKFORS</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10729-2021</t>
        </is>
      </c>
      <c r="B4106" s="1" t="n">
        <v>44258</v>
      </c>
      <c r="C4106" s="1" t="n">
        <v>45736</v>
      </c>
      <c r="D4106" t="inlineStr">
        <is>
          <t>VÄRMLANDS LÄN</t>
        </is>
      </c>
      <c r="E4106" t="inlineStr">
        <is>
          <t>EDA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10718-2021</t>
        </is>
      </c>
      <c r="B4107" s="1" t="n">
        <v>44258</v>
      </c>
      <c r="C4107" s="1" t="n">
        <v>45736</v>
      </c>
      <c r="D4107" t="inlineStr">
        <is>
          <t>VÄRMLANDS LÄN</t>
        </is>
      </c>
      <c r="E4107" t="inlineStr">
        <is>
          <t>SÄFFLE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10778-2021</t>
        </is>
      </c>
      <c r="B4108" s="1" t="n">
        <v>44259</v>
      </c>
      <c r="C4108" s="1" t="n">
        <v>45736</v>
      </c>
      <c r="D4108" t="inlineStr">
        <is>
          <t>VÄRMLANDS LÄN</t>
        </is>
      </c>
      <c r="E4108" t="inlineStr">
        <is>
          <t>TORSBY</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10750-2021</t>
        </is>
      </c>
      <c r="B4109" s="1" t="n">
        <v>44259</v>
      </c>
      <c r="C4109" s="1" t="n">
        <v>45736</v>
      </c>
      <c r="D4109" t="inlineStr">
        <is>
          <t>VÄRMLANDS LÄN</t>
        </is>
      </c>
      <c r="E4109" t="inlineStr">
        <is>
          <t>ARVIKA</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10774-2021</t>
        </is>
      </c>
      <c r="B4110" s="1" t="n">
        <v>44259</v>
      </c>
      <c r="C4110" s="1" t="n">
        <v>45736</v>
      </c>
      <c r="D4110" t="inlineStr">
        <is>
          <t>VÄRMLANDS LÄN</t>
        </is>
      </c>
      <c r="E4110" t="inlineStr">
        <is>
          <t>EDA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10957-2021</t>
        </is>
      </c>
      <c r="B4111" s="1" t="n">
        <v>44260</v>
      </c>
      <c r="C4111" s="1" t="n">
        <v>45736</v>
      </c>
      <c r="D4111" t="inlineStr">
        <is>
          <t>VÄRMLANDS LÄN</t>
        </is>
      </c>
      <c r="E4111" t="inlineStr">
        <is>
          <t>SUNNE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11015-2021</t>
        </is>
      </c>
      <c r="B4112" s="1" t="n">
        <v>44260</v>
      </c>
      <c r="C4112" s="1" t="n">
        <v>45736</v>
      </c>
      <c r="D4112" t="inlineStr">
        <is>
          <t>VÄRMLANDS LÄN</t>
        </is>
      </c>
      <c r="E4112" t="inlineStr">
        <is>
          <t>SÄFFLE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11157-2021</t>
        </is>
      </c>
      <c r="B4113" s="1" t="n">
        <v>44261</v>
      </c>
      <c r="C4113" s="1" t="n">
        <v>45736</v>
      </c>
      <c r="D4113" t="inlineStr">
        <is>
          <t>VÄRMLANDS LÄN</t>
        </is>
      </c>
      <c r="E4113" t="inlineStr">
        <is>
          <t>ÅRJÄNG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11156-2021</t>
        </is>
      </c>
      <c r="B4114" s="1" t="n">
        <v>44261</v>
      </c>
      <c r="C4114" s="1" t="n">
        <v>45736</v>
      </c>
      <c r="D4114" t="inlineStr">
        <is>
          <t>VÄRMLANDS LÄN</t>
        </is>
      </c>
      <c r="E4114" t="inlineStr">
        <is>
          <t>ÅRJÄNG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11265-2021</t>
        </is>
      </c>
      <c r="B4115" s="1" t="n">
        <v>44263</v>
      </c>
      <c r="C4115" s="1" t="n">
        <v>45736</v>
      </c>
      <c r="D4115" t="inlineStr">
        <is>
          <t>VÄRMLANDS LÄN</t>
        </is>
      </c>
      <c r="E4115" t="inlineStr">
        <is>
          <t>ÅRJÄNG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11285-2021</t>
        </is>
      </c>
      <c r="B4116" s="1" t="n">
        <v>44263</v>
      </c>
      <c r="C4116" s="1" t="n">
        <v>45736</v>
      </c>
      <c r="D4116" t="inlineStr">
        <is>
          <t>VÄRMLANDS LÄN</t>
        </is>
      </c>
      <c r="E4116" t="inlineStr">
        <is>
          <t>SÄFFLE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11397-2021</t>
        </is>
      </c>
      <c r="B4117" s="1" t="n">
        <v>44263</v>
      </c>
      <c r="C4117" s="1" t="n">
        <v>45736</v>
      </c>
      <c r="D4117" t="inlineStr">
        <is>
          <t>VÄRMLANDS LÄN</t>
        </is>
      </c>
      <c r="E4117" t="inlineStr">
        <is>
          <t>SUNNE</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11512-2021</t>
        </is>
      </c>
      <c r="B4118" s="1" t="n">
        <v>44264</v>
      </c>
      <c r="C4118" s="1" t="n">
        <v>45736</v>
      </c>
      <c r="D4118" t="inlineStr">
        <is>
          <t>VÄRMLANDS LÄN</t>
        </is>
      </c>
      <c r="E4118" t="inlineStr">
        <is>
          <t>SUNNE</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11620-2021</t>
        </is>
      </c>
      <c r="B4119" s="1" t="n">
        <v>44264</v>
      </c>
      <c r="C4119" s="1" t="n">
        <v>45736</v>
      </c>
      <c r="D4119" t="inlineStr">
        <is>
          <t>VÄRMLANDS LÄN</t>
        </is>
      </c>
      <c r="E4119" t="inlineStr">
        <is>
          <t>SUNNE</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11513-2021</t>
        </is>
      </c>
      <c r="B4120" s="1" t="n">
        <v>44264</v>
      </c>
      <c r="C4120" s="1" t="n">
        <v>45736</v>
      </c>
      <c r="D4120" t="inlineStr">
        <is>
          <t>VÄRMLANDS LÄN</t>
        </is>
      </c>
      <c r="E4120" t="inlineStr">
        <is>
          <t>SUNNE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11580-2021</t>
        </is>
      </c>
      <c r="B4121" s="1" t="n">
        <v>44264</v>
      </c>
      <c r="C4121" s="1" t="n">
        <v>45736</v>
      </c>
      <c r="D4121" t="inlineStr">
        <is>
          <t>VÄRMLANDS LÄN</t>
        </is>
      </c>
      <c r="E4121" t="inlineStr">
        <is>
          <t>SÄFFLE</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11577-2021</t>
        </is>
      </c>
      <c r="B4122" s="1" t="n">
        <v>44264</v>
      </c>
      <c r="C4122" s="1" t="n">
        <v>45736</v>
      </c>
      <c r="D4122" t="inlineStr">
        <is>
          <t>VÄRMLANDS LÄN</t>
        </is>
      </c>
      <c r="E4122" t="inlineStr">
        <is>
          <t>KARLSTAD</t>
        </is>
      </c>
      <c r="F4122" t="inlineStr">
        <is>
          <t>Kommuner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11634-2021</t>
        </is>
      </c>
      <c r="B4123" s="1" t="n">
        <v>44264</v>
      </c>
      <c r="C4123" s="1" t="n">
        <v>45736</v>
      </c>
      <c r="D4123" t="inlineStr">
        <is>
          <t>VÄRMLANDS LÄN</t>
        </is>
      </c>
      <c r="E4123" t="inlineStr">
        <is>
          <t>SUNNE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11632-2021</t>
        </is>
      </c>
      <c r="B4124" s="1" t="n">
        <v>44264</v>
      </c>
      <c r="C4124" s="1" t="n">
        <v>45736</v>
      </c>
      <c r="D4124" t="inlineStr">
        <is>
          <t>VÄRMLANDS LÄN</t>
        </is>
      </c>
      <c r="E4124" t="inlineStr">
        <is>
          <t>SUNNE</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11695-2021</t>
        </is>
      </c>
      <c r="B4125" s="1" t="n">
        <v>44264</v>
      </c>
      <c r="C4125" s="1" t="n">
        <v>45736</v>
      </c>
      <c r="D4125" t="inlineStr">
        <is>
          <t>VÄRMLANDS LÄN</t>
        </is>
      </c>
      <c r="E4125" t="inlineStr">
        <is>
          <t>TORSBY</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11783-2021</t>
        </is>
      </c>
      <c r="B4126" s="1" t="n">
        <v>44265</v>
      </c>
      <c r="C4126" s="1" t="n">
        <v>45736</v>
      </c>
      <c r="D4126" t="inlineStr">
        <is>
          <t>VÄRMLANDS LÄN</t>
        </is>
      </c>
      <c r="E4126" t="inlineStr">
        <is>
          <t>GRUMS</t>
        </is>
      </c>
      <c r="F4126" t="inlineStr">
        <is>
          <t>Bergvik skog väst AB</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11721-2021</t>
        </is>
      </c>
      <c r="B4127" s="1" t="n">
        <v>44265</v>
      </c>
      <c r="C4127" s="1" t="n">
        <v>45736</v>
      </c>
      <c r="D4127" t="inlineStr">
        <is>
          <t>VÄRMLANDS LÄN</t>
        </is>
      </c>
      <c r="E4127" t="inlineStr">
        <is>
          <t>SUNNE</t>
        </is>
      </c>
      <c r="F4127" t="inlineStr">
        <is>
          <t>Övriga Aktiebolag</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11785-2021</t>
        </is>
      </c>
      <c r="B4128" s="1" t="n">
        <v>44265</v>
      </c>
      <c r="C4128" s="1" t="n">
        <v>45736</v>
      </c>
      <c r="D4128" t="inlineStr">
        <is>
          <t>VÄRMLANDS LÄN</t>
        </is>
      </c>
      <c r="E4128" t="inlineStr">
        <is>
          <t>KIL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11897-2021</t>
        </is>
      </c>
      <c r="B4129" s="1" t="n">
        <v>44265</v>
      </c>
      <c r="C4129" s="1" t="n">
        <v>45736</v>
      </c>
      <c r="D4129" t="inlineStr">
        <is>
          <t>VÄRMLANDS LÄN</t>
        </is>
      </c>
      <c r="E4129" t="inlineStr">
        <is>
          <t>ÅRJÄNG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11921-2021</t>
        </is>
      </c>
      <c r="B4130" s="1" t="n">
        <v>44265</v>
      </c>
      <c r="C4130" s="1" t="n">
        <v>45736</v>
      </c>
      <c r="D4130" t="inlineStr">
        <is>
          <t>VÄRMLANDS LÄN</t>
        </is>
      </c>
      <c r="E4130" t="inlineStr">
        <is>
          <t>KRISTINEHAMN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11947-2021</t>
        </is>
      </c>
      <c r="B4131" s="1" t="n">
        <v>44265</v>
      </c>
      <c r="C4131" s="1" t="n">
        <v>45736</v>
      </c>
      <c r="D4131" t="inlineStr">
        <is>
          <t>VÄRMLANDS LÄN</t>
        </is>
      </c>
      <c r="E4131" t="inlineStr">
        <is>
          <t>TORSBY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11945-2021</t>
        </is>
      </c>
      <c r="B4132" s="1" t="n">
        <v>44266</v>
      </c>
      <c r="C4132" s="1" t="n">
        <v>45736</v>
      </c>
      <c r="D4132" t="inlineStr">
        <is>
          <t>VÄRMLANDS LÄN</t>
        </is>
      </c>
      <c r="E4132" t="inlineStr">
        <is>
          <t>ARVIKA</t>
        </is>
      </c>
      <c r="F4132" t="inlineStr">
        <is>
          <t>Bergvik skog väst AB</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12055-2021</t>
        </is>
      </c>
      <c r="B4133" s="1" t="n">
        <v>44266</v>
      </c>
      <c r="C4133" s="1" t="n">
        <v>45736</v>
      </c>
      <c r="D4133" t="inlineStr">
        <is>
          <t>VÄRMLANDS LÄN</t>
        </is>
      </c>
      <c r="E4133" t="inlineStr">
        <is>
          <t>SÄFFLE</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11981-2021</t>
        </is>
      </c>
      <c r="B4134" s="1" t="n">
        <v>44266</v>
      </c>
      <c r="C4134" s="1" t="n">
        <v>45736</v>
      </c>
      <c r="D4134" t="inlineStr">
        <is>
          <t>VÄRMLANDS LÄN</t>
        </is>
      </c>
      <c r="E4134" t="inlineStr">
        <is>
          <t>STORFORS</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12137-2021</t>
        </is>
      </c>
      <c r="B4135" s="1" t="n">
        <v>44266</v>
      </c>
      <c r="C4135" s="1" t="n">
        <v>45736</v>
      </c>
      <c r="D4135" t="inlineStr">
        <is>
          <t>VÄRMLANDS LÄN</t>
        </is>
      </c>
      <c r="E4135" t="inlineStr">
        <is>
          <t>ÅRJÄNG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12141-2021</t>
        </is>
      </c>
      <c r="B4136" s="1" t="n">
        <v>44266</v>
      </c>
      <c r="C4136" s="1" t="n">
        <v>45736</v>
      </c>
      <c r="D4136" t="inlineStr">
        <is>
          <t>VÄRMLANDS LÄN</t>
        </is>
      </c>
      <c r="E4136" t="inlineStr">
        <is>
          <t>HAGFORS</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12023-2021</t>
        </is>
      </c>
      <c r="B4137" s="1" t="n">
        <v>44266</v>
      </c>
      <c r="C4137" s="1" t="n">
        <v>45736</v>
      </c>
      <c r="D4137" t="inlineStr">
        <is>
          <t>VÄRMLANDS LÄN</t>
        </is>
      </c>
      <c r="E4137" t="inlineStr">
        <is>
          <t>STORFORS</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12215-2021</t>
        </is>
      </c>
      <c r="B4138" s="1" t="n">
        <v>44266</v>
      </c>
      <c r="C4138" s="1" t="n">
        <v>45736</v>
      </c>
      <c r="D4138" t="inlineStr">
        <is>
          <t>VÄRMLANDS LÄN</t>
        </is>
      </c>
      <c r="E4138" t="inlineStr">
        <is>
          <t>KIL</t>
        </is>
      </c>
      <c r="F4138" t="inlineStr">
        <is>
          <t>Kommuner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12424-2021</t>
        </is>
      </c>
      <c r="B4139" s="1" t="n">
        <v>44266</v>
      </c>
      <c r="C4139" s="1" t="n">
        <v>45736</v>
      </c>
      <c r="D4139" t="inlineStr">
        <is>
          <t>VÄRMLANDS LÄN</t>
        </is>
      </c>
      <c r="E4139" t="inlineStr">
        <is>
          <t>KIL</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12352-2021</t>
        </is>
      </c>
      <c r="B4140" s="1" t="n">
        <v>44267</v>
      </c>
      <c r="C4140" s="1" t="n">
        <v>45736</v>
      </c>
      <c r="D4140" t="inlineStr">
        <is>
          <t>VÄRMLANDS LÄN</t>
        </is>
      </c>
      <c r="E4140" t="inlineStr">
        <is>
          <t>ÅRJÄNG</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12389-2021</t>
        </is>
      </c>
      <c r="B4141" s="1" t="n">
        <v>44267</v>
      </c>
      <c r="C4141" s="1" t="n">
        <v>45736</v>
      </c>
      <c r="D4141" t="inlineStr">
        <is>
          <t>VÄRMLANDS LÄN</t>
        </is>
      </c>
      <c r="E4141" t="inlineStr">
        <is>
          <t>GRUMS</t>
        </is>
      </c>
      <c r="G4141" t="n">
        <v>9.4</v>
      </c>
      <c r="H4141" t="n">
        <v>0</v>
      </c>
      <c r="I4141" t="n">
        <v>0</v>
      </c>
      <c r="J4141" t="n">
        <v>0</v>
      </c>
      <c r="K4141" t="n">
        <v>0</v>
      </c>
      <c r="L4141" t="n">
        <v>0</v>
      </c>
      <c r="M4141" t="n">
        <v>0</v>
      </c>
      <c r="N4141" t="n">
        <v>0</v>
      </c>
      <c r="O4141" t="n">
        <v>0</v>
      </c>
      <c r="P4141" t="n">
        <v>0</v>
      </c>
      <c r="Q4141" t="n">
        <v>0</v>
      </c>
      <c r="R4141" s="2" t="inlineStr"/>
    </row>
    <row r="4142" ht="15" customHeight="1">
      <c r="A4142" t="inlineStr">
        <is>
          <t>A 12527-2021</t>
        </is>
      </c>
      <c r="B4142" s="1" t="n">
        <v>44269</v>
      </c>
      <c r="C4142" s="1" t="n">
        <v>45736</v>
      </c>
      <c r="D4142" t="inlineStr">
        <is>
          <t>VÄRMLANDS LÄN</t>
        </is>
      </c>
      <c r="E4142" t="inlineStr">
        <is>
          <t>FORSHAGA</t>
        </is>
      </c>
      <c r="F4142" t="inlineStr">
        <is>
          <t>Bergvik skog väst AB</t>
        </is>
      </c>
      <c r="G4142" t="n">
        <v>18.8</v>
      </c>
      <c r="H4142" t="n">
        <v>0</v>
      </c>
      <c r="I4142" t="n">
        <v>0</v>
      </c>
      <c r="J4142" t="n">
        <v>0</v>
      </c>
      <c r="K4142" t="n">
        <v>0</v>
      </c>
      <c r="L4142" t="n">
        <v>0</v>
      </c>
      <c r="M4142" t="n">
        <v>0</v>
      </c>
      <c r="N4142" t="n">
        <v>0</v>
      </c>
      <c r="O4142" t="n">
        <v>0</v>
      </c>
      <c r="P4142" t="n">
        <v>0</v>
      </c>
      <c r="Q4142" t="n">
        <v>0</v>
      </c>
      <c r="R4142" s="2" t="inlineStr"/>
    </row>
    <row r="4143" ht="15" customHeight="1">
      <c r="A4143" t="inlineStr">
        <is>
          <t>A 12533-2021</t>
        </is>
      </c>
      <c r="B4143" s="1" t="n">
        <v>44269</v>
      </c>
      <c r="C4143" s="1" t="n">
        <v>45736</v>
      </c>
      <c r="D4143" t="inlineStr">
        <is>
          <t>VÄRMLANDS LÄN</t>
        </is>
      </c>
      <c r="E4143" t="inlineStr">
        <is>
          <t>ARVIKA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12529-2021</t>
        </is>
      </c>
      <c r="B4144" s="1" t="n">
        <v>44269</v>
      </c>
      <c r="C4144" s="1" t="n">
        <v>45736</v>
      </c>
      <c r="D4144" t="inlineStr">
        <is>
          <t>VÄRMLANDS LÄN</t>
        </is>
      </c>
      <c r="E4144" t="inlineStr">
        <is>
          <t>ARVIKA</t>
        </is>
      </c>
      <c r="F4144" t="inlineStr">
        <is>
          <t>Bergvik skog väst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12542-2021</t>
        </is>
      </c>
      <c r="B4145" s="1" t="n">
        <v>44270</v>
      </c>
      <c r="C4145" s="1" t="n">
        <v>45736</v>
      </c>
      <c r="D4145" t="inlineStr">
        <is>
          <t>VÄRMLANDS LÄN</t>
        </is>
      </c>
      <c r="E4145" t="inlineStr">
        <is>
          <t>KRISTINEHAMN</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12635-2021</t>
        </is>
      </c>
      <c r="B4146" s="1" t="n">
        <v>44270</v>
      </c>
      <c r="C4146" s="1" t="n">
        <v>45736</v>
      </c>
      <c r="D4146" t="inlineStr">
        <is>
          <t>VÄRMLANDS LÄN</t>
        </is>
      </c>
      <c r="E4146" t="inlineStr">
        <is>
          <t>SUNNE</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12659-2021</t>
        </is>
      </c>
      <c r="B4147" s="1" t="n">
        <v>44270</v>
      </c>
      <c r="C4147" s="1" t="n">
        <v>45736</v>
      </c>
      <c r="D4147" t="inlineStr">
        <is>
          <t>VÄRMLANDS LÄN</t>
        </is>
      </c>
      <c r="E4147" t="inlineStr">
        <is>
          <t>ARVIKA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12728-2021</t>
        </is>
      </c>
      <c r="B4148" s="1" t="n">
        <v>44270</v>
      </c>
      <c r="C4148" s="1" t="n">
        <v>45736</v>
      </c>
      <c r="D4148" t="inlineStr">
        <is>
          <t>VÄRMLANDS LÄN</t>
        </is>
      </c>
      <c r="E4148" t="inlineStr">
        <is>
          <t>KIL</t>
        </is>
      </c>
      <c r="F4148" t="inlineStr">
        <is>
          <t>Kommuner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12822-2021</t>
        </is>
      </c>
      <c r="B4149" s="1" t="n">
        <v>44270</v>
      </c>
      <c r="C4149" s="1" t="n">
        <v>45736</v>
      </c>
      <c r="D4149" t="inlineStr">
        <is>
          <t>VÄRMLANDS LÄN</t>
        </is>
      </c>
      <c r="E4149" t="inlineStr">
        <is>
          <t>SÄFFLE</t>
        </is>
      </c>
      <c r="G4149" t="n">
        <v>26.3</v>
      </c>
      <c r="H4149" t="n">
        <v>0</v>
      </c>
      <c r="I4149" t="n">
        <v>0</v>
      </c>
      <c r="J4149" t="n">
        <v>0</v>
      </c>
      <c r="K4149" t="n">
        <v>0</v>
      </c>
      <c r="L4149" t="n">
        <v>0</v>
      </c>
      <c r="M4149" t="n">
        <v>0</v>
      </c>
      <c r="N4149" t="n">
        <v>0</v>
      </c>
      <c r="O4149" t="n">
        <v>0</v>
      </c>
      <c r="P4149" t="n">
        <v>0</v>
      </c>
      <c r="Q4149" t="n">
        <v>0</v>
      </c>
      <c r="R4149" s="2" t="inlineStr"/>
    </row>
    <row r="4150" ht="15" customHeight="1">
      <c r="A4150" t="inlineStr">
        <is>
          <t>A 12792-2021</t>
        </is>
      </c>
      <c r="B4150" s="1" t="n">
        <v>44270</v>
      </c>
      <c r="C4150" s="1" t="n">
        <v>45736</v>
      </c>
      <c r="D4150" t="inlineStr">
        <is>
          <t>VÄRMLANDS LÄN</t>
        </is>
      </c>
      <c r="E4150" t="inlineStr">
        <is>
          <t>SUNNE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12541-2021</t>
        </is>
      </c>
      <c r="B4151" s="1" t="n">
        <v>44270</v>
      </c>
      <c r="C4151" s="1" t="n">
        <v>45736</v>
      </c>
      <c r="D4151" t="inlineStr">
        <is>
          <t>VÄRMLANDS LÄN</t>
        </is>
      </c>
      <c r="E4151" t="inlineStr">
        <is>
          <t>KRISTINEHAMN</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12853-2021</t>
        </is>
      </c>
      <c r="B4152" s="1" t="n">
        <v>44271</v>
      </c>
      <c r="C4152" s="1" t="n">
        <v>45736</v>
      </c>
      <c r="D4152" t="inlineStr">
        <is>
          <t>VÄRMLANDS LÄN</t>
        </is>
      </c>
      <c r="E4152" t="inlineStr">
        <is>
          <t>ÅRJÄNG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13013-2021</t>
        </is>
      </c>
      <c r="B4153" s="1" t="n">
        <v>44271</v>
      </c>
      <c r="C4153" s="1" t="n">
        <v>45736</v>
      </c>
      <c r="D4153" t="inlineStr">
        <is>
          <t>VÄRMLANDS LÄN</t>
        </is>
      </c>
      <c r="E4153" t="inlineStr">
        <is>
          <t>TORSBY</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12892-2021</t>
        </is>
      </c>
      <c r="B4154" s="1" t="n">
        <v>44271</v>
      </c>
      <c r="C4154" s="1" t="n">
        <v>45736</v>
      </c>
      <c r="D4154" t="inlineStr">
        <is>
          <t>VÄRMLANDS LÄN</t>
        </is>
      </c>
      <c r="E4154" t="inlineStr">
        <is>
          <t>EDA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12842-2021</t>
        </is>
      </c>
      <c r="B4155" s="1" t="n">
        <v>44271</v>
      </c>
      <c r="C4155" s="1" t="n">
        <v>45736</v>
      </c>
      <c r="D4155" t="inlineStr">
        <is>
          <t>VÄRMLANDS LÄN</t>
        </is>
      </c>
      <c r="E4155" t="inlineStr">
        <is>
          <t>ÅRJÄNG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12940-2021</t>
        </is>
      </c>
      <c r="B4156" s="1" t="n">
        <v>44271</v>
      </c>
      <c r="C4156" s="1" t="n">
        <v>45736</v>
      </c>
      <c r="D4156" t="inlineStr">
        <is>
          <t>VÄRMLANDS LÄN</t>
        </is>
      </c>
      <c r="E4156" t="inlineStr">
        <is>
          <t>SÄFFLE</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13007-2021</t>
        </is>
      </c>
      <c r="B4157" s="1" t="n">
        <v>44271</v>
      </c>
      <c r="C4157" s="1" t="n">
        <v>45736</v>
      </c>
      <c r="D4157" t="inlineStr">
        <is>
          <t>VÄRMLANDS LÄN</t>
        </is>
      </c>
      <c r="E4157" t="inlineStr">
        <is>
          <t>ARVIKA</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13025-2021</t>
        </is>
      </c>
      <c r="B4158" s="1" t="n">
        <v>44271</v>
      </c>
      <c r="C4158" s="1" t="n">
        <v>45736</v>
      </c>
      <c r="D4158" t="inlineStr">
        <is>
          <t>VÄRMLANDS LÄN</t>
        </is>
      </c>
      <c r="E4158" t="inlineStr">
        <is>
          <t>ARVIKA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13140-2021</t>
        </is>
      </c>
      <c r="B4159" s="1" t="n">
        <v>44271</v>
      </c>
      <c r="C4159" s="1" t="n">
        <v>45736</v>
      </c>
      <c r="D4159" t="inlineStr">
        <is>
          <t>VÄRMLANDS LÄN</t>
        </is>
      </c>
      <c r="E4159" t="inlineStr">
        <is>
          <t>GRUMS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13156-2021</t>
        </is>
      </c>
      <c r="B4160" s="1" t="n">
        <v>44272</v>
      </c>
      <c r="C4160" s="1" t="n">
        <v>45736</v>
      </c>
      <c r="D4160" t="inlineStr">
        <is>
          <t>VÄRMLANDS LÄN</t>
        </is>
      </c>
      <c r="E4160" t="inlineStr">
        <is>
          <t>FORSHAGA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13115-2021</t>
        </is>
      </c>
      <c r="B4161" s="1" t="n">
        <v>44272</v>
      </c>
      <c r="C4161" s="1" t="n">
        <v>45736</v>
      </c>
      <c r="D4161" t="inlineStr">
        <is>
          <t>VÄRMLANDS LÄN</t>
        </is>
      </c>
      <c r="E4161" t="inlineStr">
        <is>
          <t>ÅRJÄNG</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13047-2021</t>
        </is>
      </c>
      <c r="B4162" s="1" t="n">
        <v>44272</v>
      </c>
      <c r="C4162" s="1" t="n">
        <v>45736</v>
      </c>
      <c r="D4162" t="inlineStr">
        <is>
          <t>VÄRMLANDS LÄN</t>
        </is>
      </c>
      <c r="E4162" t="inlineStr">
        <is>
          <t>STORFORS</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13107-2021</t>
        </is>
      </c>
      <c r="B4163" s="1" t="n">
        <v>44272</v>
      </c>
      <c r="C4163" s="1" t="n">
        <v>45736</v>
      </c>
      <c r="D4163" t="inlineStr">
        <is>
          <t>VÄRMLANDS LÄN</t>
        </is>
      </c>
      <c r="E4163" t="inlineStr">
        <is>
          <t>SUNNE</t>
        </is>
      </c>
      <c r="G4163" t="n">
        <v>14.9</v>
      </c>
      <c r="H4163" t="n">
        <v>0</v>
      </c>
      <c r="I4163" t="n">
        <v>0</v>
      </c>
      <c r="J4163" t="n">
        <v>0</v>
      </c>
      <c r="K4163" t="n">
        <v>0</v>
      </c>
      <c r="L4163" t="n">
        <v>0</v>
      </c>
      <c r="M4163" t="n">
        <v>0</v>
      </c>
      <c r="N4163" t="n">
        <v>0</v>
      </c>
      <c r="O4163" t="n">
        <v>0</v>
      </c>
      <c r="P4163" t="n">
        <v>0</v>
      </c>
      <c r="Q4163" t="n">
        <v>0</v>
      </c>
      <c r="R4163" s="2" t="inlineStr"/>
    </row>
    <row r="4164" ht="15" customHeight="1">
      <c r="A4164" t="inlineStr">
        <is>
          <t>A 13575-2021</t>
        </is>
      </c>
      <c r="B4164" s="1" t="n">
        <v>44273</v>
      </c>
      <c r="C4164" s="1" t="n">
        <v>45736</v>
      </c>
      <c r="D4164" t="inlineStr">
        <is>
          <t>VÄRMLANDS LÄN</t>
        </is>
      </c>
      <c r="E4164" t="inlineStr">
        <is>
          <t>HAGFORS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13601-2021</t>
        </is>
      </c>
      <c r="B4165" s="1" t="n">
        <v>44274</v>
      </c>
      <c r="C4165" s="1" t="n">
        <v>45736</v>
      </c>
      <c r="D4165" t="inlineStr">
        <is>
          <t>VÄRMLANDS LÄN</t>
        </is>
      </c>
      <c r="E4165" t="inlineStr">
        <is>
          <t>STORFORS</t>
        </is>
      </c>
      <c r="F4165" t="inlineStr">
        <is>
          <t>Bergvik skog väst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13932-2021</t>
        </is>
      </c>
      <c r="B4166" s="1" t="n">
        <v>44277</v>
      </c>
      <c r="C4166" s="1" t="n">
        <v>45736</v>
      </c>
      <c r="D4166" t="inlineStr">
        <is>
          <t>VÄRMLANDS LÄN</t>
        </is>
      </c>
      <c r="E4166" t="inlineStr">
        <is>
          <t>FILIPSTAD</t>
        </is>
      </c>
      <c r="F4166" t="inlineStr">
        <is>
          <t>Bergvik skog väst AB</t>
        </is>
      </c>
      <c r="G4166" t="n">
        <v>13.7</v>
      </c>
      <c r="H4166" t="n">
        <v>0</v>
      </c>
      <c r="I4166" t="n">
        <v>0</v>
      </c>
      <c r="J4166" t="n">
        <v>0</v>
      </c>
      <c r="K4166" t="n">
        <v>0</v>
      </c>
      <c r="L4166" t="n">
        <v>0</v>
      </c>
      <c r="M4166" t="n">
        <v>0</v>
      </c>
      <c r="N4166" t="n">
        <v>0</v>
      </c>
      <c r="O4166" t="n">
        <v>0</v>
      </c>
      <c r="P4166" t="n">
        <v>0</v>
      </c>
      <c r="Q4166" t="n">
        <v>0</v>
      </c>
      <c r="R4166" s="2" t="inlineStr"/>
    </row>
    <row r="4167" ht="15" customHeight="1">
      <c r="A4167" t="inlineStr">
        <is>
          <t>A 13828-2021</t>
        </is>
      </c>
      <c r="B4167" s="1" t="n">
        <v>44277</v>
      </c>
      <c r="C4167" s="1" t="n">
        <v>45736</v>
      </c>
      <c r="D4167" t="inlineStr">
        <is>
          <t>VÄRMLANDS LÄN</t>
        </is>
      </c>
      <c r="E4167" t="inlineStr">
        <is>
          <t>ARVIKA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13914-2021</t>
        </is>
      </c>
      <c r="B4168" s="1" t="n">
        <v>44277</v>
      </c>
      <c r="C4168" s="1" t="n">
        <v>45736</v>
      </c>
      <c r="D4168" t="inlineStr">
        <is>
          <t>VÄRMLANDS LÄN</t>
        </is>
      </c>
      <c r="E4168" t="inlineStr">
        <is>
          <t>KRISTINEHAMN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14094-2021</t>
        </is>
      </c>
      <c r="B4169" s="1" t="n">
        <v>44278</v>
      </c>
      <c r="C4169" s="1" t="n">
        <v>45736</v>
      </c>
      <c r="D4169" t="inlineStr">
        <is>
          <t>VÄRMLANDS LÄN</t>
        </is>
      </c>
      <c r="E4169" t="inlineStr">
        <is>
          <t>ÅRJÄNG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14214-2021</t>
        </is>
      </c>
      <c r="B4170" s="1" t="n">
        <v>44278</v>
      </c>
      <c r="C4170" s="1" t="n">
        <v>45736</v>
      </c>
      <c r="D4170" t="inlineStr">
        <is>
          <t>VÄRMLANDS LÄN</t>
        </is>
      </c>
      <c r="E4170" t="inlineStr">
        <is>
          <t>SUNNE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14181-2021</t>
        </is>
      </c>
      <c r="B4171" s="1" t="n">
        <v>44278</v>
      </c>
      <c r="C4171" s="1" t="n">
        <v>45736</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14222-2021</t>
        </is>
      </c>
      <c r="B4172" s="1" t="n">
        <v>44278</v>
      </c>
      <c r="C4172" s="1" t="n">
        <v>45736</v>
      </c>
      <c r="D4172" t="inlineStr">
        <is>
          <t>VÄRMLANDS LÄN</t>
        </is>
      </c>
      <c r="E4172" t="inlineStr">
        <is>
          <t>EDA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14273-2021</t>
        </is>
      </c>
      <c r="B4173" s="1" t="n">
        <v>44278</v>
      </c>
      <c r="C4173" s="1" t="n">
        <v>45736</v>
      </c>
      <c r="D4173" t="inlineStr">
        <is>
          <t>VÄRMLANDS LÄN</t>
        </is>
      </c>
      <c r="E4173" t="inlineStr">
        <is>
          <t>ARVIKA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14356-2021</t>
        </is>
      </c>
      <c r="B4174" s="1" t="n">
        <v>44279</v>
      </c>
      <c r="C4174" s="1" t="n">
        <v>45736</v>
      </c>
      <c r="D4174" t="inlineStr">
        <is>
          <t>VÄRMLANDS LÄN</t>
        </is>
      </c>
      <c r="E4174" t="inlineStr">
        <is>
          <t>STORFORS</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14475-2021</t>
        </is>
      </c>
      <c r="B4175" s="1" t="n">
        <v>44279</v>
      </c>
      <c r="C4175" s="1" t="n">
        <v>45736</v>
      </c>
      <c r="D4175" t="inlineStr">
        <is>
          <t>VÄRMLANDS LÄN</t>
        </is>
      </c>
      <c r="E4175" t="inlineStr">
        <is>
          <t>KARLSTAD</t>
        </is>
      </c>
      <c r="F4175" t="inlineStr">
        <is>
          <t>Bergvik skog väst AB</t>
        </is>
      </c>
      <c r="G4175" t="n">
        <v>25.3</v>
      </c>
      <c r="H4175" t="n">
        <v>0</v>
      </c>
      <c r="I4175" t="n">
        <v>0</v>
      </c>
      <c r="J4175" t="n">
        <v>0</v>
      </c>
      <c r="K4175" t="n">
        <v>0</v>
      </c>
      <c r="L4175" t="n">
        <v>0</v>
      </c>
      <c r="M4175" t="n">
        <v>0</v>
      </c>
      <c r="N4175" t="n">
        <v>0</v>
      </c>
      <c r="O4175" t="n">
        <v>0</v>
      </c>
      <c r="P4175" t="n">
        <v>0</v>
      </c>
      <c r="Q4175" t="n">
        <v>0</v>
      </c>
      <c r="R4175" s="2" t="inlineStr"/>
    </row>
    <row r="4176" ht="15" customHeight="1">
      <c r="A4176" t="inlineStr">
        <is>
          <t>A 14469-2021</t>
        </is>
      </c>
      <c r="B4176" s="1" t="n">
        <v>44279</v>
      </c>
      <c r="C4176" s="1" t="n">
        <v>45736</v>
      </c>
      <c r="D4176" t="inlineStr">
        <is>
          <t>VÄRMLANDS LÄN</t>
        </is>
      </c>
      <c r="E4176" t="inlineStr">
        <is>
          <t>KARLSTAD</t>
        </is>
      </c>
      <c r="F4176" t="inlineStr">
        <is>
          <t>Bergvik skog väst AB</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14740-2021</t>
        </is>
      </c>
      <c r="B4177" s="1" t="n">
        <v>44280</v>
      </c>
      <c r="C4177" s="1" t="n">
        <v>45736</v>
      </c>
      <c r="D4177" t="inlineStr">
        <is>
          <t>VÄRMLANDS LÄN</t>
        </is>
      </c>
      <c r="E4177" t="inlineStr">
        <is>
          <t>SÄFFLE</t>
        </is>
      </c>
      <c r="F4177" t="inlineStr">
        <is>
          <t>Bergvik skog väst AB</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14808-2021</t>
        </is>
      </c>
      <c r="B4178" s="1" t="n">
        <v>44280</v>
      </c>
      <c r="C4178" s="1" t="n">
        <v>45736</v>
      </c>
      <c r="D4178" t="inlineStr">
        <is>
          <t>VÄRMLANDS LÄN</t>
        </is>
      </c>
      <c r="E4178" t="inlineStr">
        <is>
          <t>KRISTINEHAMN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14913-2021</t>
        </is>
      </c>
      <c r="B4179" s="1" t="n">
        <v>44281</v>
      </c>
      <c r="C4179" s="1" t="n">
        <v>45736</v>
      </c>
      <c r="D4179" t="inlineStr">
        <is>
          <t>VÄRMLANDS LÄN</t>
        </is>
      </c>
      <c r="E4179" t="inlineStr">
        <is>
          <t>EDA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15058-2021</t>
        </is>
      </c>
      <c r="B4180" s="1" t="n">
        <v>44281</v>
      </c>
      <c r="C4180" s="1" t="n">
        <v>45736</v>
      </c>
      <c r="D4180" t="inlineStr">
        <is>
          <t>VÄRMLANDS LÄN</t>
        </is>
      </c>
      <c r="E4180" t="inlineStr">
        <is>
          <t>ARVIKA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14906-2021</t>
        </is>
      </c>
      <c r="B4181" s="1" t="n">
        <v>44281</v>
      </c>
      <c r="C4181" s="1" t="n">
        <v>45736</v>
      </c>
      <c r="D4181" t="inlineStr">
        <is>
          <t>VÄRMLANDS LÄN</t>
        </is>
      </c>
      <c r="E4181" t="inlineStr">
        <is>
          <t>ÅRJÄNG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14996-2021</t>
        </is>
      </c>
      <c r="B4182" s="1" t="n">
        <v>44281</v>
      </c>
      <c r="C4182" s="1" t="n">
        <v>45736</v>
      </c>
      <c r="D4182" t="inlineStr">
        <is>
          <t>VÄRMLANDS LÄN</t>
        </is>
      </c>
      <c r="E4182" t="inlineStr">
        <is>
          <t>FORSHAGA</t>
        </is>
      </c>
      <c r="F4182" t="inlineStr">
        <is>
          <t>Bergvik skog väst AB</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14942-2021</t>
        </is>
      </c>
      <c r="B4183" s="1" t="n">
        <v>44281</v>
      </c>
      <c r="C4183" s="1" t="n">
        <v>45736</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15249-2021</t>
        </is>
      </c>
      <c r="B4184" s="1" t="n">
        <v>44282</v>
      </c>
      <c r="C4184" s="1" t="n">
        <v>45736</v>
      </c>
      <c r="D4184" t="inlineStr">
        <is>
          <t>VÄRMLANDS LÄN</t>
        </is>
      </c>
      <c r="E4184" t="inlineStr">
        <is>
          <t>ÅRJÄNG</t>
        </is>
      </c>
      <c r="F4184" t="inlineStr">
        <is>
          <t>Övriga Aktiebolag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15224-2021</t>
        </is>
      </c>
      <c r="B4185" s="1" t="n">
        <v>44284</v>
      </c>
      <c r="C4185" s="1" t="n">
        <v>45736</v>
      </c>
      <c r="D4185" t="inlineStr">
        <is>
          <t>VÄRMLANDS LÄN</t>
        </is>
      </c>
      <c r="E4185" t="inlineStr">
        <is>
          <t>FORSHAGA</t>
        </is>
      </c>
      <c r="F4185" t="inlineStr">
        <is>
          <t>Bergvik skog väst AB</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15171-2021</t>
        </is>
      </c>
      <c r="B4186" s="1" t="n">
        <v>44284</v>
      </c>
      <c r="C4186" s="1" t="n">
        <v>45736</v>
      </c>
      <c r="D4186" t="inlineStr">
        <is>
          <t>VÄRMLANDS LÄN</t>
        </is>
      </c>
      <c r="E4186" t="inlineStr">
        <is>
          <t>SUNNE</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15203-2021</t>
        </is>
      </c>
      <c r="B4187" s="1" t="n">
        <v>44284</v>
      </c>
      <c r="C4187" s="1" t="n">
        <v>45736</v>
      </c>
      <c r="D4187" t="inlineStr">
        <is>
          <t>VÄRMLANDS LÄN</t>
        </is>
      </c>
      <c r="E4187" t="inlineStr">
        <is>
          <t>FORSHAGA</t>
        </is>
      </c>
      <c r="F4187" t="inlineStr">
        <is>
          <t>Bergvik skog väst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15149-2021</t>
        </is>
      </c>
      <c r="B4188" s="1" t="n">
        <v>44284</v>
      </c>
      <c r="C4188" s="1" t="n">
        <v>45736</v>
      </c>
      <c r="D4188" t="inlineStr">
        <is>
          <t>VÄRMLANDS LÄN</t>
        </is>
      </c>
      <c r="E4188" t="inlineStr">
        <is>
          <t>KARLSTAD</t>
        </is>
      </c>
      <c r="F4188" t="inlineStr">
        <is>
          <t>Bergvik skog väst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15185-2021</t>
        </is>
      </c>
      <c r="B4189" s="1" t="n">
        <v>44284</v>
      </c>
      <c r="C4189" s="1" t="n">
        <v>45736</v>
      </c>
      <c r="D4189" t="inlineStr">
        <is>
          <t>VÄRMLANDS LÄN</t>
        </is>
      </c>
      <c r="E4189" t="inlineStr">
        <is>
          <t>HAGFORS</t>
        </is>
      </c>
      <c r="F4189" t="inlineStr">
        <is>
          <t>Bergvik skog väst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15225-2021</t>
        </is>
      </c>
      <c r="B4190" s="1" t="n">
        <v>44284</v>
      </c>
      <c r="C4190" s="1" t="n">
        <v>45736</v>
      </c>
      <c r="D4190" t="inlineStr">
        <is>
          <t>VÄRMLANDS LÄN</t>
        </is>
      </c>
      <c r="E4190" t="inlineStr">
        <is>
          <t>ARVIKA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15244-2021</t>
        </is>
      </c>
      <c r="B4191" s="1" t="n">
        <v>44284</v>
      </c>
      <c r="C4191" s="1" t="n">
        <v>45736</v>
      </c>
      <c r="D4191" t="inlineStr">
        <is>
          <t>VÄRMLANDS LÄN</t>
        </is>
      </c>
      <c r="E4191" t="inlineStr">
        <is>
          <t>ÅRJÄNG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15186-2021</t>
        </is>
      </c>
      <c r="B4192" s="1" t="n">
        <v>44284</v>
      </c>
      <c r="C4192" s="1" t="n">
        <v>45736</v>
      </c>
      <c r="D4192" t="inlineStr">
        <is>
          <t>VÄRMLANDS LÄN</t>
        </is>
      </c>
      <c r="E4192" t="inlineStr">
        <is>
          <t>HAGFORS</t>
        </is>
      </c>
      <c r="F4192" t="inlineStr">
        <is>
          <t>Bergvik skog väst AB</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15245-2021</t>
        </is>
      </c>
      <c r="B4193" s="1" t="n">
        <v>44284</v>
      </c>
      <c r="C4193" s="1" t="n">
        <v>45736</v>
      </c>
      <c r="D4193" t="inlineStr">
        <is>
          <t>VÄRMLANDS LÄN</t>
        </is>
      </c>
      <c r="E4193" t="inlineStr">
        <is>
          <t>ÅRJÄNG</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15279-2021</t>
        </is>
      </c>
      <c r="B4194" s="1" t="n">
        <v>44284</v>
      </c>
      <c r="C4194" s="1" t="n">
        <v>45736</v>
      </c>
      <c r="D4194" t="inlineStr">
        <is>
          <t>VÄRMLANDS LÄN</t>
        </is>
      </c>
      <c r="E4194" t="inlineStr">
        <is>
          <t>TORSBY</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15256-2021</t>
        </is>
      </c>
      <c r="B4195" s="1" t="n">
        <v>44284</v>
      </c>
      <c r="C4195" s="1" t="n">
        <v>45736</v>
      </c>
      <c r="D4195" t="inlineStr">
        <is>
          <t>VÄRMLANDS LÄN</t>
        </is>
      </c>
      <c r="E4195" t="inlineStr">
        <is>
          <t>SÄFFLE</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15395-2021</t>
        </is>
      </c>
      <c r="B4196" s="1" t="n">
        <v>44285</v>
      </c>
      <c r="C4196" s="1" t="n">
        <v>45736</v>
      </c>
      <c r="D4196" t="inlineStr">
        <is>
          <t>VÄRMLANDS LÄN</t>
        </is>
      </c>
      <c r="E4196" t="inlineStr">
        <is>
          <t>EDA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15437-2021</t>
        </is>
      </c>
      <c r="B4197" s="1" t="n">
        <v>44285</v>
      </c>
      <c r="C4197" s="1" t="n">
        <v>45736</v>
      </c>
      <c r="D4197" t="inlineStr">
        <is>
          <t>VÄRMLANDS LÄN</t>
        </is>
      </c>
      <c r="E4197" t="inlineStr">
        <is>
          <t>KIL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15536-2021</t>
        </is>
      </c>
      <c r="B4198" s="1" t="n">
        <v>44285</v>
      </c>
      <c r="C4198" s="1" t="n">
        <v>45736</v>
      </c>
      <c r="D4198" t="inlineStr">
        <is>
          <t>VÄRMLANDS LÄN</t>
        </is>
      </c>
      <c r="E4198" t="inlineStr">
        <is>
          <t>ARVIKA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15476-2021</t>
        </is>
      </c>
      <c r="B4199" s="1" t="n">
        <v>44285</v>
      </c>
      <c r="C4199" s="1" t="n">
        <v>45736</v>
      </c>
      <c r="D4199" t="inlineStr">
        <is>
          <t>VÄRMLANDS LÄN</t>
        </is>
      </c>
      <c r="E4199" t="inlineStr">
        <is>
          <t>SÄFFLE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16191-2021</t>
        </is>
      </c>
      <c r="B4200" s="1" t="n">
        <v>44285</v>
      </c>
      <c r="C4200" s="1" t="n">
        <v>45736</v>
      </c>
      <c r="D4200" t="inlineStr">
        <is>
          <t>VÄRMLANDS LÄN</t>
        </is>
      </c>
      <c r="E4200" t="inlineStr">
        <is>
          <t>TORSBY</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15577-2021</t>
        </is>
      </c>
      <c r="B4201" s="1" t="n">
        <v>44285</v>
      </c>
      <c r="C4201" s="1" t="n">
        <v>45736</v>
      </c>
      <c r="D4201" t="inlineStr">
        <is>
          <t>VÄRMLANDS LÄN</t>
        </is>
      </c>
      <c r="E4201" t="inlineStr">
        <is>
          <t>KRISTINEHAMN</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15773-2021</t>
        </is>
      </c>
      <c r="B4202" s="1" t="n">
        <v>44286</v>
      </c>
      <c r="C4202" s="1" t="n">
        <v>45736</v>
      </c>
      <c r="D4202" t="inlineStr">
        <is>
          <t>VÄRMLANDS LÄN</t>
        </is>
      </c>
      <c r="E4202" t="inlineStr">
        <is>
          <t>SUNNE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15854-2021</t>
        </is>
      </c>
      <c r="B4203" s="1" t="n">
        <v>44286</v>
      </c>
      <c r="C4203" s="1" t="n">
        <v>45736</v>
      </c>
      <c r="D4203" t="inlineStr">
        <is>
          <t>VÄRMLANDS LÄN</t>
        </is>
      </c>
      <c r="E4203" t="inlineStr">
        <is>
          <t>TORSBY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15759-2021</t>
        </is>
      </c>
      <c r="B4204" s="1" t="n">
        <v>44286</v>
      </c>
      <c r="C4204" s="1" t="n">
        <v>45736</v>
      </c>
      <c r="D4204" t="inlineStr">
        <is>
          <t>VÄRMLANDS LÄN</t>
        </is>
      </c>
      <c r="E4204" t="inlineStr">
        <is>
          <t>EDA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15701-2021</t>
        </is>
      </c>
      <c r="B4205" s="1" t="n">
        <v>44286</v>
      </c>
      <c r="C4205" s="1" t="n">
        <v>45736</v>
      </c>
      <c r="D4205" t="inlineStr">
        <is>
          <t>VÄRMLANDS LÄN</t>
        </is>
      </c>
      <c r="E4205" t="inlineStr">
        <is>
          <t>GRUMS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15761-2021</t>
        </is>
      </c>
      <c r="B4206" s="1" t="n">
        <v>44286</v>
      </c>
      <c r="C4206" s="1" t="n">
        <v>45736</v>
      </c>
      <c r="D4206" t="inlineStr">
        <is>
          <t>VÄRMLANDS LÄN</t>
        </is>
      </c>
      <c r="E4206" t="inlineStr">
        <is>
          <t>EDA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15810-2021</t>
        </is>
      </c>
      <c r="B4207" s="1" t="n">
        <v>44286</v>
      </c>
      <c r="C4207" s="1" t="n">
        <v>45736</v>
      </c>
      <c r="D4207" t="inlineStr">
        <is>
          <t>VÄRMLANDS LÄN</t>
        </is>
      </c>
      <c r="E4207" t="inlineStr">
        <is>
          <t>KARLSTAD</t>
        </is>
      </c>
      <c r="F4207" t="inlineStr">
        <is>
          <t>Bergvik skog väst AB</t>
        </is>
      </c>
      <c r="G4207" t="n">
        <v>13.4</v>
      </c>
      <c r="H4207" t="n">
        <v>0</v>
      </c>
      <c r="I4207" t="n">
        <v>0</v>
      </c>
      <c r="J4207" t="n">
        <v>0</v>
      </c>
      <c r="K4207" t="n">
        <v>0</v>
      </c>
      <c r="L4207" t="n">
        <v>0</v>
      </c>
      <c r="M4207" t="n">
        <v>0</v>
      </c>
      <c r="N4207" t="n">
        <v>0</v>
      </c>
      <c r="O4207" t="n">
        <v>0</v>
      </c>
      <c r="P4207" t="n">
        <v>0</v>
      </c>
      <c r="Q4207" t="n">
        <v>0</v>
      </c>
      <c r="R4207" s="2" t="inlineStr"/>
    </row>
    <row r="4208" ht="15" customHeight="1">
      <c r="A4208" t="inlineStr">
        <is>
          <t>A 15853-2021</t>
        </is>
      </c>
      <c r="B4208" s="1" t="n">
        <v>44286</v>
      </c>
      <c r="C4208" s="1" t="n">
        <v>45736</v>
      </c>
      <c r="D4208" t="inlineStr">
        <is>
          <t>VÄRMLANDS LÄN</t>
        </is>
      </c>
      <c r="E4208" t="inlineStr">
        <is>
          <t>TORSBY</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15912-2021</t>
        </is>
      </c>
      <c r="B4209" s="1" t="n">
        <v>44287</v>
      </c>
      <c r="C4209" s="1" t="n">
        <v>45736</v>
      </c>
      <c r="D4209" t="inlineStr">
        <is>
          <t>VÄRMLANDS LÄN</t>
        </is>
      </c>
      <c r="E4209" t="inlineStr">
        <is>
          <t>ARVIKA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15945-2021</t>
        </is>
      </c>
      <c r="B4210" s="1" t="n">
        <v>44287</v>
      </c>
      <c r="C4210" s="1" t="n">
        <v>45736</v>
      </c>
      <c r="D4210" t="inlineStr">
        <is>
          <t>VÄRMLANDS LÄN</t>
        </is>
      </c>
      <c r="E4210" t="inlineStr">
        <is>
          <t>TORSBY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15961-2021</t>
        </is>
      </c>
      <c r="B4211" s="1" t="n">
        <v>44287</v>
      </c>
      <c r="C4211" s="1" t="n">
        <v>45736</v>
      </c>
      <c r="D4211" t="inlineStr">
        <is>
          <t>VÄRMLANDS LÄN</t>
        </is>
      </c>
      <c r="E4211" t="inlineStr">
        <is>
          <t>SÄFFLE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15919-2021</t>
        </is>
      </c>
      <c r="B4212" s="1" t="n">
        <v>44287</v>
      </c>
      <c r="C4212" s="1" t="n">
        <v>45736</v>
      </c>
      <c r="D4212" t="inlineStr">
        <is>
          <t>VÄRMLANDS LÄN</t>
        </is>
      </c>
      <c r="E4212" t="inlineStr">
        <is>
          <t>KIL</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15965-2021</t>
        </is>
      </c>
      <c r="B4213" s="1" t="n">
        <v>44287</v>
      </c>
      <c r="C4213" s="1" t="n">
        <v>45736</v>
      </c>
      <c r="D4213" t="inlineStr">
        <is>
          <t>VÄRMLANDS LÄN</t>
        </is>
      </c>
      <c r="E4213" t="inlineStr">
        <is>
          <t>ARVIKA</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16167-2021</t>
        </is>
      </c>
      <c r="B4214" s="1" t="n">
        <v>44287</v>
      </c>
      <c r="C4214" s="1" t="n">
        <v>45736</v>
      </c>
      <c r="D4214" t="inlineStr">
        <is>
          <t>VÄRMLANDS LÄN</t>
        </is>
      </c>
      <c r="E4214" t="inlineStr">
        <is>
          <t>KIL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16163-2021</t>
        </is>
      </c>
      <c r="B4215" s="1" t="n">
        <v>44287</v>
      </c>
      <c r="C4215" s="1" t="n">
        <v>45736</v>
      </c>
      <c r="D4215" t="inlineStr">
        <is>
          <t>VÄRMLANDS LÄN</t>
        </is>
      </c>
      <c r="E4215" t="inlineStr">
        <is>
          <t>KIL</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15939-2021</t>
        </is>
      </c>
      <c r="B4216" s="1" t="n">
        <v>44287</v>
      </c>
      <c r="C4216" s="1" t="n">
        <v>45736</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15981-2021</t>
        </is>
      </c>
      <c r="B4217" s="1" t="n">
        <v>44287</v>
      </c>
      <c r="C4217" s="1" t="n">
        <v>45736</v>
      </c>
      <c r="D4217" t="inlineStr">
        <is>
          <t>VÄRMLANDS LÄN</t>
        </is>
      </c>
      <c r="E4217" t="inlineStr">
        <is>
          <t>ARVIKA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16168-2021</t>
        </is>
      </c>
      <c r="B4218" s="1" t="n">
        <v>44287</v>
      </c>
      <c r="C4218" s="1" t="n">
        <v>45736</v>
      </c>
      <c r="D4218" t="inlineStr">
        <is>
          <t>VÄRMLANDS LÄN</t>
        </is>
      </c>
      <c r="E4218" t="inlineStr">
        <is>
          <t>KIL</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16052-2021</t>
        </is>
      </c>
      <c r="B4219" s="1" t="n">
        <v>44287</v>
      </c>
      <c r="C4219" s="1" t="n">
        <v>45736</v>
      </c>
      <c r="D4219" t="inlineStr">
        <is>
          <t>VÄRMLANDS LÄN</t>
        </is>
      </c>
      <c r="E4219" t="inlineStr">
        <is>
          <t>SUNNE</t>
        </is>
      </c>
      <c r="F4219" t="inlineStr">
        <is>
          <t>Övriga Aktiebolag</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16169-2021</t>
        </is>
      </c>
      <c r="B4220" s="1" t="n">
        <v>44287</v>
      </c>
      <c r="C4220" s="1" t="n">
        <v>45736</v>
      </c>
      <c r="D4220" t="inlineStr">
        <is>
          <t>VÄRMLANDS LÄN</t>
        </is>
      </c>
      <c r="E4220" t="inlineStr">
        <is>
          <t>KIL</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16078-2021</t>
        </is>
      </c>
      <c r="B4221" s="1" t="n">
        <v>44288</v>
      </c>
      <c r="C4221" s="1" t="n">
        <v>45736</v>
      </c>
      <c r="D4221" t="inlineStr">
        <is>
          <t>VÄRMLANDS LÄN</t>
        </is>
      </c>
      <c r="E4221" t="inlineStr">
        <is>
          <t>EDA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16079-2021</t>
        </is>
      </c>
      <c r="B4222" s="1" t="n">
        <v>44288</v>
      </c>
      <c r="C4222" s="1" t="n">
        <v>45736</v>
      </c>
      <c r="D4222" t="inlineStr">
        <is>
          <t>VÄRMLANDS LÄN</t>
        </is>
      </c>
      <c r="E4222" t="inlineStr">
        <is>
          <t>EDA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16092-2021</t>
        </is>
      </c>
      <c r="B4223" s="1" t="n">
        <v>44289</v>
      </c>
      <c r="C4223" s="1" t="n">
        <v>45736</v>
      </c>
      <c r="D4223" t="inlineStr">
        <is>
          <t>VÄRMLANDS LÄN</t>
        </is>
      </c>
      <c r="E4223" t="inlineStr">
        <is>
          <t>GRUMS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16105-2021</t>
        </is>
      </c>
      <c r="B4224" s="1" t="n">
        <v>44290</v>
      </c>
      <c r="C4224" s="1" t="n">
        <v>45736</v>
      </c>
      <c r="D4224" t="inlineStr">
        <is>
          <t>VÄRMLANDS LÄN</t>
        </is>
      </c>
      <c r="E4224" t="inlineStr">
        <is>
          <t>EDA</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16103-2021</t>
        </is>
      </c>
      <c r="B4225" s="1" t="n">
        <v>44290</v>
      </c>
      <c r="C4225" s="1" t="n">
        <v>45736</v>
      </c>
      <c r="D4225" t="inlineStr">
        <is>
          <t>VÄRMLANDS LÄN</t>
        </is>
      </c>
      <c r="E4225" t="inlineStr">
        <is>
          <t>EDA</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16104-2021</t>
        </is>
      </c>
      <c r="B4226" s="1" t="n">
        <v>44290</v>
      </c>
      <c r="C4226" s="1" t="n">
        <v>45736</v>
      </c>
      <c r="D4226" t="inlineStr">
        <is>
          <t>VÄRMLANDS LÄN</t>
        </is>
      </c>
      <c r="E4226" t="inlineStr">
        <is>
          <t>EDA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16248-2021</t>
        </is>
      </c>
      <c r="B4227" s="1" t="n">
        <v>44291</v>
      </c>
      <c r="C4227" s="1" t="n">
        <v>45736</v>
      </c>
      <c r="D4227" t="inlineStr">
        <is>
          <t>VÄRMLANDS LÄN</t>
        </is>
      </c>
      <c r="E4227" t="inlineStr">
        <is>
          <t>ARVIKA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16206-2021</t>
        </is>
      </c>
      <c r="B4228" s="1" t="n">
        <v>44292</v>
      </c>
      <c r="C4228" s="1" t="n">
        <v>45736</v>
      </c>
      <c r="D4228" t="inlineStr">
        <is>
          <t>VÄRMLANDS LÄN</t>
        </is>
      </c>
      <c r="E4228" t="inlineStr">
        <is>
          <t>KARLSTAD</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16303-2021</t>
        </is>
      </c>
      <c r="B4229" s="1" t="n">
        <v>44292</v>
      </c>
      <c r="C4229" s="1" t="n">
        <v>45736</v>
      </c>
      <c r="D4229" t="inlineStr">
        <is>
          <t>VÄRMLANDS LÄN</t>
        </is>
      </c>
      <c r="E4229" t="inlineStr">
        <is>
          <t>TORSBY</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16176-2021</t>
        </is>
      </c>
      <c r="B4230" s="1" t="n">
        <v>44292</v>
      </c>
      <c r="C4230" s="1" t="n">
        <v>45736</v>
      </c>
      <c r="D4230" t="inlineStr">
        <is>
          <t>VÄRMLANDS LÄN</t>
        </is>
      </c>
      <c r="E4230" t="inlineStr">
        <is>
          <t>ÅRJÄNG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16299-2021</t>
        </is>
      </c>
      <c r="B4231" s="1" t="n">
        <v>44292</v>
      </c>
      <c r="C4231" s="1" t="n">
        <v>45736</v>
      </c>
      <c r="D4231" t="inlineStr">
        <is>
          <t>VÄRMLANDS LÄN</t>
        </is>
      </c>
      <c r="E4231" t="inlineStr">
        <is>
          <t>TORSBY</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16466-2021</t>
        </is>
      </c>
      <c r="B4232" s="1" t="n">
        <v>44292</v>
      </c>
      <c r="C4232" s="1" t="n">
        <v>45736</v>
      </c>
      <c r="D4232" t="inlineStr">
        <is>
          <t>VÄRMLANDS LÄN</t>
        </is>
      </c>
      <c r="E4232" t="inlineStr">
        <is>
          <t>GRUMS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16375-2021</t>
        </is>
      </c>
      <c r="B4233" s="1" t="n">
        <v>44292</v>
      </c>
      <c r="C4233" s="1" t="n">
        <v>45736</v>
      </c>
      <c r="D4233" t="inlineStr">
        <is>
          <t>VÄRMLANDS LÄN</t>
        </is>
      </c>
      <c r="E4233" t="inlineStr">
        <is>
          <t>TORSBY</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16467-2021</t>
        </is>
      </c>
      <c r="B4234" s="1" t="n">
        <v>44292</v>
      </c>
      <c r="C4234" s="1" t="n">
        <v>45736</v>
      </c>
      <c r="D4234" t="inlineStr">
        <is>
          <t>VÄRMLANDS LÄN</t>
        </is>
      </c>
      <c r="E4234" t="inlineStr">
        <is>
          <t>GRUMS</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16540-2021</t>
        </is>
      </c>
      <c r="B4235" s="1" t="n">
        <v>44293</v>
      </c>
      <c r="C4235" s="1" t="n">
        <v>45736</v>
      </c>
      <c r="D4235" t="inlineStr">
        <is>
          <t>VÄRMLANDS LÄN</t>
        </is>
      </c>
      <c r="E4235" t="inlineStr">
        <is>
          <t>ARVIKA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16646-2021</t>
        </is>
      </c>
      <c r="B4236" s="1" t="n">
        <v>44294</v>
      </c>
      <c r="C4236" s="1" t="n">
        <v>45736</v>
      </c>
      <c r="D4236" t="inlineStr">
        <is>
          <t>VÄRMLANDS LÄN</t>
        </is>
      </c>
      <c r="E4236" t="inlineStr">
        <is>
          <t>SÄFFLE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16655-2021</t>
        </is>
      </c>
      <c r="B4237" s="1" t="n">
        <v>44294</v>
      </c>
      <c r="C4237" s="1" t="n">
        <v>45736</v>
      </c>
      <c r="D4237" t="inlineStr">
        <is>
          <t>VÄRMLANDS LÄN</t>
        </is>
      </c>
      <c r="E4237" t="inlineStr">
        <is>
          <t>FORSHAGA</t>
        </is>
      </c>
      <c r="F4237" t="inlineStr">
        <is>
          <t>Bergvik skog väst AB</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16676-2021</t>
        </is>
      </c>
      <c r="B4238" s="1" t="n">
        <v>44294</v>
      </c>
      <c r="C4238" s="1" t="n">
        <v>45736</v>
      </c>
      <c r="D4238" t="inlineStr">
        <is>
          <t>VÄRMLANDS LÄN</t>
        </is>
      </c>
      <c r="E4238" t="inlineStr">
        <is>
          <t>ÅRJÄNG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16689-2021</t>
        </is>
      </c>
      <c r="B4239" s="1" t="n">
        <v>44294</v>
      </c>
      <c r="C4239" s="1" t="n">
        <v>45736</v>
      </c>
      <c r="D4239" t="inlineStr">
        <is>
          <t>VÄRMLANDS LÄN</t>
        </is>
      </c>
      <c r="E4239" t="inlineStr">
        <is>
          <t>ÅRJÄNG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16867-2021</t>
        </is>
      </c>
      <c r="B4240" s="1" t="n">
        <v>44295</v>
      </c>
      <c r="C4240" s="1" t="n">
        <v>45736</v>
      </c>
      <c r="D4240" t="inlineStr">
        <is>
          <t>VÄRMLANDS LÄN</t>
        </is>
      </c>
      <c r="E4240" t="inlineStr">
        <is>
          <t>ARVIKA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16940-2021</t>
        </is>
      </c>
      <c r="B4241" s="1" t="n">
        <v>44295</v>
      </c>
      <c r="C4241" s="1" t="n">
        <v>45736</v>
      </c>
      <c r="D4241" t="inlineStr">
        <is>
          <t>VÄRMLANDS LÄN</t>
        </is>
      </c>
      <c r="E4241" t="inlineStr">
        <is>
          <t>SUNNE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16797-2021</t>
        </is>
      </c>
      <c r="B4242" s="1" t="n">
        <v>44295</v>
      </c>
      <c r="C4242" s="1" t="n">
        <v>45736</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16820-2021</t>
        </is>
      </c>
      <c r="B4243" s="1" t="n">
        <v>44295</v>
      </c>
      <c r="C4243" s="1" t="n">
        <v>45736</v>
      </c>
      <c r="D4243" t="inlineStr">
        <is>
          <t>VÄRMLANDS LÄN</t>
        </is>
      </c>
      <c r="E4243" t="inlineStr">
        <is>
          <t>KARLSTAD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16890-2021</t>
        </is>
      </c>
      <c r="B4244" s="1" t="n">
        <v>44295</v>
      </c>
      <c r="C4244" s="1" t="n">
        <v>45736</v>
      </c>
      <c r="D4244" t="inlineStr">
        <is>
          <t>VÄRMLANDS LÄN</t>
        </is>
      </c>
      <c r="E4244" t="inlineStr">
        <is>
          <t>HAMMARÖ</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16861-2021</t>
        </is>
      </c>
      <c r="B4245" s="1" t="n">
        <v>44295</v>
      </c>
      <c r="C4245" s="1" t="n">
        <v>45736</v>
      </c>
      <c r="D4245" t="inlineStr">
        <is>
          <t>VÄRMLANDS LÄN</t>
        </is>
      </c>
      <c r="E4245" t="inlineStr">
        <is>
          <t>KARLSTAD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16941-2021</t>
        </is>
      </c>
      <c r="B4246" s="1" t="n">
        <v>44295</v>
      </c>
      <c r="C4246" s="1" t="n">
        <v>45736</v>
      </c>
      <c r="D4246" t="inlineStr">
        <is>
          <t>VÄRMLANDS LÄN</t>
        </is>
      </c>
      <c r="E4246" t="inlineStr">
        <is>
          <t>ARVIKA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16981-2021</t>
        </is>
      </c>
      <c r="B4247" s="1" t="n">
        <v>44295</v>
      </c>
      <c r="C4247" s="1" t="n">
        <v>45736</v>
      </c>
      <c r="D4247" t="inlineStr">
        <is>
          <t>VÄRMLANDS LÄN</t>
        </is>
      </c>
      <c r="E4247" t="inlineStr">
        <is>
          <t>ARVIKA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17054-2021</t>
        </is>
      </c>
      <c r="B4248" s="1" t="n">
        <v>44296</v>
      </c>
      <c r="C4248" s="1" t="n">
        <v>45736</v>
      </c>
      <c r="D4248" t="inlineStr">
        <is>
          <t>VÄRMLANDS LÄN</t>
        </is>
      </c>
      <c r="E4248" t="inlineStr">
        <is>
          <t>SÄFFLE</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17067-2021</t>
        </is>
      </c>
      <c r="B4249" s="1" t="n">
        <v>44297</v>
      </c>
      <c r="C4249" s="1" t="n">
        <v>45736</v>
      </c>
      <c r="D4249" t="inlineStr">
        <is>
          <t>VÄRMLANDS LÄN</t>
        </is>
      </c>
      <c r="E4249" t="inlineStr">
        <is>
          <t>HAGFORS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17248-2021</t>
        </is>
      </c>
      <c r="B4250" s="1" t="n">
        <v>44298</v>
      </c>
      <c r="C4250" s="1" t="n">
        <v>45736</v>
      </c>
      <c r="D4250" t="inlineStr">
        <is>
          <t>VÄRMLANDS LÄN</t>
        </is>
      </c>
      <c r="E4250" t="inlineStr">
        <is>
          <t>ÅRJÄNG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17158-2021</t>
        </is>
      </c>
      <c r="B4251" s="1" t="n">
        <v>44298</v>
      </c>
      <c r="C4251" s="1" t="n">
        <v>45736</v>
      </c>
      <c r="D4251" t="inlineStr">
        <is>
          <t>VÄRMLANDS LÄN</t>
        </is>
      </c>
      <c r="E4251" t="inlineStr">
        <is>
          <t>ARVIKA</t>
        </is>
      </c>
      <c r="F4251" t="inlineStr">
        <is>
          <t>Bergvik skog väst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17178-2021</t>
        </is>
      </c>
      <c r="B4252" s="1" t="n">
        <v>44298</v>
      </c>
      <c r="C4252" s="1" t="n">
        <v>45736</v>
      </c>
      <c r="D4252" t="inlineStr">
        <is>
          <t>VÄRMLANDS LÄN</t>
        </is>
      </c>
      <c r="E4252" t="inlineStr">
        <is>
          <t>ÅRJÄNG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17249-2021</t>
        </is>
      </c>
      <c r="B4253" s="1" t="n">
        <v>44298</v>
      </c>
      <c r="C4253" s="1" t="n">
        <v>45736</v>
      </c>
      <c r="D4253" t="inlineStr">
        <is>
          <t>VÄRMLANDS LÄN</t>
        </is>
      </c>
      <c r="E4253" t="inlineStr">
        <is>
          <t>TORSBY</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17140-2021</t>
        </is>
      </c>
      <c r="B4254" s="1" t="n">
        <v>44298</v>
      </c>
      <c r="C4254" s="1" t="n">
        <v>45736</v>
      </c>
      <c r="D4254" t="inlineStr">
        <is>
          <t>VÄRMLANDS LÄN</t>
        </is>
      </c>
      <c r="E4254" t="inlineStr">
        <is>
          <t>ARVIKA</t>
        </is>
      </c>
      <c r="F4254" t="inlineStr">
        <is>
          <t>Bergvik skog väst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17162-2021</t>
        </is>
      </c>
      <c r="B4255" s="1" t="n">
        <v>44298</v>
      </c>
      <c r="C4255" s="1" t="n">
        <v>45736</v>
      </c>
      <c r="D4255" t="inlineStr">
        <is>
          <t>VÄRMLANDS LÄN</t>
        </is>
      </c>
      <c r="E4255" t="inlineStr">
        <is>
          <t>EDA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17208-2021</t>
        </is>
      </c>
      <c r="B4256" s="1" t="n">
        <v>44298</v>
      </c>
      <c r="C4256" s="1" t="n">
        <v>45736</v>
      </c>
      <c r="D4256" t="inlineStr">
        <is>
          <t>VÄRMLANDS LÄN</t>
        </is>
      </c>
      <c r="E4256" t="inlineStr">
        <is>
          <t>KARLSTAD</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17559-2021</t>
        </is>
      </c>
      <c r="B4257" s="1" t="n">
        <v>44299</v>
      </c>
      <c r="C4257" s="1" t="n">
        <v>45736</v>
      </c>
      <c r="D4257" t="inlineStr">
        <is>
          <t>VÄRMLANDS LÄN</t>
        </is>
      </c>
      <c r="E4257" t="inlineStr">
        <is>
          <t>KIL</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17664-2021</t>
        </is>
      </c>
      <c r="B4258" s="1" t="n">
        <v>44299</v>
      </c>
      <c r="C4258" s="1" t="n">
        <v>45736</v>
      </c>
      <c r="D4258" t="inlineStr">
        <is>
          <t>VÄRMLANDS LÄN</t>
        </is>
      </c>
      <c r="E4258" t="inlineStr">
        <is>
          <t>GRUMS</t>
        </is>
      </c>
      <c r="F4258" t="inlineStr">
        <is>
          <t>Bergvik skog väst AB</t>
        </is>
      </c>
      <c r="G4258" t="n">
        <v>17.3</v>
      </c>
      <c r="H4258" t="n">
        <v>0</v>
      </c>
      <c r="I4258" t="n">
        <v>0</v>
      </c>
      <c r="J4258" t="n">
        <v>0</v>
      </c>
      <c r="K4258" t="n">
        <v>0</v>
      </c>
      <c r="L4258" t="n">
        <v>0</v>
      </c>
      <c r="M4258" t="n">
        <v>0</v>
      </c>
      <c r="N4258" t="n">
        <v>0</v>
      </c>
      <c r="O4258" t="n">
        <v>0</v>
      </c>
      <c r="P4258" t="n">
        <v>0</v>
      </c>
      <c r="Q4258" t="n">
        <v>0</v>
      </c>
      <c r="R4258" s="2" t="inlineStr"/>
    </row>
    <row r="4259" ht="15" customHeight="1">
      <c r="A4259" t="inlineStr">
        <is>
          <t>A 17665-2021</t>
        </is>
      </c>
      <c r="B4259" s="1" t="n">
        <v>44299</v>
      </c>
      <c r="C4259" s="1" t="n">
        <v>45736</v>
      </c>
      <c r="D4259" t="inlineStr">
        <is>
          <t>VÄRMLANDS LÄN</t>
        </is>
      </c>
      <c r="E4259" t="inlineStr">
        <is>
          <t>SÄFFLE</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17625-2021</t>
        </is>
      </c>
      <c r="B4260" s="1" t="n">
        <v>44299</v>
      </c>
      <c r="C4260" s="1" t="n">
        <v>45736</v>
      </c>
      <c r="D4260" t="inlineStr">
        <is>
          <t>VÄRMLANDS LÄN</t>
        </is>
      </c>
      <c r="E4260" t="inlineStr">
        <is>
          <t>STORFORS</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17809-2021</t>
        </is>
      </c>
      <c r="B4261" s="1" t="n">
        <v>44300</v>
      </c>
      <c r="C4261" s="1" t="n">
        <v>45736</v>
      </c>
      <c r="D4261" t="inlineStr">
        <is>
          <t>VÄRMLANDS LÄN</t>
        </is>
      </c>
      <c r="E4261" t="inlineStr">
        <is>
          <t>FILIPSTAD</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17807-2021</t>
        </is>
      </c>
      <c r="B4262" s="1" t="n">
        <v>44300</v>
      </c>
      <c r="C4262" s="1" t="n">
        <v>45736</v>
      </c>
      <c r="D4262" t="inlineStr">
        <is>
          <t>VÄRMLANDS LÄN</t>
        </is>
      </c>
      <c r="E4262" t="inlineStr">
        <is>
          <t>FILIPSTAD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17813-2021</t>
        </is>
      </c>
      <c r="B4263" s="1" t="n">
        <v>44300</v>
      </c>
      <c r="C4263" s="1" t="n">
        <v>45736</v>
      </c>
      <c r="D4263" t="inlineStr">
        <is>
          <t>VÄRMLANDS LÄN</t>
        </is>
      </c>
      <c r="E4263" t="inlineStr">
        <is>
          <t>FILIPSTAD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17941-2021</t>
        </is>
      </c>
      <c r="B4264" s="1" t="n">
        <v>44301</v>
      </c>
      <c r="C4264" s="1" t="n">
        <v>45736</v>
      </c>
      <c r="D4264" t="inlineStr">
        <is>
          <t>VÄRMLANDS LÄN</t>
        </is>
      </c>
      <c r="E4264" t="inlineStr">
        <is>
          <t>TORSBY</t>
        </is>
      </c>
      <c r="F4264" t="inlineStr">
        <is>
          <t>Kommuner</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17962-2021</t>
        </is>
      </c>
      <c r="B4265" s="1" t="n">
        <v>44301</v>
      </c>
      <c r="C4265" s="1" t="n">
        <v>45736</v>
      </c>
      <c r="D4265" t="inlineStr">
        <is>
          <t>VÄRMLANDS LÄN</t>
        </is>
      </c>
      <c r="E4265" t="inlineStr">
        <is>
          <t>TORSBY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17927-2021</t>
        </is>
      </c>
      <c r="B4266" s="1" t="n">
        <v>44301</v>
      </c>
      <c r="C4266" s="1" t="n">
        <v>45736</v>
      </c>
      <c r="D4266" t="inlineStr">
        <is>
          <t>VÄRMLANDS LÄN</t>
        </is>
      </c>
      <c r="E4266" t="inlineStr">
        <is>
          <t>ÅRJÄNG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17878-2021</t>
        </is>
      </c>
      <c r="B4267" s="1" t="n">
        <v>44301</v>
      </c>
      <c r="C4267" s="1" t="n">
        <v>45736</v>
      </c>
      <c r="D4267" t="inlineStr">
        <is>
          <t>VÄRMLANDS LÄN</t>
        </is>
      </c>
      <c r="E4267" t="inlineStr">
        <is>
          <t>SUNNE</t>
        </is>
      </c>
      <c r="G4267" t="n">
        <v>12.2</v>
      </c>
      <c r="H4267" t="n">
        <v>0</v>
      </c>
      <c r="I4267" t="n">
        <v>0</v>
      </c>
      <c r="J4267" t="n">
        <v>0</v>
      </c>
      <c r="K4267" t="n">
        <v>0</v>
      </c>
      <c r="L4267" t="n">
        <v>0</v>
      </c>
      <c r="M4267" t="n">
        <v>0</v>
      </c>
      <c r="N4267" t="n">
        <v>0</v>
      </c>
      <c r="O4267" t="n">
        <v>0</v>
      </c>
      <c r="P4267" t="n">
        <v>0</v>
      </c>
      <c r="Q4267" t="n">
        <v>0</v>
      </c>
      <c r="R4267" s="2" t="inlineStr"/>
    </row>
    <row r="4268" ht="15" customHeight="1">
      <c r="A4268" t="inlineStr">
        <is>
          <t>A 17940-2021</t>
        </is>
      </c>
      <c r="B4268" s="1" t="n">
        <v>44301</v>
      </c>
      <c r="C4268" s="1" t="n">
        <v>45736</v>
      </c>
      <c r="D4268" t="inlineStr">
        <is>
          <t>VÄRMLANDS LÄN</t>
        </is>
      </c>
      <c r="E4268" t="inlineStr">
        <is>
          <t>SÄFFLE</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17892-2021</t>
        </is>
      </c>
      <c r="B4269" s="1" t="n">
        <v>44301</v>
      </c>
      <c r="C4269" s="1" t="n">
        <v>45736</v>
      </c>
      <c r="D4269" t="inlineStr">
        <is>
          <t>VÄRMLANDS LÄN</t>
        </is>
      </c>
      <c r="E4269" t="inlineStr">
        <is>
          <t>ÅRJÄNG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17944-2021</t>
        </is>
      </c>
      <c r="B4270" s="1" t="n">
        <v>44301</v>
      </c>
      <c r="C4270" s="1" t="n">
        <v>45736</v>
      </c>
      <c r="D4270" t="inlineStr">
        <is>
          <t>VÄRMLANDS LÄN</t>
        </is>
      </c>
      <c r="E4270" t="inlineStr">
        <is>
          <t>TORSBY</t>
        </is>
      </c>
      <c r="F4270" t="inlineStr">
        <is>
          <t>Kommuner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23524-2021</t>
        </is>
      </c>
      <c r="B4271" s="1" t="n">
        <v>44301</v>
      </c>
      <c r="C4271" s="1" t="n">
        <v>45736</v>
      </c>
      <c r="D4271" t="inlineStr">
        <is>
          <t>VÄRMLANDS LÄN</t>
        </is>
      </c>
      <c r="E4271" t="inlineStr">
        <is>
          <t>TORSBY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18174-2021</t>
        </is>
      </c>
      <c r="B4272" s="1" t="n">
        <v>44302</v>
      </c>
      <c r="C4272" s="1" t="n">
        <v>45736</v>
      </c>
      <c r="D4272" t="inlineStr">
        <is>
          <t>VÄRMLANDS LÄN</t>
        </is>
      </c>
      <c r="E4272" t="inlineStr">
        <is>
          <t>TORSBY</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18033-2021</t>
        </is>
      </c>
      <c r="B4273" s="1" t="n">
        <v>44302</v>
      </c>
      <c r="C4273" s="1" t="n">
        <v>45736</v>
      </c>
      <c r="D4273" t="inlineStr">
        <is>
          <t>VÄRMLANDS LÄN</t>
        </is>
      </c>
      <c r="E4273" t="inlineStr">
        <is>
          <t>TORSBY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18044-2021</t>
        </is>
      </c>
      <c r="B4274" s="1" t="n">
        <v>44302</v>
      </c>
      <c r="C4274" s="1" t="n">
        <v>45736</v>
      </c>
      <c r="D4274" t="inlineStr">
        <is>
          <t>VÄRMLANDS LÄN</t>
        </is>
      </c>
      <c r="E4274" t="inlineStr">
        <is>
          <t>SÄFFLE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18235-2021</t>
        </is>
      </c>
      <c r="B4275" s="1" t="n">
        <v>44303</v>
      </c>
      <c r="C4275" s="1" t="n">
        <v>45736</v>
      </c>
      <c r="D4275" t="inlineStr">
        <is>
          <t>VÄRMLANDS LÄN</t>
        </is>
      </c>
      <c r="E4275" t="inlineStr">
        <is>
          <t>FILIPSTAD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18232-2021</t>
        </is>
      </c>
      <c r="B4276" s="1" t="n">
        <v>44303</v>
      </c>
      <c r="C4276" s="1" t="n">
        <v>45736</v>
      </c>
      <c r="D4276" t="inlineStr">
        <is>
          <t>VÄRMLANDS LÄN</t>
        </is>
      </c>
      <c r="E4276" t="inlineStr">
        <is>
          <t>KRISTINEHAMN</t>
        </is>
      </c>
      <c r="F4276" t="inlineStr">
        <is>
          <t>Kommuner</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18354-2021</t>
        </is>
      </c>
      <c r="B4277" s="1" t="n">
        <v>44305</v>
      </c>
      <c r="C4277" s="1" t="n">
        <v>45736</v>
      </c>
      <c r="D4277" t="inlineStr">
        <is>
          <t>VÄRMLANDS LÄN</t>
        </is>
      </c>
      <c r="E4277" t="inlineStr">
        <is>
          <t>TORSBY</t>
        </is>
      </c>
      <c r="F4277" t="inlineStr">
        <is>
          <t>Kommuner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18344-2021</t>
        </is>
      </c>
      <c r="B4278" s="1" t="n">
        <v>44305</v>
      </c>
      <c r="C4278" s="1" t="n">
        <v>45736</v>
      </c>
      <c r="D4278" t="inlineStr">
        <is>
          <t>VÄRMLANDS LÄN</t>
        </is>
      </c>
      <c r="E4278" t="inlineStr">
        <is>
          <t>TORSBY</t>
        </is>
      </c>
      <c r="F4278" t="inlineStr">
        <is>
          <t>Kommuner</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18349-2021</t>
        </is>
      </c>
      <c r="B4279" s="1" t="n">
        <v>44305</v>
      </c>
      <c r="C4279" s="1" t="n">
        <v>45736</v>
      </c>
      <c r="D4279" t="inlineStr">
        <is>
          <t>VÄRMLANDS LÄN</t>
        </is>
      </c>
      <c r="E4279" t="inlineStr">
        <is>
          <t>TORSBY</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18499-2021</t>
        </is>
      </c>
      <c r="B4280" s="1" t="n">
        <v>44306</v>
      </c>
      <c r="C4280" s="1" t="n">
        <v>45736</v>
      </c>
      <c r="D4280" t="inlineStr">
        <is>
          <t>VÄRMLANDS LÄN</t>
        </is>
      </c>
      <c r="E4280" t="inlineStr">
        <is>
          <t>SUNNE</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18661-2021</t>
        </is>
      </c>
      <c r="B4281" s="1" t="n">
        <v>44306</v>
      </c>
      <c r="C4281" s="1" t="n">
        <v>45736</v>
      </c>
      <c r="D4281" t="inlineStr">
        <is>
          <t>VÄRMLANDS LÄN</t>
        </is>
      </c>
      <c r="E4281" t="inlineStr">
        <is>
          <t>ÅRJÄNG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18560-2021</t>
        </is>
      </c>
      <c r="B4282" s="1" t="n">
        <v>44306</v>
      </c>
      <c r="C4282" s="1" t="n">
        <v>45736</v>
      </c>
      <c r="D4282" t="inlineStr">
        <is>
          <t>VÄRMLANDS LÄN</t>
        </is>
      </c>
      <c r="E4282" t="inlineStr">
        <is>
          <t>TORSBY</t>
        </is>
      </c>
      <c r="F4282" t="inlineStr">
        <is>
          <t>Kommuner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18755-2021</t>
        </is>
      </c>
      <c r="B4283" s="1" t="n">
        <v>44307</v>
      </c>
      <c r="C4283" s="1" t="n">
        <v>45736</v>
      </c>
      <c r="D4283" t="inlineStr">
        <is>
          <t>VÄRMLANDS LÄN</t>
        </is>
      </c>
      <c r="E4283" t="inlineStr">
        <is>
          <t>KARLSTAD</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18772-2021</t>
        </is>
      </c>
      <c r="B4284" s="1" t="n">
        <v>44307</v>
      </c>
      <c r="C4284" s="1" t="n">
        <v>45736</v>
      </c>
      <c r="D4284" t="inlineStr">
        <is>
          <t>VÄRMLANDS LÄN</t>
        </is>
      </c>
      <c r="E4284" t="inlineStr">
        <is>
          <t>SÄFFLE</t>
        </is>
      </c>
      <c r="F4284" t="inlineStr">
        <is>
          <t>Bergvik skog väst AB</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18978-2021</t>
        </is>
      </c>
      <c r="B4285" s="1" t="n">
        <v>44308</v>
      </c>
      <c r="C4285" s="1" t="n">
        <v>45736</v>
      </c>
      <c r="D4285" t="inlineStr">
        <is>
          <t>VÄRMLANDS LÄN</t>
        </is>
      </c>
      <c r="E4285" t="inlineStr">
        <is>
          <t>MUNKFORS</t>
        </is>
      </c>
      <c r="F4285" t="inlineStr">
        <is>
          <t>Bergvik skog väst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18903-2021</t>
        </is>
      </c>
      <c r="B4286" s="1" t="n">
        <v>44308</v>
      </c>
      <c r="C4286" s="1" t="n">
        <v>45736</v>
      </c>
      <c r="D4286" t="inlineStr">
        <is>
          <t>VÄRMLANDS LÄN</t>
        </is>
      </c>
      <c r="E4286" t="inlineStr">
        <is>
          <t>ÅRJÄNG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19031-2021</t>
        </is>
      </c>
      <c r="B4287" s="1" t="n">
        <v>44308</v>
      </c>
      <c r="C4287" s="1" t="n">
        <v>45736</v>
      </c>
      <c r="D4287" t="inlineStr">
        <is>
          <t>VÄRMLANDS LÄN</t>
        </is>
      </c>
      <c r="E4287" t="inlineStr">
        <is>
          <t>TORSBY</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19193-2021</t>
        </is>
      </c>
      <c r="B4288" s="1" t="n">
        <v>44308</v>
      </c>
      <c r="C4288" s="1" t="n">
        <v>45736</v>
      </c>
      <c r="D4288" t="inlineStr">
        <is>
          <t>VÄRMLANDS LÄN</t>
        </is>
      </c>
      <c r="E4288" t="inlineStr">
        <is>
          <t>HAGFORS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19244-2021</t>
        </is>
      </c>
      <c r="B4289" s="1" t="n">
        <v>44309</v>
      </c>
      <c r="C4289" s="1" t="n">
        <v>45736</v>
      </c>
      <c r="D4289" t="inlineStr">
        <is>
          <t>VÄRMLANDS LÄN</t>
        </is>
      </c>
      <c r="E4289" t="inlineStr">
        <is>
          <t>ÅRJÄNG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19272-2021</t>
        </is>
      </c>
      <c r="B4290" s="1" t="n">
        <v>44309</v>
      </c>
      <c r="C4290" s="1" t="n">
        <v>45736</v>
      </c>
      <c r="D4290" t="inlineStr">
        <is>
          <t>VÄRMLANDS LÄN</t>
        </is>
      </c>
      <c r="E4290" t="inlineStr">
        <is>
          <t>HAGFORS</t>
        </is>
      </c>
      <c r="F4290" t="inlineStr">
        <is>
          <t>Bergvik skog väst AB</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19349-2021</t>
        </is>
      </c>
      <c r="B4291" s="1" t="n">
        <v>44309</v>
      </c>
      <c r="C4291" s="1" t="n">
        <v>45736</v>
      </c>
      <c r="D4291" t="inlineStr">
        <is>
          <t>VÄRMLANDS LÄN</t>
        </is>
      </c>
      <c r="E4291" t="inlineStr">
        <is>
          <t>KRISTINEHAMN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19374-2021</t>
        </is>
      </c>
      <c r="B4292" s="1" t="n">
        <v>44309</v>
      </c>
      <c r="C4292" s="1" t="n">
        <v>45736</v>
      </c>
      <c r="D4292" t="inlineStr">
        <is>
          <t>VÄRMLANDS LÄN</t>
        </is>
      </c>
      <c r="E4292" t="inlineStr">
        <is>
          <t>SUNNE</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19338-2021</t>
        </is>
      </c>
      <c r="B4293" s="1" t="n">
        <v>44309</v>
      </c>
      <c r="C4293" s="1" t="n">
        <v>45736</v>
      </c>
      <c r="D4293" t="inlineStr">
        <is>
          <t>VÄRMLANDS LÄN</t>
        </is>
      </c>
      <c r="E4293" t="inlineStr">
        <is>
          <t>TORSBY</t>
        </is>
      </c>
      <c r="F4293" t="inlineStr">
        <is>
          <t>Bergvik skog väst AB</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19375-2021</t>
        </is>
      </c>
      <c r="B4294" s="1" t="n">
        <v>44309</v>
      </c>
      <c r="C4294" s="1" t="n">
        <v>45736</v>
      </c>
      <c r="D4294" t="inlineStr">
        <is>
          <t>VÄRMLANDS LÄN</t>
        </is>
      </c>
      <c r="E4294" t="inlineStr">
        <is>
          <t>TORSBY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19458-2021</t>
        </is>
      </c>
      <c r="B4295" s="1" t="n">
        <v>44311</v>
      </c>
      <c r="C4295" s="1" t="n">
        <v>45736</v>
      </c>
      <c r="D4295" t="inlineStr">
        <is>
          <t>VÄRMLANDS LÄN</t>
        </is>
      </c>
      <c r="E4295" t="inlineStr">
        <is>
          <t>ÅRJÄNG</t>
        </is>
      </c>
      <c r="G4295" t="n">
        <v>15.6</v>
      </c>
      <c r="H4295" t="n">
        <v>0</v>
      </c>
      <c r="I4295" t="n">
        <v>0</v>
      </c>
      <c r="J4295" t="n">
        <v>0</v>
      </c>
      <c r="K4295" t="n">
        <v>0</v>
      </c>
      <c r="L4295" t="n">
        <v>0</v>
      </c>
      <c r="M4295" t="n">
        <v>0</v>
      </c>
      <c r="N4295" t="n">
        <v>0</v>
      </c>
      <c r="O4295" t="n">
        <v>0</v>
      </c>
      <c r="P4295" t="n">
        <v>0</v>
      </c>
      <c r="Q4295" t="n">
        <v>0</v>
      </c>
      <c r="R4295" s="2" t="inlineStr"/>
    </row>
    <row r="4296" ht="15" customHeight="1">
      <c r="A4296" t="inlineStr">
        <is>
          <t>A 19464-2021</t>
        </is>
      </c>
      <c r="B4296" s="1" t="n">
        <v>44311</v>
      </c>
      <c r="C4296" s="1" t="n">
        <v>45736</v>
      </c>
      <c r="D4296" t="inlineStr">
        <is>
          <t>VÄRMLANDS LÄN</t>
        </is>
      </c>
      <c r="E4296" t="inlineStr">
        <is>
          <t>STORFORS</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20182-2021</t>
        </is>
      </c>
      <c r="B4297" s="1" t="n">
        <v>44312</v>
      </c>
      <c r="C4297" s="1" t="n">
        <v>45736</v>
      </c>
      <c r="D4297" t="inlineStr">
        <is>
          <t>VÄRMLANDS LÄN</t>
        </is>
      </c>
      <c r="E4297" t="inlineStr">
        <is>
          <t>TORSBY</t>
        </is>
      </c>
      <c r="G4297" t="n">
        <v>14.4</v>
      </c>
      <c r="H4297" t="n">
        <v>0</v>
      </c>
      <c r="I4297" t="n">
        <v>0</v>
      </c>
      <c r="J4297" t="n">
        <v>0</v>
      </c>
      <c r="K4297" t="n">
        <v>0</v>
      </c>
      <c r="L4297" t="n">
        <v>0</v>
      </c>
      <c r="M4297" t="n">
        <v>0</v>
      </c>
      <c r="N4297" t="n">
        <v>0</v>
      </c>
      <c r="O4297" t="n">
        <v>0</v>
      </c>
      <c r="P4297" t="n">
        <v>0</v>
      </c>
      <c r="Q4297" t="n">
        <v>0</v>
      </c>
      <c r="R4297" s="2" t="inlineStr"/>
    </row>
    <row r="4298" ht="15" customHeight="1">
      <c r="A4298" t="inlineStr">
        <is>
          <t>A 19484-2021</t>
        </is>
      </c>
      <c r="B4298" s="1" t="n">
        <v>44312</v>
      </c>
      <c r="C4298" s="1" t="n">
        <v>45736</v>
      </c>
      <c r="D4298" t="inlineStr">
        <is>
          <t>VÄRMLANDS LÄN</t>
        </is>
      </c>
      <c r="E4298" t="inlineStr">
        <is>
          <t>ARVIKA</t>
        </is>
      </c>
      <c r="G4298" t="n">
        <v>11.3</v>
      </c>
      <c r="H4298" t="n">
        <v>0</v>
      </c>
      <c r="I4298" t="n">
        <v>0</v>
      </c>
      <c r="J4298" t="n">
        <v>0</v>
      </c>
      <c r="K4298" t="n">
        <v>0</v>
      </c>
      <c r="L4298" t="n">
        <v>0</v>
      </c>
      <c r="M4298" t="n">
        <v>0</v>
      </c>
      <c r="N4298" t="n">
        <v>0</v>
      </c>
      <c r="O4298" t="n">
        <v>0</v>
      </c>
      <c r="P4298" t="n">
        <v>0</v>
      </c>
      <c r="Q4298" t="n">
        <v>0</v>
      </c>
      <c r="R4298" s="2" t="inlineStr"/>
    </row>
    <row r="4299" ht="15" customHeight="1">
      <c r="A4299" t="inlineStr">
        <is>
          <t>A 19489-2021</t>
        </is>
      </c>
      <c r="B4299" s="1" t="n">
        <v>44312</v>
      </c>
      <c r="C4299" s="1" t="n">
        <v>45736</v>
      </c>
      <c r="D4299" t="inlineStr">
        <is>
          <t>VÄRMLANDS LÄN</t>
        </is>
      </c>
      <c r="E4299" t="inlineStr">
        <is>
          <t>SUNNE</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19549-2021</t>
        </is>
      </c>
      <c r="B4300" s="1" t="n">
        <v>44312</v>
      </c>
      <c r="C4300" s="1" t="n">
        <v>45736</v>
      </c>
      <c r="D4300" t="inlineStr">
        <is>
          <t>VÄRMLANDS LÄN</t>
        </is>
      </c>
      <c r="E4300" t="inlineStr">
        <is>
          <t>SUNNE</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19486-2021</t>
        </is>
      </c>
      <c r="B4301" s="1" t="n">
        <v>44312</v>
      </c>
      <c r="C4301" s="1" t="n">
        <v>45736</v>
      </c>
      <c r="D4301" t="inlineStr">
        <is>
          <t>VÄRMLANDS LÄN</t>
        </is>
      </c>
      <c r="E4301" t="inlineStr">
        <is>
          <t>ARVIKA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20199-2021</t>
        </is>
      </c>
      <c r="B4302" s="1" t="n">
        <v>44312</v>
      </c>
      <c r="C4302" s="1" t="n">
        <v>45736</v>
      </c>
      <c r="D4302" t="inlineStr">
        <is>
          <t>VÄRMLANDS LÄN</t>
        </is>
      </c>
      <c r="E4302" t="inlineStr">
        <is>
          <t>TORSBY</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20170-2021</t>
        </is>
      </c>
      <c r="B4303" s="1" t="n">
        <v>44312</v>
      </c>
      <c r="C4303" s="1" t="n">
        <v>45736</v>
      </c>
      <c r="D4303" t="inlineStr">
        <is>
          <t>VÄRMLANDS LÄN</t>
        </is>
      </c>
      <c r="E4303" t="inlineStr">
        <is>
          <t>TORSBY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19508-2021</t>
        </is>
      </c>
      <c r="B4304" s="1" t="n">
        <v>44312</v>
      </c>
      <c r="C4304" s="1" t="n">
        <v>45736</v>
      </c>
      <c r="D4304" t="inlineStr">
        <is>
          <t>VÄRMLANDS LÄN</t>
        </is>
      </c>
      <c r="E4304" t="inlineStr">
        <is>
          <t>GRUMS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19864-2021</t>
        </is>
      </c>
      <c r="B4305" s="1" t="n">
        <v>44313</v>
      </c>
      <c r="C4305" s="1" t="n">
        <v>45736</v>
      </c>
      <c r="D4305" t="inlineStr">
        <is>
          <t>VÄRMLANDS LÄN</t>
        </is>
      </c>
      <c r="E4305" t="inlineStr">
        <is>
          <t>SUNNE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19877-2021</t>
        </is>
      </c>
      <c r="B4306" s="1" t="n">
        <v>44313</v>
      </c>
      <c r="C4306" s="1" t="n">
        <v>45736</v>
      </c>
      <c r="D4306" t="inlineStr">
        <is>
          <t>VÄRMLANDS LÄN</t>
        </is>
      </c>
      <c r="E4306" t="inlineStr">
        <is>
          <t>TORSBY</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19870-2021</t>
        </is>
      </c>
      <c r="B4307" s="1" t="n">
        <v>44313</v>
      </c>
      <c r="C4307" s="1" t="n">
        <v>45736</v>
      </c>
      <c r="D4307" t="inlineStr">
        <is>
          <t>VÄRMLANDS LÄN</t>
        </is>
      </c>
      <c r="E4307" t="inlineStr">
        <is>
          <t>SUNNE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19826-2021</t>
        </is>
      </c>
      <c r="B4308" s="1" t="n">
        <v>44313</v>
      </c>
      <c r="C4308" s="1" t="n">
        <v>45736</v>
      </c>
      <c r="D4308" t="inlineStr">
        <is>
          <t>VÄRMLANDS LÄN</t>
        </is>
      </c>
      <c r="E4308" t="inlineStr">
        <is>
          <t>ARVIKA</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19974-2021</t>
        </is>
      </c>
      <c r="B4309" s="1" t="n">
        <v>44313</v>
      </c>
      <c r="C4309" s="1" t="n">
        <v>45736</v>
      </c>
      <c r="D4309" t="inlineStr">
        <is>
          <t>VÄRMLANDS LÄN</t>
        </is>
      </c>
      <c r="E4309" t="inlineStr">
        <is>
          <t>TORSBY</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20103-2021</t>
        </is>
      </c>
      <c r="B4310" s="1" t="n">
        <v>44314</v>
      </c>
      <c r="C4310" s="1" t="n">
        <v>45736</v>
      </c>
      <c r="D4310" t="inlineStr">
        <is>
          <t>VÄRMLANDS LÄN</t>
        </is>
      </c>
      <c r="E4310" t="inlineStr">
        <is>
          <t>FORSHAGA</t>
        </is>
      </c>
      <c r="F4310" t="inlineStr">
        <is>
          <t>Bergvik skog väst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20139-2021</t>
        </is>
      </c>
      <c r="B4311" s="1" t="n">
        <v>44314</v>
      </c>
      <c r="C4311" s="1" t="n">
        <v>45736</v>
      </c>
      <c r="D4311" t="inlineStr">
        <is>
          <t>VÄRMLANDS LÄN</t>
        </is>
      </c>
      <c r="E4311" t="inlineStr">
        <is>
          <t>KIL</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20122-2021</t>
        </is>
      </c>
      <c r="B4312" s="1" t="n">
        <v>44314</v>
      </c>
      <c r="C4312" s="1" t="n">
        <v>45736</v>
      </c>
      <c r="D4312" t="inlineStr">
        <is>
          <t>VÄRMLANDS LÄN</t>
        </is>
      </c>
      <c r="E4312" t="inlineStr">
        <is>
          <t>TORSBY</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21233-2021</t>
        </is>
      </c>
      <c r="B4313" s="1" t="n">
        <v>44314</v>
      </c>
      <c r="C4313" s="1" t="n">
        <v>45736</v>
      </c>
      <c r="D4313" t="inlineStr">
        <is>
          <t>VÄRMLANDS LÄN</t>
        </is>
      </c>
      <c r="E4313" t="inlineStr">
        <is>
          <t>KIL</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20357-2021</t>
        </is>
      </c>
      <c r="B4314" s="1" t="n">
        <v>44315</v>
      </c>
      <c r="C4314" s="1" t="n">
        <v>45736</v>
      </c>
      <c r="D4314" t="inlineStr">
        <is>
          <t>VÄRMLANDS LÄN</t>
        </is>
      </c>
      <c r="E4314" t="inlineStr">
        <is>
          <t>KIL</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20311-2021</t>
        </is>
      </c>
      <c r="B4315" s="1" t="n">
        <v>44315</v>
      </c>
      <c r="C4315" s="1" t="n">
        <v>45736</v>
      </c>
      <c r="D4315" t="inlineStr">
        <is>
          <t>VÄRMLANDS LÄN</t>
        </is>
      </c>
      <c r="E4315" t="inlineStr">
        <is>
          <t>KIL</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20346-2021</t>
        </is>
      </c>
      <c r="B4316" s="1" t="n">
        <v>44315</v>
      </c>
      <c r="C4316" s="1" t="n">
        <v>45736</v>
      </c>
      <c r="D4316" t="inlineStr">
        <is>
          <t>VÄRMLANDS LÄN</t>
        </is>
      </c>
      <c r="E4316" t="inlineStr">
        <is>
          <t>ARVIKA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20637-2021</t>
        </is>
      </c>
      <c r="B4317" s="1" t="n">
        <v>44316</v>
      </c>
      <c r="C4317" s="1" t="n">
        <v>45736</v>
      </c>
      <c r="D4317" t="inlineStr">
        <is>
          <t>VÄRMLANDS LÄN</t>
        </is>
      </c>
      <c r="E4317" t="inlineStr">
        <is>
          <t>SUNNE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20778-2021</t>
        </is>
      </c>
      <c r="B4318" s="1" t="n">
        <v>44316</v>
      </c>
      <c r="C4318" s="1" t="n">
        <v>45736</v>
      </c>
      <c r="D4318" t="inlineStr">
        <is>
          <t>VÄRMLANDS LÄN</t>
        </is>
      </c>
      <c r="E4318" t="inlineStr">
        <is>
          <t>HAGFORS</t>
        </is>
      </c>
      <c r="F4318" t="inlineStr">
        <is>
          <t>Bergvik skog väst AB</t>
        </is>
      </c>
      <c r="G4318" t="n">
        <v>14.1</v>
      </c>
      <c r="H4318" t="n">
        <v>0</v>
      </c>
      <c r="I4318" t="n">
        <v>0</v>
      </c>
      <c r="J4318" t="n">
        <v>0</v>
      </c>
      <c r="K4318" t="n">
        <v>0</v>
      </c>
      <c r="L4318" t="n">
        <v>0</v>
      </c>
      <c r="M4318" t="n">
        <v>0</v>
      </c>
      <c r="N4318" t="n">
        <v>0</v>
      </c>
      <c r="O4318" t="n">
        <v>0</v>
      </c>
      <c r="P4318" t="n">
        <v>0</v>
      </c>
      <c r="Q4318" t="n">
        <v>0</v>
      </c>
      <c r="R4318" s="2" t="inlineStr"/>
    </row>
    <row r="4319" ht="15" customHeight="1">
      <c r="A4319" t="inlineStr">
        <is>
          <t>A 20684-2021</t>
        </is>
      </c>
      <c r="B4319" s="1" t="n">
        <v>44316</v>
      </c>
      <c r="C4319" s="1" t="n">
        <v>45736</v>
      </c>
      <c r="D4319" t="inlineStr">
        <is>
          <t>VÄRMLANDS LÄN</t>
        </is>
      </c>
      <c r="E4319" t="inlineStr">
        <is>
          <t>SÄFFLE</t>
        </is>
      </c>
      <c r="F4319" t="inlineStr">
        <is>
          <t>Bergvik skog väst AB</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20755-2021</t>
        </is>
      </c>
      <c r="B4320" s="1" t="n">
        <v>44316</v>
      </c>
      <c r="C4320" s="1" t="n">
        <v>45736</v>
      </c>
      <c r="D4320" t="inlineStr">
        <is>
          <t>VÄRMLANDS LÄN</t>
        </is>
      </c>
      <c r="E4320" t="inlineStr">
        <is>
          <t>HAMMARÖ</t>
        </is>
      </c>
      <c r="G4320" t="n">
        <v>16.8</v>
      </c>
      <c r="H4320" t="n">
        <v>0</v>
      </c>
      <c r="I4320" t="n">
        <v>0</v>
      </c>
      <c r="J4320" t="n">
        <v>0</v>
      </c>
      <c r="K4320" t="n">
        <v>0</v>
      </c>
      <c r="L4320" t="n">
        <v>0</v>
      </c>
      <c r="M4320" t="n">
        <v>0</v>
      </c>
      <c r="N4320" t="n">
        <v>0</v>
      </c>
      <c r="O4320" t="n">
        <v>0</v>
      </c>
      <c r="P4320" t="n">
        <v>0</v>
      </c>
      <c r="Q4320" t="n">
        <v>0</v>
      </c>
      <c r="R4320" s="2" t="inlineStr"/>
    </row>
    <row r="4321" ht="15" customHeight="1">
      <c r="A4321" t="inlineStr">
        <is>
          <t>A 20800-2021</t>
        </is>
      </c>
      <c r="B4321" s="1" t="n">
        <v>44316</v>
      </c>
      <c r="C4321" s="1" t="n">
        <v>45736</v>
      </c>
      <c r="D4321" t="inlineStr">
        <is>
          <t>VÄRMLANDS LÄN</t>
        </is>
      </c>
      <c r="E4321" t="inlineStr">
        <is>
          <t>SUNNE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20931-2021</t>
        </is>
      </c>
      <c r="B4322" s="1" t="n">
        <v>44319</v>
      </c>
      <c r="C4322" s="1" t="n">
        <v>45736</v>
      </c>
      <c r="D4322" t="inlineStr">
        <is>
          <t>VÄRMLANDS LÄN</t>
        </is>
      </c>
      <c r="E4322" t="inlineStr">
        <is>
          <t>SÄFFLE</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20954-2021</t>
        </is>
      </c>
      <c r="B4323" s="1" t="n">
        <v>44319</v>
      </c>
      <c r="C4323" s="1" t="n">
        <v>45736</v>
      </c>
      <c r="D4323" t="inlineStr">
        <is>
          <t>VÄRMLANDS LÄN</t>
        </is>
      </c>
      <c r="E4323" t="inlineStr">
        <is>
          <t>FILIPSTAD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21031-2021</t>
        </is>
      </c>
      <c r="B4324" s="1" t="n">
        <v>44319</v>
      </c>
      <c r="C4324" s="1" t="n">
        <v>45736</v>
      </c>
      <c r="D4324" t="inlineStr">
        <is>
          <t>VÄRMLANDS LÄN</t>
        </is>
      </c>
      <c r="E4324" t="inlineStr">
        <is>
          <t>TORSBY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21071-2021</t>
        </is>
      </c>
      <c r="B4325" s="1" t="n">
        <v>44319</v>
      </c>
      <c r="C4325" s="1" t="n">
        <v>45736</v>
      </c>
      <c r="D4325" t="inlineStr">
        <is>
          <t>VÄRMLANDS LÄN</t>
        </is>
      </c>
      <c r="E4325" t="inlineStr">
        <is>
          <t>SUNNE</t>
        </is>
      </c>
      <c r="F4325" t="inlineStr">
        <is>
          <t>Övriga Aktiebolag</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21072-2021</t>
        </is>
      </c>
      <c r="B4326" s="1" t="n">
        <v>44319</v>
      </c>
      <c r="C4326" s="1" t="n">
        <v>45736</v>
      </c>
      <c r="D4326" t="inlineStr">
        <is>
          <t>VÄRMLANDS LÄN</t>
        </is>
      </c>
      <c r="E4326" t="inlineStr">
        <is>
          <t>SUNNE</t>
        </is>
      </c>
      <c r="F4326" t="inlineStr">
        <is>
          <t>Övriga Aktiebolag</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21378-2021</t>
        </is>
      </c>
      <c r="B4327" s="1" t="n">
        <v>44320</v>
      </c>
      <c r="C4327" s="1" t="n">
        <v>45736</v>
      </c>
      <c r="D4327" t="inlineStr">
        <is>
          <t>VÄRMLANDS LÄN</t>
        </is>
      </c>
      <c r="E4327" t="inlineStr">
        <is>
          <t>KIL</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21146-2021</t>
        </is>
      </c>
      <c r="B4328" s="1" t="n">
        <v>44320</v>
      </c>
      <c r="C4328" s="1" t="n">
        <v>45736</v>
      </c>
      <c r="D4328" t="inlineStr">
        <is>
          <t>VÄRMLANDS LÄN</t>
        </is>
      </c>
      <c r="E4328" t="inlineStr">
        <is>
          <t>HAGFORS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21206-2021</t>
        </is>
      </c>
      <c r="B4329" s="1" t="n">
        <v>44320</v>
      </c>
      <c r="C4329" s="1" t="n">
        <v>45736</v>
      </c>
      <c r="D4329" t="inlineStr">
        <is>
          <t>VÄRMLANDS LÄN</t>
        </is>
      </c>
      <c r="E4329" t="inlineStr">
        <is>
          <t>TORSBY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21308-2021</t>
        </is>
      </c>
      <c r="B4330" s="1" t="n">
        <v>44320</v>
      </c>
      <c r="C4330" s="1" t="n">
        <v>45736</v>
      </c>
      <c r="D4330" t="inlineStr">
        <is>
          <t>VÄRMLANDS LÄN</t>
        </is>
      </c>
      <c r="E4330" t="inlineStr">
        <is>
          <t>EDA</t>
        </is>
      </c>
      <c r="G4330" t="n">
        <v>15.1</v>
      </c>
      <c r="H4330" t="n">
        <v>0</v>
      </c>
      <c r="I4330" t="n">
        <v>0</v>
      </c>
      <c r="J4330" t="n">
        <v>0</v>
      </c>
      <c r="K4330" t="n">
        <v>0</v>
      </c>
      <c r="L4330" t="n">
        <v>0</v>
      </c>
      <c r="M4330" t="n">
        <v>0</v>
      </c>
      <c r="N4330" t="n">
        <v>0</v>
      </c>
      <c r="O4330" t="n">
        <v>0</v>
      </c>
      <c r="P4330" t="n">
        <v>0</v>
      </c>
      <c r="Q4330" t="n">
        <v>0</v>
      </c>
      <c r="R4330" s="2" t="inlineStr"/>
    </row>
    <row r="4331" ht="15" customHeight="1">
      <c r="A4331" t="inlineStr">
        <is>
          <t>A 21382-2021</t>
        </is>
      </c>
      <c r="B4331" s="1" t="n">
        <v>44320</v>
      </c>
      <c r="C4331" s="1" t="n">
        <v>45736</v>
      </c>
      <c r="D4331" t="inlineStr">
        <is>
          <t>VÄRMLANDS LÄN</t>
        </is>
      </c>
      <c r="E4331" t="inlineStr">
        <is>
          <t>ARVIKA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21381-2021</t>
        </is>
      </c>
      <c r="B4332" s="1" t="n">
        <v>44320</v>
      </c>
      <c r="C4332" s="1" t="n">
        <v>45736</v>
      </c>
      <c r="D4332" t="inlineStr">
        <is>
          <t>VÄRMLANDS LÄN</t>
        </is>
      </c>
      <c r="E4332" t="inlineStr">
        <is>
          <t>ARVIKA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21525-2021</t>
        </is>
      </c>
      <c r="B4333" s="1" t="n">
        <v>44321</v>
      </c>
      <c r="C4333" s="1" t="n">
        <v>45736</v>
      </c>
      <c r="D4333" t="inlineStr">
        <is>
          <t>VÄRMLANDS LÄN</t>
        </is>
      </c>
      <c r="E4333" t="inlineStr">
        <is>
          <t>SÄFFLE</t>
        </is>
      </c>
      <c r="F4333" t="inlineStr">
        <is>
          <t>Bergvik skog väst AB</t>
        </is>
      </c>
      <c r="G4333" t="n">
        <v>14.4</v>
      </c>
      <c r="H4333" t="n">
        <v>0</v>
      </c>
      <c r="I4333" t="n">
        <v>0</v>
      </c>
      <c r="J4333" t="n">
        <v>0</v>
      </c>
      <c r="K4333" t="n">
        <v>0</v>
      </c>
      <c r="L4333" t="n">
        <v>0</v>
      </c>
      <c r="M4333" t="n">
        <v>0</v>
      </c>
      <c r="N4333" t="n">
        <v>0</v>
      </c>
      <c r="O4333" t="n">
        <v>0</v>
      </c>
      <c r="P4333" t="n">
        <v>0</v>
      </c>
      <c r="Q4333" t="n">
        <v>0</v>
      </c>
      <c r="R4333" s="2" t="inlineStr"/>
    </row>
    <row r="4334" ht="15" customHeight="1">
      <c r="A4334" t="inlineStr">
        <is>
          <t>A 21528-2021</t>
        </is>
      </c>
      <c r="B4334" s="1" t="n">
        <v>44321</v>
      </c>
      <c r="C4334" s="1" t="n">
        <v>45736</v>
      </c>
      <c r="D4334" t="inlineStr">
        <is>
          <t>VÄRMLANDS LÄN</t>
        </is>
      </c>
      <c r="E4334" t="inlineStr">
        <is>
          <t>SÄFFLE</t>
        </is>
      </c>
      <c r="F4334" t="inlineStr">
        <is>
          <t>Bergvik skog väst AB</t>
        </is>
      </c>
      <c r="G4334" t="n">
        <v>13.4</v>
      </c>
      <c r="H4334" t="n">
        <v>0</v>
      </c>
      <c r="I4334" t="n">
        <v>0</v>
      </c>
      <c r="J4334" t="n">
        <v>0</v>
      </c>
      <c r="K4334" t="n">
        <v>0</v>
      </c>
      <c r="L4334" t="n">
        <v>0</v>
      </c>
      <c r="M4334" t="n">
        <v>0</v>
      </c>
      <c r="N4334" t="n">
        <v>0</v>
      </c>
      <c r="O4334" t="n">
        <v>0</v>
      </c>
      <c r="P4334" t="n">
        <v>0</v>
      </c>
      <c r="Q4334" t="n">
        <v>0</v>
      </c>
      <c r="R4334" s="2" t="inlineStr"/>
    </row>
    <row r="4335" ht="15" customHeight="1">
      <c r="A4335" t="inlineStr">
        <is>
          <t>A 21590-2021</t>
        </is>
      </c>
      <c r="B4335" s="1" t="n">
        <v>44321</v>
      </c>
      <c r="C4335" s="1" t="n">
        <v>45736</v>
      </c>
      <c r="D4335" t="inlineStr">
        <is>
          <t>VÄRMLANDS LÄN</t>
        </is>
      </c>
      <c r="E4335" t="inlineStr">
        <is>
          <t>STORFORS</t>
        </is>
      </c>
      <c r="F4335" t="inlineStr">
        <is>
          <t>Bergvik skog väst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21656-2021</t>
        </is>
      </c>
      <c r="B4336" s="1" t="n">
        <v>44322</v>
      </c>
      <c r="C4336" s="1" t="n">
        <v>45736</v>
      </c>
      <c r="D4336" t="inlineStr">
        <is>
          <t>VÄRMLANDS LÄN</t>
        </is>
      </c>
      <c r="E4336" t="inlineStr">
        <is>
          <t>KARLSTAD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21681-2021</t>
        </is>
      </c>
      <c r="B4337" s="1" t="n">
        <v>44322</v>
      </c>
      <c r="C4337" s="1" t="n">
        <v>45736</v>
      </c>
      <c r="D4337" t="inlineStr">
        <is>
          <t>VÄRMLANDS LÄN</t>
        </is>
      </c>
      <c r="E4337" t="inlineStr">
        <is>
          <t>KIL</t>
        </is>
      </c>
      <c r="F4337" t="inlineStr">
        <is>
          <t>Kommuner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21737-2021</t>
        </is>
      </c>
      <c r="B4338" s="1" t="n">
        <v>44322</v>
      </c>
      <c r="C4338" s="1" t="n">
        <v>45736</v>
      </c>
      <c r="D4338" t="inlineStr">
        <is>
          <t>VÄRMLANDS LÄN</t>
        </is>
      </c>
      <c r="E4338" t="inlineStr">
        <is>
          <t>SUNNE</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21818-2021</t>
        </is>
      </c>
      <c r="B4339" s="1" t="n">
        <v>44322</v>
      </c>
      <c r="C4339" s="1" t="n">
        <v>45736</v>
      </c>
      <c r="D4339" t="inlineStr">
        <is>
          <t>VÄRMLANDS LÄN</t>
        </is>
      </c>
      <c r="E4339" t="inlineStr">
        <is>
          <t>KARLSTAD</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21701-2021</t>
        </is>
      </c>
      <c r="B4340" s="1" t="n">
        <v>44322</v>
      </c>
      <c r="C4340" s="1" t="n">
        <v>45736</v>
      </c>
      <c r="D4340" t="inlineStr">
        <is>
          <t>VÄRMLANDS LÄN</t>
        </is>
      </c>
      <c r="E4340" t="inlineStr">
        <is>
          <t>ÅRJÄNG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21651-2021</t>
        </is>
      </c>
      <c r="B4341" s="1" t="n">
        <v>44322</v>
      </c>
      <c r="C4341" s="1" t="n">
        <v>45736</v>
      </c>
      <c r="D4341" t="inlineStr">
        <is>
          <t>VÄRMLANDS LÄN</t>
        </is>
      </c>
      <c r="E4341" t="inlineStr">
        <is>
          <t>SÄFFLE</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21660-2021</t>
        </is>
      </c>
      <c r="B4342" s="1" t="n">
        <v>44322</v>
      </c>
      <c r="C4342" s="1" t="n">
        <v>45736</v>
      </c>
      <c r="D4342" t="inlineStr">
        <is>
          <t>VÄRMLANDS LÄN</t>
        </is>
      </c>
      <c r="E4342" t="inlineStr">
        <is>
          <t>SÄFFLE</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21826-2021</t>
        </is>
      </c>
      <c r="B4343" s="1" t="n">
        <v>44322</v>
      </c>
      <c r="C4343" s="1" t="n">
        <v>45736</v>
      </c>
      <c r="D4343" t="inlineStr">
        <is>
          <t>VÄRMLANDS LÄN</t>
        </is>
      </c>
      <c r="E4343" t="inlineStr">
        <is>
          <t>KARLSTAD</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21840-2021</t>
        </is>
      </c>
      <c r="B4344" s="1" t="n">
        <v>44322</v>
      </c>
      <c r="C4344" s="1" t="n">
        <v>45736</v>
      </c>
      <c r="D4344" t="inlineStr">
        <is>
          <t>VÄRMLANDS LÄN</t>
        </is>
      </c>
      <c r="E4344" t="inlineStr">
        <is>
          <t>KARLSTAD</t>
        </is>
      </c>
      <c r="G4344" t="n">
        <v>9.6</v>
      </c>
      <c r="H4344" t="n">
        <v>0</v>
      </c>
      <c r="I4344" t="n">
        <v>0</v>
      </c>
      <c r="J4344" t="n">
        <v>0</v>
      </c>
      <c r="K4344" t="n">
        <v>0</v>
      </c>
      <c r="L4344" t="n">
        <v>0</v>
      </c>
      <c r="M4344" t="n">
        <v>0</v>
      </c>
      <c r="N4344" t="n">
        <v>0</v>
      </c>
      <c r="O4344" t="n">
        <v>0</v>
      </c>
      <c r="P4344" t="n">
        <v>0</v>
      </c>
      <c r="Q4344" t="n">
        <v>0</v>
      </c>
      <c r="R4344" s="2" t="inlineStr"/>
    </row>
    <row r="4345" ht="15" customHeight="1">
      <c r="A4345" t="inlineStr">
        <is>
          <t>A 21862-2021</t>
        </is>
      </c>
      <c r="B4345" s="1" t="n">
        <v>44322</v>
      </c>
      <c r="C4345" s="1" t="n">
        <v>45736</v>
      </c>
      <c r="D4345" t="inlineStr">
        <is>
          <t>VÄRMLANDS LÄN</t>
        </is>
      </c>
      <c r="E4345" t="inlineStr">
        <is>
          <t>KARLSTAD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22563-2021</t>
        </is>
      </c>
      <c r="B4346" s="1" t="n">
        <v>44322</v>
      </c>
      <c r="C4346" s="1" t="n">
        <v>45736</v>
      </c>
      <c r="D4346" t="inlineStr">
        <is>
          <t>VÄRMLANDS LÄN</t>
        </is>
      </c>
      <c r="E4346" t="inlineStr">
        <is>
          <t>ARVIKA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22435-2021</t>
        </is>
      </c>
      <c r="B4347" s="1" t="n">
        <v>44322</v>
      </c>
      <c r="C4347" s="1" t="n">
        <v>45736</v>
      </c>
      <c r="D4347" t="inlineStr">
        <is>
          <t>VÄRMLANDS LÄN</t>
        </is>
      </c>
      <c r="E4347" t="inlineStr">
        <is>
          <t>STORFORS</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22565-2021</t>
        </is>
      </c>
      <c r="B4348" s="1" t="n">
        <v>44322</v>
      </c>
      <c r="C4348" s="1" t="n">
        <v>45736</v>
      </c>
      <c r="D4348" t="inlineStr">
        <is>
          <t>VÄRMLANDS LÄN</t>
        </is>
      </c>
      <c r="E4348" t="inlineStr">
        <is>
          <t>ARVIKA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21995-2021</t>
        </is>
      </c>
      <c r="B4349" s="1" t="n">
        <v>44323</v>
      </c>
      <c r="C4349" s="1" t="n">
        <v>45736</v>
      </c>
      <c r="D4349" t="inlineStr">
        <is>
          <t>VÄRMLANDS LÄN</t>
        </is>
      </c>
      <c r="E4349" t="inlineStr">
        <is>
          <t>ÅRJÄNG</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22007-2021</t>
        </is>
      </c>
      <c r="B4350" s="1" t="n">
        <v>44323</v>
      </c>
      <c r="C4350" s="1" t="n">
        <v>45736</v>
      </c>
      <c r="D4350" t="inlineStr">
        <is>
          <t>VÄRMLANDS LÄN</t>
        </is>
      </c>
      <c r="E4350" t="inlineStr">
        <is>
          <t>HAGFORS</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21996-2021</t>
        </is>
      </c>
      <c r="B4351" s="1" t="n">
        <v>44323</v>
      </c>
      <c r="C4351" s="1" t="n">
        <v>45736</v>
      </c>
      <c r="D4351" t="inlineStr">
        <is>
          <t>VÄRMLANDS LÄN</t>
        </is>
      </c>
      <c r="E4351" t="inlineStr">
        <is>
          <t>ÅRJÄNG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22091-2021</t>
        </is>
      </c>
      <c r="B4352" s="1" t="n">
        <v>44323</v>
      </c>
      <c r="C4352" s="1" t="n">
        <v>45736</v>
      </c>
      <c r="D4352" t="inlineStr">
        <is>
          <t>VÄRMLANDS LÄN</t>
        </is>
      </c>
      <c r="E4352" t="inlineStr">
        <is>
          <t>KARLSTAD</t>
        </is>
      </c>
      <c r="F4352" t="inlineStr">
        <is>
          <t>Övriga statliga verk och myndigheter</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22016-2021</t>
        </is>
      </c>
      <c r="B4353" s="1" t="n">
        <v>44323</v>
      </c>
      <c r="C4353" s="1" t="n">
        <v>45736</v>
      </c>
      <c r="D4353" t="inlineStr">
        <is>
          <t>VÄRMLANDS LÄN</t>
        </is>
      </c>
      <c r="E4353" t="inlineStr">
        <is>
          <t>HAGFORS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22022-2021</t>
        </is>
      </c>
      <c r="B4354" s="1" t="n">
        <v>44323</v>
      </c>
      <c r="C4354" s="1" t="n">
        <v>45736</v>
      </c>
      <c r="D4354" t="inlineStr">
        <is>
          <t>VÄRMLANDS LÄN</t>
        </is>
      </c>
      <c r="E4354" t="inlineStr">
        <is>
          <t>HAGFORS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22038-2021</t>
        </is>
      </c>
      <c r="B4355" s="1" t="n">
        <v>44323</v>
      </c>
      <c r="C4355" s="1" t="n">
        <v>45736</v>
      </c>
      <c r="D4355" t="inlineStr">
        <is>
          <t>VÄRMLANDS LÄN</t>
        </is>
      </c>
      <c r="E4355" t="inlineStr">
        <is>
          <t>TORSBY</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22113-2021</t>
        </is>
      </c>
      <c r="B4356" s="1" t="n">
        <v>44323</v>
      </c>
      <c r="C4356" s="1" t="n">
        <v>45736</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22063-2021</t>
        </is>
      </c>
      <c r="B4357" s="1" t="n">
        <v>44323</v>
      </c>
      <c r="C4357" s="1" t="n">
        <v>45736</v>
      </c>
      <c r="D4357" t="inlineStr">
        <is>
          <t>VÄRMLANDS LÄN</t>
        </is>
      </c>
      <c r="E4357" t="inlineStr">
        <is>
          <t>STORFORS</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22149-2021</t>
        </is>
      </c>
      <c r="B4358" s="1" t="n">
        <v>44324</v>
      </c>
      <c r="C4358" s="1" t="n">
        <v>45736</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22158-2021</t>
        </is>
      </c>
      <c r="B4359" s="1" t="n">
        <v>44325</v>
      </c>
      <c r="C4359" s="1" t="n">
        <v>45736</v>
      </c>
      <c r="D4359" t="inlineStr">
        <is>
          <t>VÄRMLANDS LÄN</t>
        </is>
      </c>
      <c r="E4359" t="inlineStr">
        <is>
          <t>ÅRJÄNG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22167-2021</t>
        </is>
      </c>
      <c r="B4360" s="1" t="n">
        <v>44325</v>
      </c>
      <c r="C4360" s="1" t="n">
        <v>45736</v>
      </c>
      <c r="D4360" t="inlineStr">
        <is>
          <t>VÄRMLANDS LÄN</t>
        </is>
      </c>
      <c r="E4360" t="inlineStr">
        <is>
          <t>HAGFORS</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22319-2021</t>
        </is>
      </c>
      <c r="B4361" s="1" t="n">
        <v>44326</v>
      </c>
      <c r="C4361" s="1" t="n">
        <v>45736</v>
      </c>
      <c r="D4361" t="inlineStr">
        <is>
          <t>VÄRMLANDS LÄN</t>
        </is>
      </c>
      <c r="E4361" t="inlineStr">
        <is>
          <t>GRUMS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22392-2021</t>
        </is>
      </c>
      <c r="B4362" s="1" t="n">
        <v>44326</v>
      </c>
      <c r="C4362" s="1" t="n">
        <v>45736</v>
      </c>
      <c r="D4362" t="inlineStr">
        <is>
          <t>VÄRMLANDS LÄN</t>
        </is>
      </c>
      <c r="E4362" t="inlineStr">
        <is>
          <t>SUNNE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22257-2021</t>
        </is>
      </c>
      <c r="B4363" s="1" t="n">
        <v>44326</v>
      </c>
      <c r="C4363" s="1" t="n">
        <v>45736</v>
      </c>
      <c r="D4363" t="inlineStr">
        <is>
          <t>VÄRMLANDS LÄN</t>
        </is>
      </c>
      <c r="E4363" t="inlineStr">
        <is>
          <t>HAGFORS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22289-2021</t>
        </is>
      </c>
      <c r="B4364" s="1" t="n">
        <v>44326</v>
      </c>
      <c r="C4364" s="1" t="n">
        <v>45736</v>
      </c>
      <c r="D4364" t="inlineStr">
        <is>
          <t>VÄRMLANDS LÄN</t>
        </is>
      </c>
      <c r="E4364" t="inlineStr">
        <is>
          <t>GRUMS</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22295-2021</t>
        </is>
      </c>
      <c r="B4365" s="1" t="n">
        <v>44326</v>
      </c>
      <c r="C4365" s="1" t="n">
        <v>45736</v>
      </c>
      <c r="D4365" t="inlineStr">
        <is>
          <t>VÄRMLANDS LÄN</t>
        </is>
      </c>
      <c r="E4365" t="inlineStr">
        <is>
          <t>FORSHAGA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22331-2021</t>
        </is>
      </c>
      <c r="B4366" s="1" t="n">
        <v>44326</v>
      </c>
      <c r="C4366" s="1" t="n">
        <v>45736</v>
      </c>
      <c r="D4366" t="inlineStr">
        <is>
          <t>VÄRMLANDS LÄN</t>
        </is>
      </c>
      <c r="E4366" t="inlineStr">
        <is>
          <t>SUNNE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22350-2021</t>
        </is>
      </c>
      <c r="B4367" s="1" t="n">
        <v>44326</v>
      </c>
      <c r="C4367" s="1" t="n">
        <v>45736</v>
      </c>
      <c r="D4367" t="inlineStr">
        <is>
          <t>VÄRMLANDS LÄN</t>
        </is>
      </c>
      <c r="E4367" t="inlineStr">
        <is>
          <t>KARLSTAD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22413-2021</t>
        </is>
      </c>
      <c r="B4368" s="1" t="n">
        <v>44326</v>
      </c>
      <c r="C4368" s="1" t="n">
        <v>45736</v>
      </c>
      <c r="D4368" t="inlineStr">
        <is>
          <t>VÄRMLANDS LÄN</t>
        </is>
      </c>
      <c r="E4368" t="inlineStr">
        <is>
          <t>EDA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22459-2021</t>
        </is>
      </c>
      <c r="B4369" s="1" t="n">
        <v>44326</v>
      </c>
      <c r="C4369" s="1" t="n">
        <v>45736</v>
      </c>
      <c r="D4369" t="inlineStr">
        <is>
          <t>VÄRMLANDS LÄN</t>
        </is>
      </c>
      <c r="E4369" t="inlineStr">
        <is>
          <t>MUNKFORS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22464-2021</t>
        </is>
      </c>
      <c r="B4370" s="1" t="n">
        <v>44326</v>
      </c>
      <c r="C4370" s="1" t="n">
        <v>45736</v>
      </c>
      <c r="D4370" t="inlineStr">
        <is>
          <t>VÄRMLANDS LÄN</t>
        </is>
      </c>
      <c r="E4370" t="inlineStr">
        <is>
          <t>TORSBY</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22463-2021</t>
        </is>
      </c>
      <c r="B4371" s="1" t="n">
        <v>44326</v>
      </c>
      <c r="C4371" s="1" t="n">
        <v>45736</v>
      </c>
      <c r="D4371" t="inlineStr">
        <is>
          <t>VÄRMLANDS LÄN</t>
        </is>
      </c>
      <c r="E4371" t="inlineStr">
        <is>
          <t>TORSBY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22671-2021</t>
        </is>
      </c>
      <c r="B4372" s="1" t="n">
        <v>44327</v>
      </c>
      <c r="C4372" s="1" t="n">
        <v>45736</v>
      </c>
      <c r="D4372" t="inlineStr">
        <is>
          <t>VÄRMLANDS LÄN</t>
        </is>
      </c>
      <c r="E4372" t="inlineStr">
        <is>
          <t>TORSBY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22700-2021</t>
        </is>
      </c>
      <c r="B4373" s="1" t="n">
        <v>44327</v>
      </c>
      <c r="C4373" s="1" t="n">
        <v>45736</v>
      </c>
      <c r="D4373" t="inlineStr">
        <is>
          <t>VÄRMLANDS LÄN</t>
        </is>
      </c>
      <c r="E4373" t="inlineStr">
        <is>
          <t>EDA</t>
        </is>
      </c>
      <c r="F4373" t="inlineStr">
        <is>
          <t>Kommuner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22714-2021</t>
        </is>
      </c>
      <c r="B4374" s="1" t="n">
        <v>44327</v>
      </c>
      <c r="C4374" s="1" t="n">
        <v>45736</v>
      </c>
      <c r="D4374" t="inlineStr">
        <is>
          <t>VÄRMLANDS LÄN</t>
        </is>
      </c>
      <c r="E4374" t="inlineStr">
        <is>
          <t>EDA</t>
        </is>
      </c>
      <c r="F4374" t="inlineStr">
        <is>
          <t>Bergvik skog väst AB</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22638-2021</t>
        </is>
      </c>
      <c r="B4375" s="1" t="n">
        <v>44327</v>
      </c>
      <c r="C4375" s="1" t="n">
        <v>45736</v>
      </c>
      <c r="D4375" t="inlineStr">
        <is>
          <t>VÄRMLANDS LÄN</t>
        </is>
      </c>
      <c r="E4375" t="inlineStr">
        <is>
          <t>TORSBY</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22654-2021</t>
        </is>
      </c>
      <c r="B4376" s="1" t="n">
        <v>44327</v>
      </c>
      <c r="C4376" s="1" t="n">
        <v>45736</v>
      </c>
      <c r="D4376" t="inlineStr">
        <is>
          <t>VÄRMLANDS LÄN</t>
        </is>
      </c>
      <c r="E4376" t="inlineStr">
        <is>
          <t>FILIPSTAD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22642-2021</t>
        </is>
      </c>
      <c r="B4377" s="1" t="n">
        <v>44327</v>
      </c>
      <c r="C4377" s="1" t="n">
        <v>45736</v>
      </c>
      <c r="D4377" t="inlineStr">
        <is>
          <t>VÄRMLANDS LÄN</t>
        </is>
      </c>
      <c r="E4377" t="inlineStr">
        <is>
          <t>HAGFORS</t>
        </is>
      </c>
      <c r="F4377" t="inlineStr">
        <is>
          <t>Bergvik skog väst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22657-2021</t>
        </is>
      </c>
      <c r="B4378" s="1" t="n">
        <v>44327</v>
      </c>
      <c r="C4378" s="1" t="n">
        <v>45736</v>
      </c>
      <c r="D4378" t="inlineStr">
        <is>
          <t>VÄRMLANDS LÄN</t>
        </is>
      </c>
      <c r="E4378" t="inlineStr">
        <is>
          <t>KARLSTAD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22757-2021</t>
        </is>
      </c>
      <c r="B4379" s="1" t="n">
        <v>44327</v>
      </c>
      <c r="C4379" s="1" t="n">
        <v>45736</v>
      </c>
      <c r="D4379" t="inlineStr">
        <is>
          <t>VÄRMLANDS LÄN</t>
        </is>
      </c>
      <c r="E4379" t="inlineStr">
        <is>
          <t>ARVIKA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22933-2021</t>
        </is>
      </c>
      <c r="B4380" s="1" t="n">
        <v>44327</v>
      </c>
      <c r="C4380" s="1" t="n">
        <v>45736</v>
      </c>
      <c r="D4380" t="inlineStr">
        <is>
          <t>VÄRMLANDS LÄN</t>
        </is>
      </c>
      <c r="E4380" t="inlineStr">
        <is>
          <t>FILIPSTAD</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22930-2021</t>
        </is>
      </c>
      <c r="B4381" s="1" t="n">
        <v>44327</v>
      </c>
      <c r="C4381" s="1" t="n">
        <v>45736</v>
      </c>
      <c r="D4381" t="inlineStr">
        <is>
          <t>VÄRMLANDS LÄN</t>
        </is>
      </c>
      <c r="E4381" t="inlineStr">
        <is>
          <t>FILIPSTAD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22982-2021</t>
        </is>
      </c>
      <c r="B4382" s="1" t="n">
        <v>44328</v>
      </c>
      <c r="C4382" s="1" t="n">
        <v>45736</v>
      </c>
      <c r="D4382" t="inlineStr">
        <is>
          <t>VÄRMLANDS LÄN</t>
        </is>
      </c>
      <c r="E4382" t="inlineStr">
        <is>
          <t>SUNNE</t>
        </is>
      </c>
      <c r="G4382" t="n">
        <v>14.7</v>
      </c>
      <c r="H4382" t="n">
        <v>0</v>
      </c>
      <c r="I4382" t="n">
        <v>0</v>
      </c>
      <c r="J4382" t="n">
        <v>0</v>
      </c>
      <c r="K4382" t="n">
        <v>0</v>
      </c>
      <c r="L4382" t="n">
        <v>0</v>
      </c>
      <c r="M4382" t="n">
        <v>0</v>
      </c>
      <c r="N4382" t="n">
        <v>0</v>
      </c>
      <c r="O4382" t="n">
        <v>0</v>
      </c>
      <c r="P4382" t="n">
        <v>0</v>
      </c>
      <c r="Q4382" t="n">
        <v>0</v>
      </c>
      <c r="R4382" s="2" t="inlineStr"/>
    </row>
    <row r="4383" ht="15" customHeight="1">
      <c r="A4383" t="inlineStr">
        <is>
          <t>A 22957-2021</t>
        </is>
      </c>
      <c r="B4383" s="1" t="n">
        <v>44328</v>
      </c>
      <c r="C4383" s="1" t="n">
        <v>45736</v>
      </c>
      <c r="D4383" t="inlineStr">
        <is>
          <t>VÄRMLANDS LÄN</t>
        </is>
      </c>
      <c r="E4383" t="inlineStr">
        <is>
          <t>HAGFORS</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22897-2021</t>
        </is>
      </c>
      <c r="B4384" s="1" t="n">
        <v>44328</v>
      </c>
      <c r="C4384" s="1" t="n">
        <v>45736</v>
      </c>
      <c r="D4384" t="inlineStr">
        <is>
          <t>VÄRMLANDS LÄN</t>
        </is>
      </c>
      <c r="E4384" t="inlineStr">
        <is>
          <t>SÄFFLE</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23191-2021</t>
        </is>
      </c>
      <c r="B4385" s="1" t="n">
        <v>44328</v>
      </c>
      <c r="C4385" s="1" t="n">
        <v>45736</v>
      </c>
      <c r="D4385" t="inlineStr">
        <is>
          <t>VÄRMLANDS LÄN</t>
        </is>
      </c>
      <c r="E4385" t="inlineStr">
        <is>
          <t>TORSBY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23332-2021</t>
        </is>
      </c>
      <c r="B4386" s="1" t="n">
        <v>44328</v>
      </c>
      <c r="C4386" s="1" t="n">
        <v>45736</v>
      </c>
      <c r="D4386" t="inlineStr">
        <is>
          <t>VÄRMLANDS LÄN</t>
        </is>
      </c>
      <c r="E4386" t="inlineStr">
        <is>
          <t>GRUMS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23194-2021</t>
        </is>
      </c>
      <c r="B4387" s="1" t="n">
        <v>44328</v>
      </c>
      <c r="C4387" s="1" t="n">
        <v>45736</v>
      </c>
      <c r="D4387" t="inlineStr">
        <is>
          <t>VÄRMLANDS LÄN</t>
        </is>
      </c>
      <c r="E4387" t="inlineStr">
        <is>
          <t>TORSBY</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22971-2021</t>
        </is>
      </c>
      <c r="B4388" s="1" t="n">
        <v>44328</v>
      </c>
      <c r="C4388" s="1" t="n">
        <v>45736</v>
      </c>
      <c r="D4388" t="inlineStr">
        <is>
          <t>VÄRMLANDS LÄN</t>
        </is>
      </c>
      <c r="E4388" t="inlineStr">
        <is>
          <t>ARVIKA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23048-2021</t>
        </is>
      </c>
      <c r="B4389" s="1" t="n">
        <v>44329</v>
      </c>
      <c r="C4389" s="1" t="n">
        <v>45736</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23053-2021</t>
        </is>
      </c>
      <c r="B4390" s="1" t="n">
        <v>44329</v>
      </c>
      <c r="C4390" s="1" t="n">
        <v>45736</v>
      </c>
      <c r="D4390" t="inlineStr">
        <is>
          <t>VÄRMLANDS LÄN</t>
        </is>
      </c>
      <c r="E4390" t="inlineStr">
        <is>
          <t>EDA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23042-2021</t>
        </is>
      </c>
      <c r="B4391" s="1" t="n">
        <v>44329</v>
      </c>
      <c r="C4391" s="1" t="n">
        <v>45736</v>
      </c>
      <c r="D4391" t="inlineStr">
        <is>
          <t>VÄRMLANDS LÄN</t>
        </is>
      </c>
      <c r="E4391" t="inlineStr">
        <is>
          <t>ÅRJÄNG</t>
        </is>
      </c>
      <c r="G4391" t="n">
        <v>7.7</v>
      </c>
      <c r="H4391" t="n">
        <v>0</v>
      </c>
      <c r="I4391" t="n">
        <v>0</v>
      </c>
      <c r="J4391" t="n">
        <v>0</v>
      </c>
      <c r="K4391" t="n">
        <v>0</v>
      </c>
      <c r="L4391" t="n">
        <v>0</v>
      </c>
      <c r="M4391" t="n">
        <v>0</v>
      </c>
      <c r="N4391" t="n">
        <v>0</v>
      </c>
      <c r="O4391" t="n">
        <v>0</v>
      </c>
      <c r="P4391" t="n">
        <v>0</v>
      </c>
      <c r="Q4391" t="n">
        <v>0</v>
      </c>
      <c r="R4391" s="2" t="inlineStr"/>
    </row>
    <row r="4392" ht="15" customHeight="1">
      <c r="A4392" t="inlineStr">
        <is>
          <t>A 23051-2021</t>
        </is>
      </c>
      <c r="B4392" s="1" t="n">
        <v>44329</v>
      </c>
      <c r="C4392" s="1" t="n">
        <v>45736</v>
      </c>
      <c r="D4392" t="inlineStr">
        <is>
          <t>VÄRMLANDS LÄN</t>
        </is>
      </c>
      <c r="E4392" t="inlineStr">
        <is>
          <t>EDA</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23055-2021</t>
        </is>
      </c>
      <c r="B4393" s="1" t="n">
        <v>44329</v>
      </c>
      <c r="C4393" s="1" t="n">
        <v>45736</v>
      </c>
      <c r="D4393" t="inlineStr">
        <is>
          <t>VÄRMLANDS LÄN</t>
        </is>
      </c>
      <c r="E4393" t="inlineStr">
        <is>
          <t>EDA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23049-2021</t>
        </is>
      </c>
      <c r="B4394" s="1" t="n">
        <v>44329</v>
      </c>
      <c r="C4394" s="1" t="n">
        <v>45736</v>
      </c>
      <c r="D4394" t="inlineStr">
        <is>
          <t>VÄRMLANDS LÄN</t>
        </is>
      </c>
      <c r="E4394" t="inlineStr">
        <is>
          <t>FORSHAGA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23054-2021</t>
        </is>
      </c>
      <c r="B4395" s="1" t="n">
        <v>44329</v>
      </c>
      <c r="C4395" s="1" t="n">
        <v>45736</v>
      </c>
      <c r="D4395" t="inlineStr">
        <is>
          <t>VÄRMLANDS LÄN</t>
        </is>
      </c>
      <c r="E4395" t="inlineStr">
        <is>
          <t>EDA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23254-2021</t>
        </is>
      </c>
      <c r="B4396" s="1" t="n">
        <v>44333</v>
      </c>
      <c r="C4396" s="1" t="n">
        <v>45736</v>
      </c>
      <c r="D4396" t="inlineStr">
        <is>
          <t>VÄRMLANDS LÄN</t>
        </is>
      </c>
      <c r="E4396" t="inlineStr">
        <is>
          <t>KARLSTAD</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23412-2021</t>
        </is>
      </c>
      <c r="B4397" s="1" t="n">
        <v>44333</v>
      </c>
      <c r="C4397" s="1" t="n">
        <v>45736</v>
      </c>
      <c r="D4397" t="inlineStr">
        <is>
          <t>VÄRMLANDS LÄN</t>
        </is>
      </c>
      <c r="E4397" t="inlineStr">
        <is>
          <t>SÄFFLE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23435-2021</t>
        </is>
      </c>
      <c r="B4398" s="1" t="n">
        <v>44333</v>
      </c>
      <c r="C4398" s="1" t="n">
        <v>45736</v>
      </c>
      <c r="D4398" t="inlineStr">
        <is>
          <t>VÄRMLANDS LÄN</t>
        </is>
      </c>
      <c r="E4398" t="inlineStr">
        <is>
          <t>TORSBY</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23256-2021</t>
        </is>
      </c>
      <c r="B4399" s="1" t="n">
        <v>44333</v>
      </c>
      <c r="C4399" s="1" t="n">
        <v>45736</v>
      </c>
      <c r="D4399" t="inlineStr">
        <is>
          <t>VÄRMLANDS LÄN</t>
        </is>
      </c>
      <c r="E4399" t="inlineStr">
        <is>
          <t>ARVIKA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23275-2021</t>
        </is>
      </c>
      <c r="B4400" s="1" t="n">
        <v>44333</v>
      </c>
      <c r="C4400" s="1" t="n">
        <v>45736</v>
      </c>
      <c r="D4400" t="inlineStr">
        <is>
          <t>VÄRMLANDS LÄN</t>
        </is>
      </c>
      <c r="E4400" t="inlineStr">
        <is>
          <t>STORFORS</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23293-2021</t>
        </is>
      </c>
      <c r="B4401" s="1" t="n">
        <v>44333</v>
      </c>
      <c r="C4401" s="1" t="n">
        <v>45736</v>
      </c>
      <c r="D4401" t="inlineStr">
        <is>
          <t>VÄRMLANDS LÄN</t>
        </is>
      </c>
      <c r="E4401" t="inlineStr">
        <is>
          <t>ARVIKA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23314-2021</t>
        </is>
      </c>
      <c r="B4402" s="1" t="n">
        <v>44333</v>
      </c>
      <c r="C4402" s="1" t="n">
        <v>45736</v>
      </c>
      <c r="D4402" t="inlineStr">
        <is>
          <t>VÄRMLANDS LÄN</t>
        </is>
      </c>
      <c r="E4402" t="inlineStr">
        <is>
          <t>KARLSTAD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23236-2021</t>
        </is>
      </c>
      <c r="B4403" s="1" t="n">
        <v>44333</v>
      </c>
      <c r="C4403" s="1" t="n">
        <v>45736</v>
      </c>
      <c r="D4403" t="inlineStr">
        <is>
          <t>VÄRMLANDS LÄN</t>
        </is>
      </c>
      <c r="E4403" t="inlineStr">
        <is>
          <t>FILIPSTAD</t>
        </is>
      </c>
      <c r="F4403" t="inlineStr">
        <is>
          <t>Kyrkan</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23248-2021</t>
        </is>
      </c>
      <c r="B4404" s="1" t="n">
        <v>44333</v>
      </c>
      <c r="C4404" s="1" t="n">
        <v>45736</v>
      </c>
      <c r="D4404" t="inlineStr">
        <is>
          <t>VÄRMLANDS LÄN</t>
        </is>
      </c>
      <c r="E4404" t="inlineStr">
        <is>
          <t>KARLSTAD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23450-2021</t>
        </is>
      </c>
      <c r="B4405" s="1" t="n">
        <v>44333</v>
      </c>
      <c r="C4405" s="1" t="n">
        <v>45736</v>
      </c>
      <c r="D4405" t="inlineStr">
        <is>
          <t>VÄRMLANDS LÄN</t>
        </is>
      </c>
      <c r="E4405" t="inlineStr">
        <is>
          <t>ÅRJÄNG</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23451-2021</t>
        </is>
      </c>
      <c r="B4406" s="1" t="n">
        <v>44333</v>
      </c>
      <c r="C4406" s="1" t="n">
        <v>45736</v>
      </c>
      <c r="D4406" t="inlineStr">
        <is>
          <t>VÄRMLANDS LÄN</t>
        </is>
      </c>
      <c r="E4406" t="inlineStr">
        <is>
          <t>ÅRJÄNG</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23567-2021</t>
        </is>
      </c>
      <c r="B4407" s="1" t="n">
        <v>44333</v>
      </c>
      <c r="C4407" s="1" t="n">
        <v>45736</v>
      </c>
      <c r="D4407" t="inlineStr">
        <is>
          <t>VÄRMLANDS LÄN</t>
        </is>
      </c>
      <c r="E4407" t="inlineStr">
        <is>
          <t>KRISTINEHAMN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23548-2021</t>
        </is>
      </c>
      <c r="B4408" s="1" t="n">
        <v>44333</v>
      </c>
      <c r="C4408" s="1" t="n">
        <v>45736</v>
      </c>
      <c r="D4408" t="inlineStr">
        <is>
          <t>VÄRMLANDS LÄN</t>
        </is>
      </c>
      <c r="E4408" t="inlineStr">
        <is>
          <t>TORSBY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23576-2021</t>
        </is>
      </c>
      <c r="B4409" s="1" t="n">
        <v>44334</v>
      </c>
      <c r="C4409" s="1" t="n">
        <v>45736</v>
      </c>
      <c r="D4409" t="inlineStr">
        <is>
          <t>VÄRMLANDS LÄN</t>
        </is>
      </c>
      <c r="E4409" t="inlineStr">
        <is>
          <t>KRISTINEHAMN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23546-2021</t>
        </is>
      </c>
      <c r="B4410" s="1" t="n">
        <v>44334</v>
      </c>
      <c r="C4410" s="1" t="n">
        <v>45736</v>
      </c>
      <c r="D4410" t="inlineStr">
        <is>
          <t>VÄRMLANDS LÄN</t>
        </is>
      </c>
      <c r="E4410" t="inlineStr">
        <is>
          <t>SUNNE</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23562-2021</t>
        </is>
      </c>
      <c r="B4411" s="1" t="n">
        <v>44334</v>
      </c>
      <c r="C4411" s="1" t="n">
        <v>45736</v>
      </c>
      <c r="D4411" t="inlineStr">
        <is>
          <t>VÄRMLANDS LÄN</t>
        </is>
      </c>
      <c r="E4411" t="inlineStr">
        <is>
          <t>KRISTINEHAMN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23656-2021</t>
        </is>
      </c>
      <c r="B4412" s="1" t="n">
        <v>44334</v>
      </c>
      <c r="C4412" s="1" t="n">
        <v>45736</v>
      </c>
      <c r="D4412" t="inlineStr">
        <is>
          <t>VÄRMLANDS LÄN</t>
        </is>
      </c>
      <c r="E4412" t="inlineStr">
        <is>
          <t>SUNNE</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23587-2021</t>
        </is>
      </c>
      <c r="B4413" s="1" t="n">
        <v>44334</v>
      </c>
      <c r="C4413" s="1" t="n">
        <v>45736</v>
      </c>
      <c r="D4413" t="inlineStr">
        <is>
          <t>VÄRMLANDS LÄN</t>
        </is>
      </c>
      <c r="E4413" t="inlineStr">
        <is>
          <t>SÄFFLE</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23643-2021</t>
        </is>
      </c>
      <c r="B4414" s="1" t="n">
        <v>44334</v>
      </c>
      <c r="C4414" s="1" t="n">
        <v>45736</v>
      </c>
      <c r="D4414" t="inlineStr">
        <is>
          <t>VÄRMLANDS LÄN</t>
        </is>
      </c>
      <c r="E4414" t="inlineStr">
        <is>
          <t>ARVIKA</t>
        </is>
      </c>
      <c r="F4414" t="inlineStr">
        <is>
          <t>Bergvik skog väst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23802-2021</t>
        </is>
      </c>
      <c r="B4415" s="1" t="n">
        <v>44334</v>
      </c>
      <c r="C4415" s="1" t="n">
        <v>45736</v>
      </c>
      <c r="D4415" t="inlineStr">
        <is>
          <t>VÄRMLANDS LÄN</t>
        </is>
      </c>
      <c r="E4415" t="inlineStr">
        <is>
          <t>SÄFFLE</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23815-2021</t>
        </is>
      </c>
      <c r="B4416" s="1" t="n">
        <v>44335</v>
      </c>
      <c r="C4416" s="1" t="n">
        <v>45736</v>
      </c>
      <c r="D4416" t="inlineStr">
        <is>
          <t>VÄRMLANDS LÄN</t>
        </is>
      </c>
      <c r="E4416" t="inlineStr">
        <is>
          <t>ÅRJÄNG</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23842-2021</t>
        </is>
      </c>
      <c r="B4417" s="1" t="n">
        <v>44335</v>
      </c>
      <c r="C4417" s="1" t="n">
        <v>45736</v>
      </c>
      <c r="D4417" t="inlineStr">
        <is>
          <t>VÄRMLANDS LÄN</t>
        </is>
      </c>
      <c r="E4417" t="inlineStr">
        <is>
          <t>TORSBY</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23786-2021</t>
        </is>
      </c>
      <c r="B4418" s="1" t="n">
        <v>44335</v>
      </c>
      <c r="C4418" s="1" t="n">
        <v>45736</v>
      </c>
      <c r="D4418" t="inlineStr">
        <is>
          <t>VÄRMLANDS LÄN</t>
        </is>
      </c>
      <c r="E4418" t="inlineStr">
        <is>
          <t>KARLSTAD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23813-2021</t>
        </is>
      </c>
      <c r="B4419" s="1" t="n">
        <v>44335</v>
      </c>
      <c r="C4419" s="1" t="n">
        <v>45736</v>
      </c>
      <c r="D4419" t="inlineStr">
        <is>
          <t>VÄRMLANDS LÄN</t>
        </is>
      </c>
      <c r="E4419" t="inlineStr">
        <is>
          <t>STORFORS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23820-2021</t>
        </is>
      </c>
      <c r="B4420" s="1" t="n">
        <v>44335</v>
      </c>
      <c r="C4420" s="1" t="n">
        <v>45736</v>
      </c>
      <c r="D4420" t="inlineStr">
        <is>
          <t>VÄRMLANDS LÄN</t>
        </is>
      </c>
      <c r="E4420" t="inlineStr">
        <is>
          <t>STORFORS</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23933-2021</t>
        </is>
      </c>
      <c r="B4421" s="1" t="n">
        <v>44335</v>
      </c>
      <c r="C4421" s="1" t="n">
        <v>45736</v>
      </c>
      <c r="D4421" t="inlineStr">
        <is>
          <t>VÄRMLANDS LÄN</t>
        </is>
      </c>
      <c r="E4421" t="inlineStr">
        <is>
          <t>KRISTINEHAMN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23808-2021</t>
        </is>
      </c>
      <c r="B4422" s="1" t="n">
        <v>44335</v>
      </c>
      <c r="C4422" s="1" t="n">
        <v>45736</v>
      </c>
      <c r="D4422" t="inlineStr">
        <is>
          <t>VÄRMLANDS LÄN</t>
        </is>
      </c>
      <c r="E4422" t="inlineStr">
        <is>
          <t>STORFORS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23817-2021</t>
        </is>
      </c>
      <c r="B4423" s="1" t="n">
        <v>44335</v>
      </c>
      <c r="C4423" s="1" t="n">
        <v>45736</v>
      </c>
      <c r="D4423" t="inlineStr">
        <is>
          <t>VÄRMLANDS LÄN</t>
        </is>
      </c>
      <c r="E4423" t="inlineStr">
        <is>
          <t>STORFORS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23840-2021</t>
        </is>
      </c>
      <c r="B4424" s="1" t="n">
        <v>44335</v>
      </c>
      <c r="C4424" s="1" t="n">
        <v>45736</v>
      </c>
      <c r="D4424" t="inlineStr">
        <is>
          <t>VÄRMLANDS LÄN</t>
        </is>
      </c>
      <c r="E4424" t="inlineStr">
        <is>
          <t>MUNKFORS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23923-2021</t>
        </is>
      </c>
      <c r="B4425" s="1" t="n">
        <v>44335</v>
      </c>
      <c r="C4425" s="1" t="n">
        <v>45736</v>
      </c>
      <c r="D4425" t="inlineStr">
        <is>
          <t>VÄRMLANDS LÄN</t>
        </is>
      </c>
      <c r="E4425" t="inlineStr">
        <is>
          <t>SUNNE</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23940-2021</t>
        </is>
      </c>
      <c r="B4426" s="1" t="n">
        <v>44335</v>
      </c>
      <c r="C4426" s="1" t="n">
        <v>45736</v>
      </c>
      <c r="D4426" t="inlineStr">
        <is>
          <t>VÄRMLANDS LÄN</t>
        </is>
      </c>
      <c r="E4426" t="inlineStr">
        <is>
          <t>KRISTINEHAMN</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23863-2021</t>
        </is>
      </c>
      <c r="B4427" s="1" t="n">
        <v>44335</v>
      </c>
      <c r="C4427" s="1" t="n">
        <v>45736</v>
      </c>
      <c r="D4427" t="inlineStr">
        <is>
          <t>VÄRMLANDS LÄN</t>
        </is>
      </c>
      <c r="E4427" t="inlineStr">
        <is>
          <t>EDA</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23943-2021</t>
        </is>
      </c>
      <c r="B4428" s="1" t="n">
        <v>44335</v>
      </c>
      <c r="C4428" s="1" t="n">
        <v>45736</v>
      </c>
      <c r="D4428" t="inlineStr">
        <is>
          <t>VÄRMLANDS LÄN</t>
        </is>
      </c>
      <c r="E4428" t="inlineStr">
        <is>
          <t>SUNNE</t>
        </is>
      </c>
      <c r="G4428" t="n">
        <v>20</v>
      </c>
      <c r="H4428" t="n">
        <v>0</v>
      </c>
      <c r="I4428" t="n">
        <v>0</v>
      </c>
      <c r="J4428" t="n">
        <v>0</v>
      </c>
      <c r="K4428" t="n">
        <v>0</v>
      </c>
      <c r="L4428" t="n">
        <v>0</v>
      </c>
      <c r="M4428" t="n">
        <v>0</v>
      </c>
      <c r="N4428" t="n">
        <v>0</v>
      </c>
      <c r="O4428" t="n">
        <v>0</v>
      </c>
      <c r="P4428" t="n">
        <v>0</v>
      </c>
      <c r="Q4428" t="n">
        <v>0</v>
      </c>
      <c r="R4428" s="2" t="inlineStr"/>
    </row>
    <row r="4429" ht="15" customHeight="1">
      <c r="A4429" t="inlineStr">
        <is>
          <t>A 23823-2021</t>
        </is>
      </c>
      <c r="B4429" s="1" t="n">
        <v>44335</v>
      </c>
      <c r="C4429" s="1" t="n">
        <v>45736</v>
      </c>
      <c r="D4429" t="inlineStr">
        <is>
          <t>VÄRMLANDS LÄN</t>
        </is>
      </c>
      <c r="E4429" t="inlineStr">
        <is>
          <t>TORSBY</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24054-2021</t>
        </is>
      </c>
      <c r="B4430" s="1" t="n">
        <v>44336</v>
      </c>
      <c r="C4430" s="1" t="n">
        <v>45736</v>
      </c>
      <c r="D4430" t="inlineStr">
        <is>
          <t>VÄRMLANDS LÄN</t>
        </is>
      </c>
      <c r="E4430" t="inlineStr">
        <is>
          <t>TORSBY</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24066-2021</t>
        </is>
      </c>
      <c r="B4431" s="1" t="n">
        <v>44336</v>
      </c>
      <c r="C4431" s="1" t="n">
        <v>45736</v>
      </c>
      <c r="D4431" t="inlineStr">
        <is>
          <t>VÄRMLANDS LÄN</t>
        </is>
      </c>
      <c r="E4431" t="inlineStr">
        <is>
          <t>SUNNE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24092-2021</t>
        </is>
      </c>
      <c r="B4432" s="1" t="n">
        <v>44336</v>
      </c>
      <c r="C4432" s="1" t="n">
        <v>45736</v>
      </c>
      <c r="D4432" t="inlineStr">
        <is>
          <t>VÄRMLANDS LÄN</t>
        </is>
      </c>
      <c r="E4432" t="inlineStr">
        <is>
          <t>FORSHAGA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24150-2021</t>
        </is>
      </c>
      <c r="B4433" s="1" t="n">
        <v>44336</v>
      </c>
      <c r="C4433" s="1" t="n">
        <v>45736</v>
      </c>
      <c r="D4433" t="inlineStr">
        <is>
          <t>VÄRMLANDS LÄN</t>
        </is>
      </c>
      <c r="E4433" t="inlineStr">
        <is>
          <t>TORSBY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24165-2021</t>
        </is>
      </c>
      <c r="B4434" s="1" t="n">
        <v>44336</v>
      </c>
      <c r="C4434" s="1" t="n">
        <v>45736</v>
      </c>
      <c r="D4434" t="inlineStr">
        <is>
          <t>VÄRMLANDS LÄN</t>
        </is>
      </c>
      <c r="E4434" t="inlineStr">
        <is>
          <t>TORSBY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24332-2021</t>
        </is>
      </c>
      <c r="B4435" s="1" t="n">
        <v>44337</v>
      </c>
      <c r="C4435" s="1" t="n">
        <v>45736</v>
      </c>
      <c r="D4435" t="inlineStr">
        <is>
          <t>VÄRMLANDS LÄN</t>
        </is>
      </c>
      <c r="E4435" t="inlineStr">
        <is>
          <t>SUNNE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24331-2021</t>
        </is>
      </c>
      <c r="B4436" s="1" t="n">
        <v>44337</v>
      </c>
      <c r="C4436" s="1" t="n">
        <v>45736</v>
      </c>
      <c r="D4436" t="inlineStr">
        <is>
          <t>VÄRMLANDS LÄN</t>
        </is>
      </c>
      <c r="E4436" t="inlineStr">
        <is>
          <t>HAGFORS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24334-2021</t>
        </is>
      </c>
      <c r="B4437" s="1" t="n">
        <v>44337</v>
      </c>
      <c r="C4437" s="1" t="n">
        <v>45736</v>
      </c>
      <c r="D4437" t="inlineStr">
        <is>
          <t>VÄRMLANDS LÄN</t>
        </is>
      </c>
      <c r="E4437" t="inlineStr">
        <is>
          <t>KRISTINEHAMN</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24429-2021</t>
        </is>
      </c>
      <c r="B4438" s="1" t="n">
        <v>44337</v>
      </c>
      <c r="C4438" s="1" t="n">
        <v>45736</v>
      </c>
      <c r="D4438" t="inlineStr">
        <is>
          <t>VÄRMLANDS LÄN</t>
        </is>
      </c>
      <c r="E4438" t="inlineStr">
        <is>
          <t>SUNNE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24461-2021</t>
        </is>
      </c>
      <c r="B4439" s="1" t="n">
        <v>44337</v>
      </c>
      <c r="C4439" s="1" t="n">
        <v>45736</v>
      </c>
      <c r="D4439" t="inlineStr">
        <is>
          <t>VÄRMLANDS LÄN</t>
        </is>
      </c>
      <c r="E4439" t="inlineStr">
        <is>
          <t>EDA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24492-2021</t>
        </is>
      </c>
      <c r="B4440" s="1" t="n">
        <v>44337</v>
      </c>
      <c r="C4440" s="1" t="n">
        <v>45736</v>
      </c>
      <c r="D4440" t="inlineStr">
        <is>
          <t>VÄRMLANDS LÄN</t>
        </is>
      </c>
      <c r="E4440" t="inlineStr">
        <is>
          <t>HAGFORS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24765-2021</t>
        </is>
      </c>
      <c r="B4441" s="1" t="n">
        <v>44340</v>
      </c>
      <c r="C4441" s="1" t="n">
        <v>45736</v>
      </c>
      <c r="D4441" t="inlineStr">
        <is>
          <t>VÄRMLANDS LÄN</t>
        </is>
      </c>
      <c r="E4441" t="inlineStr">
        <is>
          <t>KIL</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24593-2021</t>
        </is>
      </c>
      <c r="B4442" s="1" t="n">
        <v>44340</v>
      </c>
      <c r="C4442" s="1" t="n">
        <v>45736</v>
      </c>
      <c r="D4442" t="inlineStr">
        <is>
          <t>VÄRMLANDS LÄN</t>
        </is>
      </c>
      <c r="E4442" t="inlineStr">
        <is>
          <t>SÄFFLE</t>
        </is>
      </c>
      <c r="G4442" t="n">
        <v>14.1</v>
      </c>
      <c r="H4442" t="n">
        <v>0</v>
      </c>
      <c r="I4442" t="n">
        <v>0</v>
      </c>
      <c r="J4442" t="n">
        <v>0</v>
      </c>
      <c r="K4442" t="n">
        <v>0</v>
      </c>
      <c r="L4442" t="n">
        <v>0</v>
      </c>
      <c r="M4442" t="n">
        <v>0</v>
      </c>
      <c r="N4442" t="n">
        <v>0</v>
      </c>
      <c r="O4442" t="n">
        <v>0</v>
      </c>
      <c r="P4442" t="n">
        <v>0</v>
      </c>
      <c r="Q4442" t="n">
        <v>0</v>
      </c>
      <c r="R4442" s="2" t="inlineStr"/>
    </row>
    <row r="4443" ht="15" customHeight="1">
      <c r="A4443" t="inlineStr">
        <is>
          <t>A 24668-2021</t>
        </is>
      </c>
      <c r="B4443" s="1" t="n">
        <v>44340</v>
      </c>
      <c r="C4443" s="1" t="n">
        <v>45736</v>
      </c>
      <c r="D4443" t="inlineStr">
        <is>
          <t>VÄRMLANDS LÄN</t>
        </is>
      </c>
      <c r="E4443" t="inlineStr">
        <is>
          <t>ARVIKA</t>
        </is>
      </c>
      <c r="F4443" t="inlineStr">
        <is>
          <t>Bergvik skog väst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25036-2021</t>
        </is>
      </c>
      <c r="B4444" s="1" t="n">
        <v>44341</v>
      </c>
      <c r="C4444" s="1" t="n">
        <v>45736</v>
      </c>
      <c r="D4444" t="inlineStr">
        <is>
          <t>VÄRMLANDS LÄN</t>
        </is>
      </c>
      <c r="E4444" t="inlineStr">
        <is>
          <t>HAGFORS</t>
        </is>
      </c>
      <c r="F4444" t="inlineStr">
        <is>
          <t>Bergvik skog väst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25096-2021</t>
        </is>
      </c>
      <c r="B4445" s="1" t="n">
        <v>44341</v>
      </c>
      <c r="C4445" s="1" t="n">
        <v>45736</v>
      </c>
      <c r="D4445" t="inlineStr">
        <is>
          <t>VÄRMLANDS LÄN</t>
        </is>
      </c>
      <c r="E4445" t="inlineStr">
        <is>
          <t>TORSBY</t>
        </is>
      </c>
      <c r="F4445" t="inlineStr">
        <is>
          <t>Bergvik skog väst AB</t>
        </is>
      </c>
      <c r="G4445" t="n">
        <v>14.7</v>
      </c>
      <c r="H4445" t="n">
        <v>0</v>
      </c>
      <c r="I4445" t="n">
        <v>0</v>
      </c>
      <c r="J4445" t="n">
        <v>0</v>
      </c>
      <c r="K4445" t="n">
        <v>0</v>
      </c>
      <c r="L4445" t="n">
        <v>0</v>
      </c>
      <c r="M4445" t="n">
        <v>0</v>
      </c>
      <c r="N4445" t="n">
        <v>0</v>
      </c>
      <c r="O4445" t="n">
        <v>0</v>
      </c>
      <c r="P4445" t="n">
        <v>0</v>
      </c>
      <c r="Q4445" t="n">
        <v>0</v>
      </c>
      <c r="R4445" s="2" t="inlineStr"/>
    </row>
    <row r="4446" ht="15" customHeight="1">
      <c r="A4446" t="inlineStr">
        <is>
          <t>A 25209-2021</t>
        </is>
      </c>
      <c r="B4446" s="1" t="n">
        <v>44342</v>
      </c>
      <c r="C4446" s="1" t="n">
        <v>45736</v>
      </c>
      <c r="D4446" t="inlineStr">
        <is>
          <t>VÄRMLANDS LÄN</t>
        </is>
      </c>
      <c r="E4446" t="inlineStr">
        <is>
          <t>KRISTINEHAMN</t>
        </is>
      </c>
      <c r="F4446" t="inlineStr">
        <is>
          <t>Sveaskog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25180-2021</t>
        </is>
      </c>
      <c r="B4447" s="1" t="n">
        <v>44342</v>
      </c>
      <c r="C4447" s="1" t="n">
        <v>45736</v>
      </c>
      <c r="D4447" t="inlineStr">
        <is>
          <t>VÄRMLANDS LÄN</t>
        </is>
      </c>
      <c r="E4447" t="inlineStr">
        <is>
          <t>EDA</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25206-2021</t>
        </is>
      </c>
      <c r="B4448" s="1" t="n">
        <v>44342</v>
      </c>
      <c r="C4448" s="1" t="n">
        <v>45736</v>
      </c>
      <c r="D4448" t="inlineStr">
        <is>
          <t>VÄRMLANDS LÄN</t>
        </is>
      </c>
      <c r="E4448" t="inlineStr">
        <is>
          <t>KRISTINEHAMN</t>
        </is>
      </c>
      <c r="F4448" t="inlineStr">
        <is>
          <t>Sveaskog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25208-2021</t>
        </is>
      </c>
      <c r="B4449" s="1" t="n">
        <v>44342</v>
      </c>
      <c r="C4449" s="1" t="n">
        <v>45736</v>
      </c>
      <c r="D4449" t="inlineStr">
        <is>
          <t>VÄRMLANDS LÄN</t>
        </is>
      </c>
      <c r="E4449" t="inlineStr">
        <is>
          <t>KRISTINEHAMN</t>
        </is>
      </c>
      <c r="F4449" t="inlineStr">
        <is>
          <t>Sveaskog</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25248-2021</t>
        </is>
      </c>
      <c r="B4450" s="1" t="n">
        <v>44342</v>
      </c>
      <c r="C4450" s="1" t="n">
        <v>45736</v>
      </c>
      <c r="D4450" t="inlineStr">
        <is>
          <t>VÄRMLANDS LÄN</t>
        </is>
      </c>
      <c r="E4450" t="inlineStr">
        <is>
          <t>KARLSTAD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25207-2021</t>
        </is>
      </c>
      <c r="B4451" s="1" t="n">
        <v>44342</v>
      </c>
      <c r="C4451" s="1" t="n">
        <v>45736</v>
      </c>
      <c r="D4451" t="inlineStr">
        <is>
          <t>VÄRMLANDS LÄN</t>
        </is>
      </c>
      <c r="E4451" t="inlineStr">
        <is>
          <t>KRISTINEHAMN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25247-2021</t>
        </is>
      </c>
      <c r="B4452" s="1" t="n">
        <v>44342</v>
      </c>
      <c r="C4452" s="1" t="n">
        <v>45736</v>
      </c>
      <c r="D4452" t="inlineStr">
        <is>
          <t>VÄRMLANDS LÄN</t>
        </is>
      </c>
      <c r="E4452" t="inlineStr">
        <is>
          <t>TORSBY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25399-2021</t>
        </is>
      </c>
      <c r="B4453" s="1" t="n">
        <v>44342</v>
      </c>
      <c r="C4453" s="1" t="n">
        <v>45736</v>
      </c>
      <c r="D4453" t="inlineStr">
        <is>
          <t>VÄRMLANDS LÄN</t>
        </is>
      </c>
      <c r="E4453" t="inlineStr">
        <is>
          <t>GRUMS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25454-2021</t>
        </is>
      </c>
      <c r="B4454" s="1" t="n">
        <v>44342</v>
      </c>
      <c r="C4454" s="1" t="n">
        <v>45736</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25544-2021</t>
        </is>
      </c>
      <c r="B4455" s="1" t="n">
        <v>44342</v>
      </c>
      <c r="C4455" s="1" t="n">
        <v>45736</v>
      </c>
      <c r="D4455" t="inlineStr">
        <is>
          <t>VÄRMLANDS LÄN</t>
        </is>
      </c>
      <c r="E4455" t="inlineStr">
        <is>
          <t>ARVIKA</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25580-2021</t>
        </is>
      </c>
      <c r="B4456" s="1" t="n">
        <v>44343</v>
      </c>
      <c r="C4456" s="1" t="n">
        <v>45736</v>
      </c>
      <c r="D4456" t="inlineStr">
        <is>
          <t>VÄRMLANDS LÄN</t>
        </is>
      </c>
      <c r="E4456" t="inlineStr">
        <is>
          <t>SÄFFLE</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25605-2021</t>
        </is>
      </c>
      <c r="B4457" s="1" t="n">
        <v>44343</v>
      </c>
      <c r="C4457" s="1" t="n">
        <v>45736</v>
      </c>
      <c r="D4457" t="inlineStr">
        <is>
          <t>VÄRMLANDS LÄN</t>
        </is>
      </c>
      <c r="E4457" t="inlineStr">
        <is>
          <t>SUNNE</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25796-2021</t>
        </is>
      </c>
      <c r="B4458" s="1" t="n">
        <v>44343</v>
      </c>
      <c r="C4458" s="1" t="n">
        <v>45736</v>
      </c>
      <c r="D4458" t="inlineStr">
        <is>
          <t>VÄRMLANDS LÄN</t>
        </is>
      </c>
      <c r="E4458" t="inlineStr">
        <is>
          <t>SUNNE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25797-2021</t>
        </is>
      </c>
      <c r="B4459" s="1" t="n">
        <v>44343</v>
      </c>
      <c r="C4459" s="1" t="n">
        <v>45736</v>
      </c>
      <c r="D4459" t="inlineStr">
        <is>
          <t>VÄRMLANDS LÄN</t>
        </is>
      </c>
      <c r="E4459" t="inlineStr">
        <is>
          <t>SUNNE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25770-2021</t>
        </is>
      </c>
      <c r="B4460" s="1" t="n">
        <v>44343</v>
      </c>
      <c r="C4460" s="1" t="n">
        <v>45736</v>
      </c>
      <c r="D4460" t="inlineStr">
        <is>
          <t>VÄRMLANDS LÄN</t>
        </is>
      </c>
      <c r="E4460" t="inlineStr">
        <is>
          <t>HAGFORS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25792-2021</t>
        </is>
      </c>
      <c r="B4461" s="1" t="n">
        <v>44343</v>
      </c>
      <c r="C4461" s="1" t="n">
        <v>45736</v>
      </c>
      <c r="D4461" t="inlineStr">
        <is>
          <t>VÄRMLANDS LÄN</t>
        </is>
      </c>
      <c r="E4461" t="inlineStr">
        <is>
          <t>SUNNE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25850-2021</t>
        </is>
      </c>
      <c r="B4462" s="1" t="n">
        <v>44344</v>
      </c>
      <c r="C4462" s="1" t="n">
        <v>45736</v>
      </c>
      <c r="D4462" t="inlineStr">
        <is>
          <t>VÄRMLANDS LÄN</t>
        </is>
      </c>
      <c r="E4462" t="inlineStr">
        <is>
          <t>SÄFFLE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25920-2021</t>
        </is>
      </c>
      <c r="B4463" s="1" t="n">
        <v>44344</v>
      </c>
      <c r="C4463" s="1" t="n">
        <v>45736</v>
      </c>
      <c r="D4463" t="inlineStr">
        <is>
          <t>VÄRMLANDS LÄN</t>
        </is>
      </c>
      <c r="E4463" t="inlineStr">
        <is>
          <t>TORSBY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25846-2021</t>
        </is>
      </c>
      <c r="B4464" s="1" t="n">
        <v>44344</v>
      </c>
      <c r="C4464" s="1" t="n">
        <v>45736</v>
      </c>
      <c r="D4464" t="inlineStr">
        <is>
          <t>VÄRMLANDS LÄN</t>
        </is>
      </c>
      <c r="E4464" t="inlineStr">
        <is>
          <t>SÄFFLE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26082-2021</t>
        </is>
      </c>
      <c r="B4465" s="1" t="n">
        <v>44344</v>
      </c>
      <c r="C4465" s="1" t="n">
        <v>45736</v>
      </c>
      <c r="D4465" t="inlineStr">
        <is>
          <t>VÄRMLANDS LÄN</t>
        </is>
      </c>
      <c r="E4465" t="inlineStr">
        <is>
          <t>TORSBY</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26211-2021</t>
        </is>
      </c>
      <c r="B4466" s="1" t="n">
        <v>44347</v>
      </c>
      <c r="C4466" s="1" t="n">
        <v>45736</v>
      </c>
      <c r="D4466" t="inlineStr">
        <is>
          <t>VÄRMLANDS LÄN</t>
        </is>
      </c>
      <c r="E4466" t="inlineStr">
        <is>
          <t>ÅRJÄNG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26223-2021</t>
        </is>
      </c>
      <c r="B4467" s="1" t="n">
        <v>44347</v>
      </c>
      <c r="C4467" s="1" t="n">
        <v>45736</v>
      </c>
      <c r="D4467" t="inlineStr">
        <is>
          <t>VÄRMLANDS LÄN</t>
        </is>
      </c>
      <c r="E4467" t="inlineStr">
        <is>
          <t>TORSBY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26358-2021</t>
        </is>
      </c>
      <c r="B4468" s="1" t="n">
        <v>44347</v>
      </c>
      <c r="C4468" s="1" t="n">
        <v>45736</v>
      </c>
      <c r="D4468" t="inlineStr">
        <is>
          <t>VÄRMLANDS LÄN</t>
        </is>
      </c>
      <c r="E4468" t="inlineStr">
        <is>
          <t>SÄFFLE</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26284-2021</t>
        </is>
      </c>
      <c r="B4469" s="1" t="n">
        <v>44347</v>
      </c>
      <c r="C4469" s="1" t="n">
        <v>45736</v>
      </c>
      <c r="D4469" t="inlineStr">
        <is>
          <t>VÄRMLANDS LÄN</t>
        </is>
      </c>
      <c r="E4469" t="inlineStr">
        <is>
          <t>ÅRJÄNG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26353-2021</t>
        </is>
      </c>
      <c r="B4470" s="1" t="n">
        <v>44347</v>
      </c>
      <c r="C4470" s="1" t="n">
        <v>45736</v>
      </c>
      <c r="D4470" t="inlineStr">
        <is>
          <t>VÄRMLANDS LÄN</t>
        </is>
      </c>
      <c r="E4470" t="inlineStr">
        <is>
          <t>SÄFFLE</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26300-2021</t>
        </is>
      </c>
      <c r="B4471" s="1" t="n">
        <v>44347</v>
      </c>
      <c r="C4471" s="1" t="n">
        <v>45736</v>
      </c>
      <c r="D4471" t="inlineStr">
        <is>
          <t>VÄRMLANDS LÄN</t>
        </is>
      </c>
      <c r="E4471" t="inlineStr">
        <is>
          <t>SUNNE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26317-2021</t>
        </is>
      </c>
      <c r="B4472" s="1" t="n">
        <v>44347</v>
      </c>
      <c r="C4472" s="1" t="n">
        <v>45736</v>
      </c>
      <c r="D4472" t="inlineStr">
        <is>
          <t>VÄRMLANDS LÄN</t>
        </is>
      </c>
      <c r="E4472" t="inlineStr">
        <is>
          <t>KRISTINEHAMN</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26377-2021</t>
        </is>
      </c>
      <c r="B4473" s="1" t="n">
        <v>44347</v>
      </c>
      <c r="C4473" s="1" t="n">
        <v>45736</v>
      </c>
      <c r="D4473" t="inlineStr">
        <is>
          <t>VÄRMLANDS LÄN</t>
        </is>
      </c>
      <c r="E4473" t="inlineStr">
        <is>
          <t>FILIPSTAD</t>
        </is>
      </c>
      <c r="F4473" t="inlineStr">
        <is>
          <t>Bergvik skog väst AB</t>
        </is>
      </c>
      <c r="G4473" t="n">
        <v>25.9</v>
      </c>
      <c r="H4473" t="n">
        <v>0</v>
      </c>
      <c r="I4473" t="n">
        <v>0</v>
      </c>
      <c r="J4473" t="n">
        <v>0</v>
      </c>
      <c r="K4473" t="n">
        <v>0</v>
      </c>
      <c r="L4473" t="n">
        <v>0</v>
      </c>
      <c r="M4473" t="n">
        <v>0</v>
      </c>
      <c r="N4473" t="n">
        <v>0</v>
      </c>
      <c r="O4473" t="n">
        <v>0</v>
      </c>
      <c r="P4473" t="n">
        <v>0</v>
      </c>
      <c r="Q4473" t="n">
        <v>0</v>
      </c>
      <c r="R4473" s="2" t="inlineStr"/>
    </row>
    <row r="4474" ht="15" customHeight="1">
      <c r="A4474" t="inlineStr">
        <is>
          <t>A 26427-2021</t>
        </is>
      </c>
      <c r="B4474" s="1" t="n">
        <v>44347</v>
      </c>
      <c r="C4474" s="1" t="n">
        <v>45736</v>
      </c>
      <c r="D4474" t="inlineStr">
        <is>
          <t>VÄRMLANDS LÄN</t>
        </is>
      </c>
      <c r="E4474" t="inlineStr">
        <is>
          <t>KRISTINEHAMN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26558-2021</t>
        </is>
      </c>
      <c r="B4475" s="1" t="n">
        <v>44348</v>
      </c>
      <c r="C4475" s="1" t="n">
        <v>45736</v>
      </c>
      <c r="D4475" t="inlineStr">
        <is>
          <t>VÄRMLANDS LÄN</t>
        </is>
      </c>
      <c r="E4475" t="inlineStr">
        <is>
          <t>TORSBY</t>
        </is>
      </c>
      <c r="G4475" t="n">
        <v>19.7</v>
      </c>
      <c r="H4475" t="n">
        <v>0</v>
      </c>
      <c r="I4475" t="n">
        <v>0</v>
      </c>
      <c r="J4475" t="n">
        <v>0</v>
      </c>
      <c r="K4475" t="n">
        <v>0</v>
      </c>
      <c r="L4475" t="n">
        <v>0</v>
      </c>
      <c r="M4475" t="n">
        <v>0</v>
      </c>
      <c r="N4475" t="n">
        <v>0</v>
      </c>
      <c r="O4475" t="n">
        <v>0</v>
      </c>
      <c r="P4475" t="n">
        <v>0</v>
      </c>
      <c r="Q4475" t="n">
        <v>0</v>
      </c>
      <c r="R4475" s="2" t="inlineStr"/>
    </row>
    <row r="4476" ht="15" customHeight="1">
      <c r="A4476" t="inlineStr">
        <is>
          <t>A 26580-2021</t>
        </is>
      </c>
      <c r="B4476" s="1" t="n">
        <v>44348</v>
      </c>
      <c r="C4476" s="1" t="n">
        <v>45736</v>
      </c>
      <c r="D4476" t="inlineStr">
        <is>
          <t>VÄRMLANDS LÄN</t>
        </is>
      </c>
      <c r="E4476" t="inlineStr">
        <is>
          <t>SUNNE</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26645-2021</t>
        </is>
      </c>
      <c r="B4477" s="1" t="n">
        <v>44348</v>
      </c>
      <c r="C4477" s="1" t="n">
        <v>45736</v>
      </c>
      <c r="D4477" t="inlineStr">
        <is>
          <t>VÄRMLANDS LÄN</t>
        </is>
      </c>
      <c r="E4477" t="inlineStr">
        <is>
          <t>KIL</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27031-2021</t>
        </is>
      </c>
      <c r="B4478" s="1" t="n">
        <v>44350</v>
      </c>
      <c r="C4478" s="1" t="n">
        <v>45736</v>
      </c>
      <c r="D4478" t="inlineStr">
        <is>
          <t>VÄRMLANDS LÄN</t>
        </is>
      </c>
      <c r="E4478" t="inlineStr">
        <is>
          <t>EDA</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27162-2021</t>
        </is>
      </c>
      <c r="B4479" s="1" t="n">
        <v>44350</v>
      </c>
      <c r="C4479" s="1" t="n">
        <v>45736</v>
      </c>
      <c r="D4479" t="inlineStr">
        <is>
          <t>VÄRMLANDS LÄN</t>
        </is>
      </c>
      <c r="E4479" t="inlineStr">
        <is>
          <t>ARVIKA</t>
        </is>
      </c>
      <c r="F4479" t="inlineStr">
        <is>
          <t>Bergvik skog väst AB</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26999-2021</t>
        </is>
      </c>
      <c r="B4480" s="1" t="n">
        <v>44350</v>
      </c>
      <c r="C4480" s="1" t="n">
        <v>45736</v>
      </c>
      <c r="D4480" t="inlineStr">
        <is>
          <t>VÄRMLANDS LÄN</t>
        </is>
      </c>
      <c r="E4480" t="inlineStr">
        <is>
          <t>ARVIKA</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27001-2021</t>
        </is>
      </c>
      <c r="B4481" s="1" t="n">
        <v>44350</v>
      </c>
      <c r="C4481" s="1" t="n">
        <v>45736</v>
      </c>
      <c r="D4481" t="inlineStr">
        <is>
          <t>VÄRMLANDS LÄN</t>
        </is>
      </c>
      <c r="E4481" t="inlineStr">
        <is>
          <t>ÅRJÄNG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27045-2021</t>
        </is>
      </c>
      <c r="B4482" s="1" t="n">
        <v>44350</v>
      </c>
      <c r="C4482" s="1" t="n">
        <v>45736</v>
      </c>
      <c r="D4482" t="inlineStr">
        <is>
          <t>VÄRMLANDS LÄN</t>
        </is>
      </c>
      <c r="E4482" t="inlineStr">
        <is>
          <t>ÅRJÄNG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27224-2021</t>
        </is>
      </c>
      <c r="B4483" s="1" t="n">
        <v>44350</v>
      </c>
      <c r="C4483" s="1" t="n">
        <v>45736</v>
      </c>
      <c r="D4483" t="inlineStr">
        <is>
          <t>VÄRMLANDS LÄN</t>
        </is>
      </c>
      <c r="E4483" t="inlineStr">
        <is>
          <t>SUNNE</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27408-2021</t>
        </is>
      </c>
      <c r="B4484" s="1" t="n">
        <v>44351</v>
      </c>
      <c r="C4484" s="1" t="n">
        <v>45736</v>
      </c>
      <c r="D4484" t="inlineStr">
        <is>
          <t>VÄRMLANDS LÄN</t>
        </is>
      </c>
      <c r="E4484" t="inlineStr">
        <is>
          <t>SUNNE</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27446-2021</t>
        </is>
      </c>
      <c r="B4485" s="1" t="n">
        <v>44351</v>
      </c>
      <c r="C4485" s="1" t="n">
        <v>45736</v>
      </c>
      <c r="D4485" t="inlineStr">
        <is>
          <t>VÄRMLANDS LÄN</t>
        </is>
      </c>
      <c r="E4485" t="inlineStr">
        <is>
          <t>TORSBY</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27455-2021</t>
        </is>
      </c>
      <c r="B4486" s="1" t="n">
        <v>44351</v>
      </c>
      <c r="C4486" s="1" t="n">
        <v>45736</v>
      </c>
      <c r="D4486" t="inlineStr">
        <is>
          <t>VÄRMLANDS LÄN</t>
        </is>
      </c>
      <c r="E4486" t="inlineStr">
        <is>
          <t>HAGFORS</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27329-2021</t>
        </is>
      </c>
      <c r="B4487" s="1" t="n">
        <v>44351</v>
      </c>
      <c r="C4487" s="1" t="n">
        <v>45736</v>
      </c>
      <c r="D4487" t="inlineStr">
        <is>
          <t>VÄRMLANDS LÄN</t>
        </is>
      </c>
      <c r="E4487" t="inlineStr">
        <is>
          <t>ARVIKA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27420-2021</t>
        </is>
      </c>
      <c r="B4488" s="1" t="n">
        <v>44351</v>
      </c>
      <c r="C4488" s="1" t="n">
        <v>45736</v>
      </c>
      <c r="D4488" t="inlineStr">
        <is>
          <t>VÄRMLANDS LÄN</t>
        </is>
      </c>
      <c r="E4488" t="inlineStr">
        <is>
          <t>KRISTINEHAMN</t>
        </is>
      </c>
      <c r="G4488" t="n">
        <v>12.5</v>
      </c>
      <c r="H4488" t="n">
        <v>0</v>
      </c>
      <c r="I4488" t="n">
        <v>0</v>
      </c>
      <c r="J4488" t="n">
        <v>0</v>
      </c>
      <c r="K4488" t="n">
        <v>0</v>
      </c>
      <c r="L4488" t="n">
        <v>0</v>
      </c>
      <c r="M4488" t="n">
        <v>0</v>
      </c>
      <c r="N4488" t="n">
        <v>0</v>
      </c>
      <c r="O4488" t="n">
        <v>0</v>
      </c>
      <c r="P4488" t="n">
        <v>0</v>
      </c>
      <c r="Q4488" t="n">
        <v>0</v>
      </c>
      <c r="R4488" s="2" t="inlineStr"/>
    </row>
    <row r="4489" ht="15" customHeight="1">
      <c r="A4489" t="inlineStr">
        <is>
          <t>A 27340-2021</t>
        </is>
      </c>
      <c r="B4489" s="1" t="n">
        <v>44351</v>
      </c>
      <c r="C4489" s="1" t="n">
        <v>45736</v>
      </c>
      <c r="D4489" t="inlineStr">
        <is>
          <t>VÄRMLANDS LÄN</t>
        </is>
      </c>
      <c r="E4489" t="inlineStr">
        <is>
          <t>SÄFFLE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27411-2021</t>
        </is>
      </c>
      <c r="B4490" s="1" t="n">
        <v>44351</v>
      </c>
      <c r="C4490" s="1" t="n">
        <v>45736</v>
      </c>
      <c r="D4490" t="inlineStr">
        <is>
          <t>VÄRMLANDS LÄN</t>
        </is>
      </c>
      <c r="E4490" t="inlineStr">
        <is>
          <t>TORSBY</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27362-2021</t>
        </is>
      </c>
      <c r="B4491" s="1" t="n">
        <v>44351</v>
      </c>
      <c r="C4491" s="1" t="n">
        <v>45736</v>
      </c>
      <c r="D4491" t="inlineStr">
        <is>
          <t>VÄRMLANDS LÄN</t>
        </is>
      </c>
      <c r="E4491" t="inlineStr">
        <is>
          <t>TORSBY</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27300-2021</t>
        </is>
      </c>
      <c r="B4492" s="1" t="n">
        <v>44351</v>
      </c>
      <c r="C4492" s="1" t="n">
        <v>45736</v>
      </c>
      <c r="D4492" t="inlineStr">
        <is>
          <t>VÄRMLANDS LÄN</t>
        </is>
      </c>
      <c r="E4492" t="inlineStr">
        <is>
          <t>EDA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27641-2021</t>
        </is>
      </c>
      <c r="B4493" s="1" t="n">
        <v>44354</v>
      </c>
      <c r="C4493" s="1" t="n">
        <v>45736</v>
      </c>
      <c r="D4493" t="inlineStr">
        <is>
          <t>VÄRMLANDS LÄN</t>
        </is>
      </c>
      <c r="E4493" t="inlineStr">
        <is>
          <t>SÄFFLE</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27670-2021</t>
        </is>
      </c>
      <c r="B4494" s="1" t="n">
        <v>44354</v>
      </c>
      <c r="C4494" s="1" t="n">
        <v>45736</v>
      </c>
      <c r="D4494" t="inlineStr">
        <is>
          <t>VÄRMLANDS LÄN</t>
        </is>
      </c>
      <c r="E4494" t="inlineStr">
        <is>
          <t>KARLSTAD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27688-2021</t>
        </is>
      </c>
      <c r="B4495" s="1" t="n">
        <v>44354</v>
      </c>
      <c r="C4495" s="1" t="n">
        <v>45736</v>
      </c>
      <c r="D4495" t="inlineStr">
        <is>
          <t>VÄRMLANDS LÄN</t>
        </is>
      </c>
      <c r="E4495" t="inlineStr">
        <is>
          <t>KARLSTAD</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27745-2021</t>
        </is>
      </c>
      <c r="B4496" s="1" t="n">
        <v>44354</v>
      </c>
      <c r="C4496" s="1" t="n">
        <v>45736</v>
      </c>
      <c r="D4496" t="inlineStr">
        <is>
          <t>VÄRMLANDS LÄN</t>
        </is>
      </c>
      <c r="E4496" t="inlineStr">
        <is>
          <t>ÅRJÄNG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27815-2021</t>
        </is>
      </c>
      <c r="B4497" s="1" t="n">
        <v>44354</v>
      </c>
      <c r="C4497" s="1" t="n">
        <v>45736</v>
      </c>
      <c r="D4497" t="inlineStr">
        <is>
          <t>VÄRMLANDS LÄN</t>
        </is>
      </c>
      <c r="E4497" t="inlineStr">
        <is>
          <t>KRISTINEHAMN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27836-2021</t>
        </is>
      </c>
      <c r="B4498" s="1" t="n">
        <v>44354</v>
      </c>
      <c r="C4498" s="1" t="n">
        <v>45736</v>
      </c>
      <c r="D4498" t="inlineStr">
        <is>
          <t>VÄRMLANDS LÄN</t>
        </is>
      </c>
      <c r="E4498" t="inlineStr">
        <is>
          <t>KRISTINEHAMN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27871-2021</t>
        </is>
      </c>
      <c r="B4499" s="1" t="n">
        <v>44354</v>
      </c>
      <c r="C4499" s="1" t="n">
        <v>45736</v>
      </c>
      <c r="D4499" t="inlineStr">
        <is>
          <t>VÄRMLANDS LÄN</t>
        </is>
      </c>
      <c r="E4499" t="inlineStr">
        <is>
          <t>ÅRJÄNG</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27862-2021</t>
        </is>
      </c>
      <c r="B4500" s="1" t="n">
        <v>44354</v>
      </c>
      <c r="C4500" s="1" t="n">
        <v>45736</v>
      </c>
      <c r="D4500" t="inlineStr">
        <is>
          <t>VÄRMLANDS LÄN</t>
        </is>
      </c>
      <c r="E4500" t="inlineStr">
        <is>
          <t>ÅRJÄNG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27932-2021</t>
        </is>
      </c>
      <c r="B4501" s="1" t="n">
        <v>44354</v>
      </c>
      <c r="C4501" s="1" t="n">
        <v>45736</v>
      </c>
      <c r="D4501" t="inlineStr">
        <is>
          <t>VÄRMLANDS LÄN</t>
        </is>
      </c>
      <c r="E4501" t="inlineStr">
        <is>
          <t>TORSBY</t>
        </is>
      </c>
      <c r="F4501" t="inlineStr">
        <is>
          <t>Bergvik skog väst AB</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28084-2021</t>
        </is>
      </c>
      <c r="B4502" s="1" t="n">
        <v>44355</v>
      </c>
      <c r="C4502" s="1" t="n">
        <v>45736</v>
      </c>
      <c r="D4502" t="inlineStr">
        <is>
          <t>VÄRMLANDS LÄN</t>
        </is>
      </c>
      <c r="E4502" t="inlineStr">
        <is>
          <t>KRISTINEHAMN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28144-2021</t>
        </is>
      </c>
      <c r="B4503" s="1" t="n">
        <v>44355</v>
      </c>
      <c r="C4503" s="1" t="n">
        <v>45736</v>
      </c>
      <c r="D4503" t="inlineStr">
        <is>
          <t>VÄRMLANDS LÄN</t>
        </is>
      </c>
      <c r="E4503" t="inlineStr">
        <is>
          <t>SUNNE</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28351-2021</t>
        </is>
      </c>
      <c r="B4504" s="1" t="n">
        <v>44356</v>
      </c>
      <c r="C4504" s="1" t="n">
        <v>45736</v>
      </c>
      <c r="D4504" t="inlineStr">
        <is>
          <t>VÄRMLANDS LÄN</t>
        </is>
      </c>
      <c r="E4504" t="inlineStr">
        <is>
          <t>FILIPSTAD</t>
        </is>
      </c>
      <c r="F4504" t="inlineStr">
        <is>
          <t>Bergvik skog väst AB</t>
        </is>
      </c>
      <c r="G4504" t="n">
        <v>13.4</v>
      </c>
      <c r="H4504" t="n">
        <v>0</v>
      </c>
      <c r="I4504" t="n">
        <v>0</v>
      </c>
      <c r="J4504" t="n">
        <v>0</v>
      </c>
      <c r="K4504" t="n">
        <v>0</v>
      </c>
      <c r="L4504" t="n">
        <v>0</v>
      </c>
      <c r="M4504" t="n">
        <v>0</v>
      </c>
      <c r="N4504" t="n">
        <v>0</v>
      </c>
      <c r="O4504" t="n">
        <v>0</v>
      </c>
      <c r="P4504" t="n">
        <v>0</v>
      </c>
      <c r="Q4504" t="n">
        <v>0</v>
      </c>
      <c r="R4504" s="2" t="inlineStr"/>
    </row>
    <row r="4505" ht="15" customHeight="1">
      <c r="A4505" t="inlineStr">
        <is>
          <t>A 28352-2021</t>
        </is>
      </c>
      <c r="B4505" s="1" t="n">
        <v>44356</v>
      </c>
      <c r="C4505" s="1" t="n">
        <v>45736</v>
      </c>
      <c r="D4505" t="inlineStr">
        <is>
          <t>VÄRMLANDS LÄN</t>
        </is>
      </c>
      <c r="E4505" t="inlineStr">
        <is>
          <t>EDA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28492-2021</t>
        </is>
      </c>
      <c r="B4506" s="1" t="n">
        <v>44356</v>
      </c>
      <c r="C4506" s="1" t="n">
        <v>45736</v>
      </c>
      <c r="D4506" t="inlineStr">
        <is>
          <t>VÄRMLANDS LÄN</t>
        </is>
      </c>
      <c r="E4506" t="inlineStr">
        <is>
          <t>SUNNE</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28529-2021</t>
        </is>
      </c>
      <c r="B4507" s="1" t="n">
        <v>44356</v>
      </c>
      <c r="C4507" s="1" t="n">
        <v>45736</v>
      </c>
      <c r="D4507" t="inlineStr">
        <is>
          <t>VÄRMLANDS LÄN</t>
        </is>
      </c>
      <c r="E4507" t="inlineStr">
        <is>
          <t>KRISTINEHAMN</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28559-2021</t>
        </is>
      </c>
      <c r="B4508" s="1" t="n">
        <v>44356</v>
      </c>
      <c r="C4508" s="1" t="n">
        <v>45736</v>
      </c>
      <c r="D4508" t="inlineStr">
        <is>
          <t>VÄRMLANDS LÄN</t>
        </is>
      </c>
      <c r="E4508" t="inlineStr">
        <is>
          <t>TORSBY</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28437-2021</t>
        </is>
      </c>
      <c r="B4509" s="1" t="n">
        <v>44356</v>
      </c>
      <c r="C4509" s="1" t="n">
        <v>45736</v>
      </c>
      <c r="D4509" t="inlineStr">
        <is>
          <t>VÄRMLANDS LÄN</t>
        </is>
      </c>
      <c r="E4509" t="inlineStr">
        <is>
          <t>ÅRJÄNG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28471-2021</t>
        </is>
      </c>
      <c r="B4510" s="1" t="n">
        <v>44356</v>
      </c>
      <c r="C4510" s="1" t="n">
        <v>45736</v>
      </c>
      <c r="D4510" t="inlineStr">
        <is>
          <t>VÄRMLANDS LÄN</t>
        </is>
      </c>
      <c r="E4510" t="inlineStr">
        <is>
          <t>EDA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28488-2021</t>
        </is>
      </c>
      <c r="B4511" s="1" t="n">
        <v>44356</v>
      </c>
      <c r="C4511" s="1" t="n">
        <v>45736</v>
      </c>
      <c r="D4511" t="inlineStr">
        <is>
          <t>VÄRMLANDS LÄN</t>
        </is>
      </c>
      <c r="E4511" t="inlineStr">
        <is>
          <t>SUNNE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28402-2021</t>
        </is>
      </c>
      <c r="B4512" s="1" t="n">
        <v>44356</v>
      </c>
      <c r="C4512" s="1" t="n">
        <v>45736</v>
      </c>
      <c r="D4512" t="inlineStr">
        <is>
          <t>VÄRMLANDS LÄN</t>
        </is>
      </c>
      <c r="E4512" t="inlineStr">
        <is>
          <t>KARLSTAD</t>
        </is>
      </c>
      <c r="F4512" t="inlineStr">
        <is>
          <t>Kommuner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28562-2021</t>
        </is>
      </c>
      <c r="B4513" s="1" t="n">
        <v>44356</v>
      </c>
      <c r="C4513" s="1" t="n">
        <v>45736</v>
      </c>
      <c r="D4513" t="inlineStr">
        <is>
          <t>VÄRMLANDS LÄN</t>
        </is>
      </c>
      <c r="E4513" t="inlineStr">
        <is>
          <t>TORSBY</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28703-2021</t>
        </is>
      </c>
      <c r="B4514" s="1" t="n">
        <v>44357</v>
      </c>
      <c r="C4514" s="1" t="n">
        <v>45736</v>
      </c>
      <c r="D4514" t="inlineStr">
        <is>
          <t>VÄRMLANDS LÄN</t>
        </is>
      </c>
      <c r="E4514" t="inlineStr">
        <is>
          <t>HAGFORS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28655-2021</t>
        </is>
      </c>
      <c r="B4515" s="1" t="n">
        <v>44357</v>
      </c>
      <c r="C4515" s="1" t="n">
        <v>45736</v>
      </c>
      <c r="D4515" t="inlineStr">
        <is>
          <t>VÄRMLANDS LÄN</t>
        </is>
      </c>
      <c r="E4515" t="inlineStr">
        <is>
          <t>ARVIKA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28730-2021</t>
        </is>
      </c>
      <c r="B4516" s="1" t="n">
        <v>44357</v>
      </c>
      <c r="C4516" s="1" t="n">
        <v>45736</v>
      </c>
      <c r="D4516" t="inlineStr">
        <is>
          <t>VÄRMLANDS LÄN</t>
        </is>
      </c>
      <c r="E4516" t="inlineStr">
        <is>
          <t>EDA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28744-2021</t>
        </is>
      </c>
      <c r="B4517" s="1" t="n">
        <v>44357</v>
      </c>
      <c r="C4517" s="1" t="n">
        <v>45736</v>
      </c>
      <c r="D4517" t="inlineStr">
        <is>
          <t>VÄRMLANDS LÄN</t>
        </is>
      </c>
      <c r="E4517" t="inlineStr">
        <is>
          <t>EDA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28819-2021</t>
        </is>
      </c>
      <c r="B4518" s="1" t="n">
        <v>44357</v>
      </c>
      <c r="C4518" s="1" t="n">
        <v>45736</v>
      </c>
      <c r="D4518" t="inlineStr">
        <is>
          <t>VÄRMLANDS LÄN</t>
        </is>
      </c>
      <c r="E4518" t="inlineStr">
        <is>
          <t>HAGFORS</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28725-2021</t>
        </is>
      </c>
      <c r="B4519" s="1" t="n">
        <v>44357</v>
      </c>
      <c r="C4519" s="1" t="n">
        <v>45736</v>
      </c>
      <c r="D4519" t="inlineStr">
        <is>
          <t>VÄRMLANDS LÄN</t>
        </is>
      </c>
      <c r="E4519" t="inlineStr">
        <is>
          <t>EDA</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28940-2021</t>
        </is>
      </c>
      <c r="B4520" s="1" t="n">
        <v>44358</v>
      </c>
      <c r="C4520" s="1" t="n">
        <v>45736</v>
      </c>
      <c r="D4520" t="inlineStr">
        <is>
          <t>VÄRMLANDS LÄN</t>
        </is>
      </c>
      <c r="E4520" t="inlineStr">
        <is>
          <t>TORSBY</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28968-2021</t>
        </is>
      </c>
      <c r="B4521" s="1" t="n">
        <v>44358</v>
      </c>
      <c r="C4521" s="1" t="n">
        <v>45736</v>
      </c>
      <c r="D4521" t="inlineStr">
        <is>
          <t>VÄRMLANDS LÄN</t>
        </is>
      </c>
      <c r="E4521" t="inlineStr">
        <is>
          <t>SUNNE</t>
        </is>
      </c>
      <c r="G4521" t="n">
        <v>16.6</v>
      </c>
      <c r="H4521" t="n">
        <v>0</v>
      </c>
      <c r="I4521" t="n">
        <v>0</v>
      </c>
      <c r="J4521" t="n">
        <v>0</v>
      </c>
      <c r="K4521" t="n">
        <v>0</v>
      </c>
      <c r="L4521" t="n">
        <v>0</v>
      </c>
      <c r="M4521" t="n">
        <v>0</v>
      </c>
      <c r="N4521" t="n">
        <v>0</v>
      </c>
      <c r="O4521" t="n">
        <v>0</v>
      </c>
      <c r="P4521" t="n">
        <v>0</v>
      </c>
      <c r="Q4521" t="n">
        <v>0</v>
      </c>
      <c r="R4521" s="2" t="inlineStr"/>
    </row>
    <row r="4522" ht="15" customHeight="1">
      <c r="A4522" t="inlineStr">
        <is>
          <t>A 28983-2021</t>
        </is>
      </c>
      <c r="B4522" s="1" t="n">
        <v>44358</v>
      </c>
      <c r="C4522" s="1" t="n">
        <v>45736</v>
      </c>
      <c r="D4522" t="inlineStr">
        <is>
          <t>VÄRMLANDS LÄN</t>
        </is>
      </c>
      <c r="E4522" t="inlineStr">
        <is>
          <t>KARLSTAD</t>
        </is>
      </c>
      <c r="G4522" t="n">
        <v>10.5</v>
      </c>
      <c r="H4522" t="n">
        <v>0</v>
      </c>
      <c r="I4522" t="n">
        <v>0</v>
      </c>
      <c r="J4522" t="n">
        <v>0</v>
      </c>
      <c r="K4522" t="n">
        <v>0</v>
      </c>
      <c r="L4522" t="n">
        <v>0</v>
      </c>
      <c r="M4522" t="n">
        <v>0</v>
      </c>
      <c r="N4522" t="n">
        <v>0</v>
      </c>
      <c r="O4522" t="n">
        <v>0</v>
      </c>
      <c r="P4522" t="n">
        <v>0</v>
      </c>
      <c r="Q4522" t="n">
        <v>0</v>
      </c>
      <c r="R4522" s="2" t="inlineStr"/>
    </row>
    <row r="4523" ht="15" customHeight="1">
      <c r="A4523" t="inlineStr">
        <is>
          <t>A 28991-2021</t>
        </is>
      </c>
      <c r="B4523" s="1" t="n">
        <v>44358</v>
      </c>
      <c r="C4523" s="1" t="n">
        <v>45736</v>
      </c>
      <c r="D4523" t="inlineStr">
        <is>
          <t>VÄRMLANDS LÄN</t>
        </is>
      </c>
      <c r="E4523" t="inlineStr">
        <is>
          <t>KARLSTAD</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29119-2021</t>
        </is>
      </c>
      <c r="B4524" s="1" t="n">
        <v>44358</v>
      </c>
      <c r="C4524" s="1" t="n">
        <v>45736</v>
      </c>
      <c r="D4524" t="inlineStr">
        <is>
          <t>VÄRMLANDS LÄN</t>
        </is>
      </c>
      <c r="E4524" t="inlineStr">
        <is>
          <t>SUNNE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28987-2021</t>
        </is>
      </c>
      <c r="B4525" s="1" t="n">
        <v>44358</v>
      </c>
      <c r="C4525" s="1" t="n">
        <v>45736</v>
      </c>
      <c r="D4525" t="inlineStr">
        <is>
          <t>VÄRMLANDS LÄN</t>
        </is>
      </c>
      <c r="E4525" t="inlineStr">
        <is>
          <t>KARLSTAD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28997-2021</t>
        </is>
      </c>
      <c r="B4526" s="1" t="n">
        <v>44358</v>
      </c>
      <c r="C4526" s="1" t="n">
        <v>45736</v>
      </c>
      <c r="D4526" t="inlineStr">
        <is>
          <t>VÄRMLANDS LÄN</t>
        </is>
      </c>
      <c r="E4526" t="inlineStr">
        <is>
          <t>SÄFFLE</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29253-2021</t>
        </is>
      </c>
      <c r="B4527" s="1" t="n">
        <v>44358</v>
      </c>
      <c r="C4527" s="1" t="n">
        <v>45736</v>
      </c>
      <c r="D4527" t="inlineStr">
        <is>
          <t>VÄRMLANDS LÄN</t>
        </is>
      </c>
      <c r="E4527" t="inlineStr">
        <is>
          <t>KARLSTAD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29280-2021</t>
        </is>
      </c>
      <c r="B4528" s="1" t="n">
        <v>44361</v>
      </c>
      <c r="C4528" s="1" t="n">
        <v>45736</v>
      </c>
      <c r="D4528" t="inlineStr">
        <is>
          <t>VÄRMLANDS LÄN</t>
        </is>
      </c>
      <c r="E4528" t="inlineStr">
        <is>
          <t>KARLSTAD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29340-2021</t>
        </is>
      </c>
      <c r="B4529" s="1" t="n">
        <v>44361</v>
      </c>
      <c r="C4529" s="1" t="n">
        <v>45736</v>
      </c>
      <c r="D4529" t="inlineStr">
        <is>
          <t>VÄRMLANDS LÄN</t>
        </is>
      </c>
      <c r="E4529" t="inlineStr">
        <is>
          <t>KRISTINEHAMN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29495-2021</t>
        </is>
      </c>
      <c r="B4530" s="1" t="n">
        <v>44361</v>
      </c>
      <c r="C4530" s="1" t="n">
        <v>45736</v>
      </c>
      <c r="D4530" t="inlineStr">
        <is>
          <t>VÄRMLANDS LÄN</t>
        </is>
      </c>
      <c r="E4530" t="inlineStr">
        <is>
          <t>TORSBY</t>
        </is>
      </c>
      <c r="F4530" t="inlineStr">
        <is>
          <t>Övriga Aktiebolag</t>
        </is>
      </c>
      <c r="G4530" t="n">
        <v>38.2</v>
      </c>
      <c r="H4530" t="n">
        <v>0</v>
      </c>
      <c r="I4530" t="n">
        <v>0</v>
      </c>
      <c r="J4530" t="n">
        <v>0</v>
      </c>
      <c r="K4530" t="n">
        <v>0</v>
      </c>
      <c r="L4530" t="n">
        <v>0</v>
      </c>
      <c r="M4530" t="n">
        <v>0</v>
      </c>
      <c r="N4530" t="n">
        <v>0</v>
      </c>
      <c r="O4530" t="n">
        <v>0</v>
      </c>
      <c r="P4530" t="n">
        <v>0</v>
      </c>
      <c r="Q4530" t="n">
        <v>0</v>
      </c>
      <c r="R4530" s="2" t="inlineStr"/>
    </row>
    <row r="4531" ht="15" customHeight="1">
      <c r="A4531" t="inlineStr">
        <is>
          <t>A 29457-2021</t>
        </is>
      </c>
      <c r="B4531" s="1" t="n">
        <v>44361</v>
      </c>
      <c r="C4531" s="1" t="n">
        <v>45736</v>
      </c>
      <c r="D4531" t="inlineStr">
        <is>
          <t>VÄRMLANDS LÄN</t>
        </is>
      </c>
      <c r="E4531" t="inlineStr">
        <is>
          <t>TORSBY</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29518-2021</t>
        </is>
      </c>
      <c r="B4532" s="1" t="n">
        <v>44361</v>
      </c>
      <c r="C4532" s="1" t="n">
        <v>45736</v>
      </c>
      <c r="D4532" t="inlineStr">
        <is>
          <t>VÄRMLANDS LÄN</t>
        </is>
      </c>
      <c r="E4532" t="inlineStr">
        <is>
          <t>TORSBY</t>
        </is>
      </c>
      <c r="F4532" t="inlineStr">
        <is>
          <t>Bergvik skog väst AB</t>
        </is>
      </c>
      <c r="G4532" t="n">
        <v>16.7</v>
      </c>
      <c r="H4532" t="n">
        <v>0</v>
      </c>
      <c r="I4532" t="n">
        <v>0</v>
      </c>
      <c r="J4532" t="n">
        <v>0</v>
      </c>
      <c r="K4532" t="n">
        <v>0</v>
      </c>
      <c r="L4532" t="n">
        <v>0</v>
      </c>
      <c r="M4532" t="n">
        <v>0</v>
      </c>
      <c r="N4532" t="n">
        <v>0</v>
      </c>
      <c r="O4532" t="n">
        <v>0</v>
      </c>
      <c r="P4532" t="n">
        <v>0</v>
      </c>
      <c r="Q4532" t="n">
        <v>0</v>
      </c>
      <c r="R4532" s="2" t="inlineStr"/>
    </row>
    <row r="4533" ht="15" customHeight="1">
      <c r="A4533" t="inlineStr">
        <is>
          <t>A 29699-2021</t>
        </is>
      </c>
      <c r="B4533" s="1" t="n">
        <v>44362</v>
      </c>
      <c r="C4533" s="1" t="n">
        <v>45736</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29701-2021</t>
        </is>
      </c>
      <c r="B4534" s="1" t="n">
        <v>44362</v>
      </c>
      <c r="C4534" s="1" t="n">
        <v>45736</v>
      </c>
      <c r="D4534" t="inlineStr">
        <is>
          <t>VÄRMLANDS LÄN</t>
        </is>
      </c>
      <c r="E4534" t="inlineStr">
        <is>
          <t>ÅRJÄNG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29726-2021</t>
        </is>
      </c>
      <c r="B4535" s="1" t="n">
        <v>44362</v>
      </c>
      <c r="C4535" s="1" t="n">
        <v>45736</v>
      </c>
      <c r="D4535" t="inlineStr">
        <is>
          <t>VÄRMLANDS LÄN</t>
        </is>
      </c>
      <c r="E4535" t="inlineStr">
        <is>
          <t>HAGFORS</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29700-2021</t>
        </is>
      </c>
      <c r="B4536" s="1" t="n">
        <v>44362</v>
      </c>
      <c r="C4536" s="1" t="n">
        <v>45736</v>
      </c>
      <c r="D4536" t="inlineStr">
        <is>
          <t>VÄRMLANDS LÄN</t>
        </is>
      </c>
      <c r="E4536" t="inlineStr">
        <is>
          <t>ÅRJÄNG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29746-2021</t>
        </is>
      </c>
      <c r="B4537" s="1" t="n">
        <v>44362</v>
      </c>
      <c r="C4537" s="1" t="n">
        <v>45736</v>
      </c>
      <c r="D4537" t="inlineStr">
        <is>
          <t>VÄRMLANDS LÄN</t>
        </is>
      </c>
      <c r="E4537" t="inlineStr">
        <is>
          <t>TORSBY</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30050-2021</t>
        </is>
      </c>
      <c r="B4538" s="1" t="n">
        <v>44362</v>
      </c>
      <c r="C4538" s="1" t="n">
        <v>45736</v>
      </c>
      <c r="D4538" t="inlineStr">
        <is>
          <t>VÄRMLANDS LÄN</t>
        </is>
      </c>
      <c r="E4538" t="inlineStr">
        <is>
          <t>SÄFFLE</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29738-2021</t>
        </is>
      </c>
      <c r="B4539" s="1" t="n">
        <v>44362</v>
      </c>
      <c r="C4539" s="1" t="n">
        <v>45736</v>
      </c>
      <c r="D4539" t="inlineStr">
        <is>
          <t>VÄRMLANDS LÄN</t>
        </is>
      </c>
      <c r="E4539" t="inlineStr">
        <is>
          <t>SÄFFLE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30111-2021</t>
        </is>
      </c>
      <c r="B4540" s="1" t="n">
        <v>44363</v>
      </c>
      <c r="C4540" s="1" t="n">
        <v>45736</v>
      </c>
      <c r="D4540" t="inlineStr">
        <is>
          <t>VÄRMLANDS LÄN</t>
        </is>
      </c>
      <c r="E4540" t="inlineStr">
        <is>
          <t>KARLSTAD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29980-2021</t>
        </is>
      </c>
      <c r="B4541" s="1" t="n">
        <v>44363</v>
      </c>
      <c r="C4541" s="1" t="n">
        <v>45736</v>
      </c>
      <c r="D4541" t="inlineStr">
        <is>
          <t>VÄRMLANDS LÄN</t>
        </is>
      </c>
      <c r="E4541" t="inlineStr">
        <is>
          <t>SUNNE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30162-2021</t>
        </is>
      </c>
      <c r="B4542" s="1" t="n">
        <v>44363</v>
      </c>
      <c r="C4542" s="1" t="n">
        <v>45736</v>
      </c>
      <c r="D4542" t="inlineStr">
        <is>
          <t>VÄRMLANDS LÄN</t>
        </is>
      </c>
      <c r="E4542" t="inlineStr">
        <is>
          <t>TORSBY</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30384-2021</t>
        </is>
      </c>
      <c r="B4543" s="1" t="n">
        <v>44364</v>
      </c>
      <c r="C4543" s="1" t="n">
        <v>45736</v>
      </c>
      <c r="D4543" t="inlineStr">
        <is>
          <t>VÄRMLANDS LÄN</t>
        </is>
      </c>
      <c r="E4543" t="inlineStr">
        <is>
          <t>TORSBY</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30478-2021</t>
        </is>
      </c>
      <c r="B4544" s="1" t="n">
        <v>44364</v>
      </c>
      <c r="C4544" s="1" t="n">
        <v>45736</v>
      </c>
      <c r="D4544" t="inlineStr">
        <is>
          <t>VÄRMLANDS LÄN</t>
        </is>
      </c>
      <c r="E4544" t="inlineStr">
        <is>
          <t>GRUMS</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30494-2021</t>
        </is>
      </c>
      <c r="B4545" s="1" t="n">
        <v>44364</v>
      </c>
      <c r="C4545" s="1" t="n">
        <v>45736</v>
      </c>
      <c r="D4545" t="inlineStr">
        <is>
          <t>VÄRMLANDS LÄN</t>
        </is>
      </c>
      <c r="E4545" t="inlineStr">
        <is>
          <t>HAGFORS</t>
        </is>
      </c>
      <c r="F4545" t="inlineStr">
        <is>
          <t>Kyrkan</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30343-2021</t>
        </is>
      </c>
      <c r="B4546" s="1" t="n">
        <v>44364</v>
      </c>
      <c r="C4546" s="1" t="n">
        <v>45736</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30479-2021</t>
        </is>
      </c>
      <c r="B4547" s="1" t="n">
        <v>44364</v>
      </c>
      <c r="C4547" s="1" t="n">
        <v>45736</v>
      </c>
      <c r="D4547" t="inlineStr">
        <is>
          <t>VÄRMLANDS LÄN</t>
        </is>
      </c>
      <c r="E4547" t="inlineStr">
        <is>
          <t>ARVIKA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30376-2021</t>
        </is>
      </c>
      <c r="B4548" s="1" t="n">
        <v>44364</v>
      </c>
      <c r="C4548" s="1" t="n">
        <v>45736</v>
      </c>
      <c r="D4548" t="inlineStr">
        <is>
          <t>VÄRMLANDS LÄN</t>
        </is>
      </c>
      <c r="E4548" t="inlineStr">
        <is>
          <t>FORSHAGA</t>
        </is>
      </c>
      <c r="F4548" t="inlineStr">
        <is>
          <t>Bergvik skog väst AB</t>
        </is>
      </c>
      <c r="G4548" t="n">
        <v>17.9</v>
      </c>
      <c r="H4548" t="n">
        <v>0</v>
      </c>
      <c r="I4548" t="n">
        <v>0</v>
      </c>
      <c r="J4548" t="n">
        <v>0</v>
      </c>
      <c r="K4548" t="n">
        <v>0</v>
      </c>
      <c r="L4548" t="n">
        <v>0</v>
      </c>
      <c r="M4548" t="n">
        <v>0</v>
      </c>
      <c r="N4548" t="n">
        <v>0</v>
      </c>
      <c r="O4548" t="n">
        <v>0</v>
      </c>
      <c r="P4548" t="n">
        <v>0</v>
      </c>
      <c r="Q4548" t="n">
        <v>0</v>
      </c>
      <c r="R4548" s="2" t="inlineStr"/>
    </row>
    <row r="4549" ht="15" customHeight="1">
      <c r="A4549" t="inlineStr">
        <is>
          <t>A 30390-2021</t>
        </is>
      </c>
      <c r="B4549" s="1" t="n">
        <v>44364</v>
      </c>
      <c r="C4549" s="1" t="n">
        <v>45736</v>
      </c>
      <c r="D4549" t="inlineStr">
        <is>
          <t>VÄRMLANDS LÄN</t>
        </is>
      </c>
      <c r="E4549" t="inlineStr">
        <is>
          <t>HAGFORS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30524-2021</t>
        </is>
      </c>
      <c r="B4550" s="1" t="n">
        <v>44364</v>
      </c>
      <c r="C4550" s="1" t="n">
        <v>45736</v>
      </c>
      <c r="D4550" t="inlineStr">
        <is>
          <t>VÄRMLANDS LÄN</t>
        </is>
      </c>
      <c r="E4550" t="inlineStr">
        <is>
          <t>FILIPSTAD</t>
        </is>
      </c>
      <c r="F4550" t="inlineStr">
        <is>
          <t>Bergvik skog väst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30669-2021</t>
        </is>
      </c>
      <c r="B4551" s="1" t="n">
        <v>44365</v>
      </c>
      <c r="C4551" s="1" t="n">
        <v>45736</v>
      </c>
      <c r="D4551" t="inlineStr">
        <is>
          <t>VÄRMLANDS LÄN</t>
        </is>
      </c>
      <c r="E4551" t="inlineStr">
        <is>
          <t>SUNNE</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30699-2021</t>
        </is>
      </c>
      <c r="B4552" s="1" t="n">
        <v>44365</v>
      </c>
      <c r="C4552" s="1" t="n">
        <v>45736</v>
      </c>
      <c r="D4552" t="inlineStr">
        <is>
          <t>VÄRMLANDS LÄN</t>
        </is>
      </c>
      <c r="E4552" t="inlineStr">
        <is>
          <t>ÅRJÄNG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30693-2021</t>
        </is>
      </c>
      <c r="B4553" s="1" t="n">
        <v>44365</v>
      </c>
      <c r="C4553" s="1" t="n">
        <v>45736</v>
      </c>
      <c r="D4553" t="inlineStr">
        <is>
          <t>VÄRMLANDS LÄN</t>
        </is>
      </c>
      <c r="E4553" t="inlineStr">
        <is>
          <t>ÅRJÄNG</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30678-2021</t>
        </is>
      </c>
      <c r="B4554" s="1" t="n">
        <v>44365</v>
      </c>
      <c r="C4554" s="1" t="n">
        <v>45736</v>
      </c>
      <c r="D4554" t="inlineStr">
        <is>
          <t>VÄRMLANDS LÄN</t>
        </is>
      </c>
      <c r="E4554" t="inlineStr">
        <is>
          <t>KRISTINEHAMN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30685-2021</t>
        </is>
      </c>
      <c r="B4555" s="1" t="n">
        <v>44365</v>
      </c>
      <c r="C4555" s="1" t="n">
        <v>45736</v>
      </c>
      <c r="D4555" t="inlineStr">
        <is>
          <t>VÄRMLANDS LÄN</t>
        </is>
      </c>
      <c r="E4555" t="inlineStr">
        <is>
          <t>KRISTINEHAMN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30701-2021</t>
        </is>
      </c>
      <c r="B4556" s="1" t="n">
        <v>44365</v>
      </c>
      <c r="C4556" s="1" t="n">
        <v>45736</v>
      </c>
      <c r="D4556" t="inlineStr">
        <is>
          <t>VÄRMLANDS LÄN</t>
        </is>
      </c>
      <c r="E4556" t="inlineStr">
        <is>
          <t>KRISTINEHAMN</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30733-2021</t>
        </is>
      </c>
      <c r="B4557" s="1" t="n">
        <v>44365</v>
      </c>
      <c r="C4557" s="1" t="n">
        <v>45736</v>
      </c>
      <c r="D4557" t="inlineStr">
        <is>
          <t>VÄRMLANDS LÄN</t>
        </is>
      </c>
      <c r="E4557" t="inlineStr">
        <is>
          <t>ARVIKA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30785-2021</t>
        </is>
      </c>
      <c r="B4558" s="1" t="n">
        <v>44365</v>
      </c>
      <c r="C4558" s="1" t="n">
        <v>45736</v>
      </c>
      <c r="D4558" t="inlineStr">
        <is>
          <t>VÄRMLANDS LÄN</t>
        </is>
      </c>
      <c r="E4558" t="inlineStr">
        <is>
          <t>SUNNE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30802-2021</t>
        </is>
      </c>
      <c r="B4559" s="1" t="n">
        <v>44365</v>
      </c>
      <c r="C4559" s="1" t="n">
        <v>45736</v>
      </c>
      <c r="D4559" t="inlineStr">
        <is>
          <t>VÄRMLANDS LÄN</t>
        </is>
      </c>
      <c r="E4559" t="inlineStr">
        <is>
          <t>TORSBY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30746-2021</t>
        </is>
      </c>
      <c r="B4560" s="1" t="n">
        <v>44365</v>
      </c>
      <c r="C4560" s="1" t="n">
        <v>45736</v>
      </c>
      <c r="D4560" t="inlineStr">
        <is>
          <t>VÄRMLANDS LÄN</t>
        </is>
      </c>
      <c r="E4560" t="inlineStr">
        <is>
          <t>ARVIKA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30766-2021</t>
        </is>
      </c>
      <c r="B4561" s="1" t="n">
        <v>44365</v>
      </c>
      <c r="C4561" s="1" t="n">
        <v>45736</v>
      </c>
      <c r="D4561" t="inlineStr">
        <is>
          <t>VÄRMLANDS LÄN</t>
        </is>
      </c>
      <c r="E4561" t="inlineStr">
        <is>
          <t>SUNNE</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30787-2021</t>
        </is>
      </c>
      <c r="B4562" s="1" t="n">
        <v>44365</v>
      </c>
      <c r="C4562" s="1" t="n">
        <v>45736</v>
      </c>
      <c r="D4562" t="inlineStr">
        <is>
          <t>VÄRMLANDS LÄN</t>
        </is>
      </c>
      <c r="E4562" t="inlineStr">
        <is>
          <t>KIL</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30817-2021</t>
        </is>
      </c>
      <c r="B4563" s="1" t="n">
        <v>44365</v>
      </c>
      <c r="C4563" s="1" t="n">
        <v>45736</v>
      </c>
      <c r="D4563" t="inlineStr">
        <is>
          <t>VÄRMLANDS LÄN</t>
        </is>
      </c>
      <c r="E4563" t="inlineStr">
        <is>
          <t>ÅRJÄNG</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31111-2021</t>
        </is>
      </c>
      <c r="B4564" s="1" t="n">
        <v>44365</v>
      </c>
      <c r="C4564" s="1" t="n">
        <v>45736</v>
      </c>
      <c r="D4564" t="inlineStr">
        <is>
          <t>VÄRMLANDS LÄN</t>
        </is>
      </c>
      <c r="E4564" t="inlineStr">
        <is>
          <t>ARVIKA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31189-2021</t>
        </is>
      </c>
      <c r="B4565" s="1" t="n">
        <v>44368</v>
      </c>
      <c r="C4565" s="1" t="n">
        <v>45736</v>
      </c>
      <c r="D4565" t="inlineStr">
        <is>
          <t>VÄRMLANDS LÄN</t>
        </is>
      </c>
      <c r="E4565" t="inlineStr">
        <is>
          <t>FILIPSTAD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31889-2021</t>
        </is>
      </c>
      <c r="B4566" s="1" t="n">
        <v>44368</v>
      </c>
      <c r="C4566" s="1" t="n">
        <v>45736</v>
      </c>
      <c r="D4566" t="inlineStr">
        <is>
          <t>VÄRMLANDS LÄN</t>
        </is>
      </c>
      <c r="E4566" t="inlineStr">
        <is>
          <t>SÄFFLE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31049-2021</t>
        </is>
      </c>
      <c r="B4567" s="1" t="n">
        <v>44368</v>
      </c>
      <c r="C4567" s="1" t="n">
        <v>45736</v>
      </c>
      <c r="D4567" t="inlineStr">
        <is>
          <t>VÄRMLANDS LÄN</t>
        </is>
      </c>
      <c r="E4567" t="inlineStr">
        <is>
          <t>FORSHAGA</t>
        </is>
      </c>
      <c r="F4567" t="inlineStr">
        <is>
          <t>Bergvik skog väst AB</t>
        </is>
      </c>
      <c r="G4567" t="n">
        <v>21.6</v>
      </c>
      <c r="H4567" t="n">
        <v>0</v>
      </c>
      <c r="I4567" t="n">
        <v>0</v>
      </c>
      <c r="J4567" t="n">
        <v>0</v>
      </c>
      <c r="K4567" t="n">
        <v>0</v>
      </c>
      <c r="L4567" t="n">
        <v>0</v>
      </c>
      <c r="M4567" t="n">
        <v>0</v>
      </c>
      <c r="N4567" t="n">
        <v>0</v>
      </c>
      <c r="O4567" t="n">
        <v>0</v>
      </c>
      <c r="P4567" t="n">
        <v>0</v>
      </c>
      <c r="Q4567" t="n">
        <v>0</v>
      </c>
      <c r="R4567" s="2" t="inlineStr"/>
    </row>
    <row r="4568" ht="15" customHeight="1">
      <c r="A4568" t="inlineStr">
        <is>
          <t>A 31885-2021</t>
        </is>
      </c>
      <c r="B4568" s="1" t="n">
        <v>44368</v>
      </c>
      <c r="C4568" s="1" t="n">
        <v>45736</v>
      </c>
      <c r="D4568" t="inlineStr">
        <is>
          <t>VÄRMLANDS LÄN</t>
        </is>
      </c>
      <c r="E4568" t="inlineStr">
        <is>
          <t>SÄFFLE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31576-2021</t>
        </is>
      </c>
      <c r="B4569" s="1" t="n">
        <v>44369</v>
      </c>
      <c r="C4569" s="1" t="n">
        <v>45736</v>
      </c>
      <c r="D4569" t="inlineStr">
        <is>
          <t>VÄRMLANDS LÄN</t>
        </is>
      </c>
      <c r="E4569" t="inlineStr">
        <is>
          <t>SUNNE</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31494-2021</t>
        </is>
      </c>
      <c r="B4570" s="1" t="n">
        <v>44369</v>
      </c>
      <c r="C4570" s="1" t="n">
        <v>45736</v>
      </c>
      <c r="D4570" t="inlineStr">
        <is>
          <t>VÄRMLANDS LÄN</t>
        </is>
      </c>
      <c r="E4570" t="inlineStr">
        <is>
          <t>TORSBY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31594-2021</t>
        </is>
      </c>
      <c r="B4571" s="1" t="n">
        <v>44369</v>
      </c>
      <c r="C4571" s="1" t="n">
        <v>45736</v>
      </c>
      <c r="D4571" t="inlineStr">
        <is>
          <t>VÄRMLANDS LÄN</t>
        </is>
      </c>
      <c r="E4571" t="inlineStr">
        <is>
          <t>SUNNE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31589-2021</t>
        </is>
      </c>
      <c r="B4572" s="1" t="n">
        <v>44369</v>
      </c>
      <c r="C4572" s="1" t="n">
        <v>45736</v>
      </c>
      <c r="D4572" t="inlineStr">
        <is>
          <t>VÄRMLANDS LÄN</t>
        </is>
      </c>
      <c r="E4572" t="inlineStr">
        <is>
          <t>SUNNE</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31488-2021</t>
        </is>
      </c>
      <c r="B4573" s="1" t="n">
        <v>44369</v>
      </c>
      <c r="C4573" s="1" t="n">
        <v>45736</v>
      </c>
      <c r="D4573" t="inlineStr">
        <is>
          <t>VÄRMLANDS LÄN</t>
        </is>
      </c>
      <c r="E4573" t="inlineStr">
        <is>
          <t>GRUMS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31493-2021</t>
        </is>
      </c>
      <c r="B4574" s="1" t="n">
        <v>44369</v>
      </c>
      <c r="C4574" s="1" t="n">
        <v>45736</v>
      </c>
      <c r="D4574" t="inlineStr">
        <is>
          <t>VÄRMLANDS LÄN</t>
        </is>
      </c>
      <c r="E4574" t="inlineStr">
        <is>
          <t>TORSBY</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31511-2021</t>
        </is>
      </c>
      <c r="B4575" s="1" t="n">
        <v>44369</v>
      </c>
      <c r="C4575" s="1" t="n">
        <v>45736</v>
      </c>
      <c r="D4575" t="inlineStr">
        <is>
          <t>VÄRMLANDS LÄN</t>
        </is>
      </c>
      <c r="E4575" t="inlineStr">
        <is>
          <t>TORSBY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31525-2021</t>
        </is>
      </c>
      <c r="B4576" s="1" t="n">
        <v>44369</v>
      </c>
      <c r="C4576" s="1" t="n">
        <v>45736</v>
      </c>
      <c r="D4576" t="inlineStr">
        <is>
          <t>VÄRMLANDS LÄN</t>
        </is>
      </c>
      <c r="E4576" t="inlineStr">
        <is>
          <t>SUNNE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31608-2021</t>
        </is>
      </c>
      <c r="B4577" s="1" t="n">
        <v>44369</v>
      </c>
      <c r="C4577" s="1" t="n">
        <v>45736</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31599-2021</t>
        </is>
      </c>
      <c r="B4578" s="1" t="n">
        <v>44369</v>
      </c>
      <c r="C4578" s="1" t="n">
        <v>45736</v>
      </c>
      <c r="D4578" t="inlineStr">
        <is>
          <t>VÄRMLANDS LÄN</t>
        </is>
      </c>
      <c r="E4578" t="inlineStr">
        <is>
          <t>EDA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31606-2021</t>
        </is>
      </c>
      <c r="B4579" s="1" t="n">
        <v>44369</v>
      </c>
      <c r="C4579" s="1" t="n">
        <v>45736</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31615-2021</t>
        </is>
      </c>
      <c r="B4580" s="1" t="n">
        <v>44369</v>
      </c>
      <c r="C4580" s="1" t="n">
        <v>45736</v>
      </c>
      <c r="D4580" t="inlineStr">
        <is>
          <t>VÄRMLANDS LÄN</t>
        </is>
      </c>
      <c r="E4580" t="inlineStr">
        <is>
          <t>SUNNE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31644-2021</t>
        </is>
      </c>
      <c r="B4581" s="1" t="n">
        <v>44369</v>
      </c>
      <c r="C4581" s="1" t="n">
        <v>45736</v>
      </c>
      <c r="D4581" t="inlineStr">
        <is>
          <t>VÄRMLANDS LÄN</t>
        </is>
      </c>
      <c r="E4581" t="inlineStr">
        <is>
          <t>EDA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31657-2021</t>
        </is>
      </c>
      <c r="B4582" s="1" t="n">
        <v>44369</v>
      </c>
      <c r="C4582" s="1" t="n">
        <v>45736</v>
      </c>
      <c r="D4582" t="inlineStr">
        <is>
          <t>VÄRMLANDS LÄN</t>
        </is>
      </c>
      <c r="E4582" t="inlineStr">
        <is>
          <t>EDA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31601-2021</t>
        </is>
      </c>
      <c r="B4583" s="1" t="n">
        <v>44369</v>
      </c>
      <c r="C4583" s="1" t="n">
        <v>45736</v>
      </c>
      <c r="D4583" t="inlineStr">
        <is>
          <t>VÄRMLANDS LÄN</t>
        </is>
      </c>
      <c r="E4583" t="inlineStr">
        <is>
          <t>SUNNE</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31609-2021</t>
        </is>
      </c>
      <c r="B4584" s="1" t="n">
        <v>44369</v>
      </c>
      <c r="C4584" s="1" t="n">
        <v>45736</v>
      </c>
      <c r="D4584" t="inlineStr">
        <is>
          <t>VÄRMLANDS LÄN</t>
        </is>
      </c>
      <c r="E4584" t="inlineStr">
        <is>
          <t>SUNNE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31603-2021</t>
        </is>
      </c>
      <c r="B4585" s="1" t="n">
        <v>44369</v>
      </c>
      <c r="C4585" s="1" t="n">
        <v>45736</v>
      </c>
      <c r="D4585" t="inlineStr">
        <is>
          <t>VÄRMLANDS LÄN</t>
        </is>
      </c>
      <c r="E4585" t="inlineStr">
        <is>
          <t>SUNNE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31621-2021</t>
        </is>
      </c>
      <c r="B4586" s="1" t="n">
        <v>44369</v>
      </c>
      <c r="C4586" s="1" t="n">
        <v>45736</v>
      </c>
      <c r="D4586" t="inlineStr">
        <is>
          <t>VÄRMLANDS LÄN</t>
        </is>
      </c>
      <c r="E4586" t="inlineStr">
        <is>
          <t>SUNNE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32951-2021</t>
        </is>
      </c>
      <c r="B4587" s="1" t="n">
        <v>44369</v>
      </c>
      <c r="C4587" s="1" t="n">
        <v>45736</v>
      </c>
      <c r="D4587" t="inlineStr">
        <is>
          <t>VÄRMLANDS LÄN</t>
        </is>
      </c>
      <c r="E4587" t="inlineStr">
        <is>
          <t>SUNNE</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31870-2021</t>
        </is>
      </c>
      <c r="B4588" s="1" t="n">
        <v>44370</v>
      </c>
      <c r="C4588" s="1" t="n">
        <v>45736</v>
      </c>
      <c r="D4588" t="inlineStr">
        <is>
          <t>VÄRMLANDS LÄN</t>
        </is>
      </c>
      <c r="E4588" t="inlineStr">
        <is>
          <t>ARVIKA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31929-2021</t>
        </is>
      </c>
      <c r="B4589" s="1" t="n">
        <v>44370</v>
      </c>
      <c r="C4589" s="1" t="n">
        <v>45736</v>
      </c>
      <c r="D4589" t="inlineStr">
        <is>
          <t>VÄRMLANDS LÄN</t>
        </is>
      </c>
      <c r="E4589" t="inlineStr">
        <is>
          <t>ARVIKA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31894-2021</t>
        </is>
      </c>
      <c r="B4590" s="1" t="n">
        <v>44370</v>
      </c>
      <c r="C4590" s="1" t="n">
        <v>45736</v>
      </c>
      <c r="D4590" t="inlineStr">
        <is>
          <t>VÄRMLANDS LÄN</t>
        </is>
      </c>
      <c r="E4590" t="inlineStr">
        <is>
          <t>TORSBY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31937-2021</t>
        </is>
      </c>
      <c r="B4591" s="1" t="n">
        <v>44370</v>
      </c>
      <c r="C4591" s="1" t="n">
        <v>45736</v>
      </c>
      <c r="D4591" t="inlineStr">
        <is>
          <t>VÄRMLANDS LÄN</t>
        </is>
      </c>
      <c r="E4591" t="inlineStr">
        <is>
          <t>HAGFORS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31911-2021</t>
        </is>
      </c>
      <c r="B4592" s="1" t="n">
        <v>44370</v>
      </c>
      <c r="C4592" s="1" t="n">
        <v>45736</v>
      </c>
      <c r="D4592" t="inlineStr">
        <is>
          <t>VÄRMLANDS LÄN</t>
        </is>
      </c>
      <c r="E4592" t="inlineStr">
        <is>
          <t>TORSBY</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31996-2021</t>
        </is>
      </c>
      <c r="B4593" s="1" t="n">
        <v>44370</v>
      </c>
      <c r="C4593" s="1" t="n">
        <v>45736</v>
      </c>
      <c r="D4593" t="inlineStr">
        <is>
          <t>VÄRMLANDS LÄN</t>
        </is>
      </c>
      <c r="E4593" t="inlineStr">
        <is>
          <t>ARVIKA</t>
        </is>
      </c>
      <c r="F4593" t="inlineStr">
        <is>
          <t>Bergvik skog väst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32256-2021</t>
        </is>
      </c>
      <c r="B4594" s="1" t="n">
        <v>44370</v>
      </c>
      <c r="C4594" s="1" t="n">
        <v>45736</v>
      </c>
      <c r="D4594" t="inlineStr">
        <is>
          <t>VÄRMLANDS LÄN</t>
        </is>
      </c>
      <c r="E4594" t="inlineStr">
        <is>
          <t>SÄFFLE</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32350-2021</t>
        </is>
      </c>
      <c r="B4595" s="1" t="n">
        <v>44371</v>
      </c>
      <c r="C4595" s="1" t="n">
        <v>45736</v>
      </c>
      <c r="D4595" t="inlineStr">
        <is>
          <t>VÄRMLANDS LÄN</t>
        </is>
      </c>
      <c r="E4595" t="inlineStr">
        <is>
          <t>KARLSTAD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32336-2021</t>
        </is>
      </c>
      <c r="B4596" s="1" t="n">
        <v>44371</v>
      </c>
      <c r="C4596" s="1" t="n">
        <v>45736</v>
      </c>
      <c r="D4596" t="inlineStr">
        <is>
          <t>VÄRMLANDS LÄN</t>
        </is>
      </c>
      <c r="E4596" t="inlineStr">
        <is>
          <t>ARVIKA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32348-2021</t>
        </is>
      </c>
      <c r="B4597" s="1" t="n">
        <v>44371</v>
      </c>
      <c r="C4597" s="1" t="n">
        <v>45736</v>
      </c>
      <c r="D4597" t="inlineStr">
        <is>
          <t>VÄRMLANDS LÄN</t>
        </is>
      </c>
      <c r="E4597" t="inlineStr">
        <is>
          <t>SUNNE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32368-2021</t>
        </is>
      </c>
      <c r="B4598" s="1" t="n">
        <v>44371</v>
      </c>
      <c r="C4598" s="1" t="n">
        <v>45736</v>
      </c>
      <c r="D4598" t="inlineStr">
        <is>
          <t>VÄRMLANDS LÄN</t>
        </is>
      </c>
      <c r="E4598" t="inlineStr">
        <is>
          <t>KIL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32696-2021</t>
        </is>
      </c>
      <c r="B4599" s="1" t="n">
        <v>44375</v>
      </c>
      <c r="C4599" s="1" t="n">
        <v>45736</v>
      </c>
      <c r="D4599" t="inlineStr">
        <is>
          <t>VÄRMLANDS LÄN</t>
        </is>
      </c>
      <c r="E4599" t="inlineStr">
        <is>
          <t>TORSBY</t>
        </is>
      </c>
      <c r="F4599" t="inlineStr">
        <is>
          <t>Bergvik skog väst AB</t>
        </is>
      </c>
      <c r="G4599" t="n">
        <v>14.8</v>
      </c>
      <c r="H4599" t="n">
        <v>0</v>
      </c>
      <c r="I4599" t="n">
        <v>0</v>
      </c>
      <c r="J4599" t="n">
        <v>0</v>
      </c>
      <c r="K4599" t="n">
        <v>0</v>
      </c>
      <c r="L4599" t="n">
        <v>0</v>
      </c>
      <c r="M4599" t="n">
        <v>0</v>
      </c>
      <c r="N4599" t="n">
        <v>0</v>
      </c>
      <c r="O4599" t="n">
        <v>0</v>
      </c>
      <c r="P4599" t="n">
        <v>0</v>
      </c>
      <c r="Q4599" t="n">
        <v>0</v>
      </c>
      <c r="R4599" s="2" t="inlineStr"/>
    </row>
    <row r="4600" ht="15" customHeight="1">
      <c r="A4600" t="inlineStr">
        <is>
          <t>A 32761-2021</t>
        </is>
      </c>
      <c r="B4600" s="1" t="n">
        <v>44375</v>
      </c>
      <c r="C4600" s="1" t="n">
        <v>45736</v>
      </c>
      <c r="D4600" t="inlineStr">
        <is>
          <t>VÄRMLANDS LÄN</t>
        </is>
      </c>
      <c r="E4600" t="inlineStr">
        <is>
          <t>ÅRJÄNG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36418-2021</t>
        </is>
      </c>
      <c r="B4601" s="1" t="n">
        <v>44375</v>
      </c>
      <c r="C4601" s="1" t="n">
        <v>45736</v>
      </c>
      <c r="D4601" t="inlineStr">
        <is>
          <t>VÄRMLANDS LÄN</t>
        </is>
      </c>
      <c r="E4601" t="inlineStr">
        <is>
          <t>EDA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32821-2021</t>
        </is>
      </c>
      <c r="B4602" s="1" t="n">
        <v>44375</v>
      </c>
      <c r="C4602" s="1" t="n">
        <v>45736</v>
      </c>
      <c r="D4602" t="inlineStr">
        <is>
          <t>VÄRMLANDS LÄN</t>
        </is>
      </c>
      <c r="E4602" t="inlineStr">
        <is>
          <t>TORSBY</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32747-2021</t>
        </is>
      </c>
      <c r="B4603" s="1" t="n">
        <v>44375</v>
      </c>
      <c r="C4603" s="1" t="n">
        <v>45736</v>
      </c>
      <c r="D4603" t="inlineStr">
        <is>
          <t>VÄRMLANDS LÄN</t>
        </is>
      </c>
      <c r="E4603" t="inlineStr">
        <is>
          <t>TORSBY</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32851-2021</t>
        </is>
      </c>
      <c r="B4604" s="1" t="n">
        <v>44375</v>
      </c>
      <c r="C4604" s="1" t="n">
        <v>45736</v>
      </c>
      <c r="D4604" t="inlineStr">
        <is>
          <t>VÄRMLANDS LÄN</t>
        </is>
      </c>
      <c r="E4604" t="inlineStr">
        <is>
          <t>EDA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33003-2021</t>
        </is>
      </c>
      <c r="B4605" s="1" t="n">
        <v>44375</v>
      </c>
      <c r="C4605" s="1" t="n">
        <v>45736</v>
      </c>
      <c r="D4605" t="inlineStr">
        <is>
          <t>VÄRMLANDS LÄN</t>
        </is>
      </c>
      <c r="E4605" t="inlineStr">
        <is>
          <t>FORSHAGA</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32973-2021</t>
        </is>
      </c>
      <c r="B4606" s="1" t="n">
        <v>44376</v>
      </c>
      <c r="C4606" s="1" t="n">
        <v>45736</v>
      </c>
      <c r="D4606" t="inlineStr">
        <is>
          <t>VÄRMLANDS LÄN</t>
        </is>
      </c>
      <c r="E4606" t="inlineStr">
        <is>
          <t>ÅRJÄNG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33107-2021</t>
        </is>
      </c>
      <c r="B4607" s="1" t="n">
        <v>44376</v>
      </c>
      <c r="C4607" s="1" t="n">
        <v>45736</v>
      </c>
      <c r="D4607" t="inlineStr">
        <is>
          <t>VÄRMLANDS LÄN</t>
        </is>
      </c>
      <c r="E4607" t="inlineStr">
        <is>
          <t>HAGFORS</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32943-2021</t>
        </is>
      </c>
      <c r="B4608" s="1" t="n">
        <v>44376</v>
      </c>
      <c r="C4608" s="1" t="n">
        <v>45736</v>
      </c>
      <c r="D4608" t="inlineStr">
        <is>
          <t>VÄRMLANDS LÄN</t>
        </is>
      </c>
      <c r="E4608" t="inlineStr">
        <is>
          <t>KARLSTAD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33005-2021</t>
        </is>
      </c>
      <c r="B4609" s="1" t="n">
        <v>44376</v>
      </c>
      <c r="C4609" s="1" t="n">
        <v>45736</v>
      </c>
      <c r="D4609" t="inlineStr">
        <is>
          <t>VÄRMLANDS LÄN</t>
        </is>
      </c>
      <c r="E4609" t="inlineStr">
        <is>
          <t>SUNNE</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32940-2021</t>
        </is>
      </c>
      <c r="B4610" s="1" t="n">
        <v>44376</v>
      </c>
      <c r="C4610" s="1" t="n">
        <v>45736</v>
      </c>
      <c r="D4610" t="inlineStr">
        <is>
          <t>VÄRMLANDS LÄN</t>
        </is>
      </c>
      <c r="E4610" t="inlineStr">
        <is>
          <t>KARLSTAD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33025-2021</t>
        </is>
      </c>
      <c r="B4611" s="1" t="n">
        <v>44376</v>
      </c>
      <c r="C4611" s="1" t="n">
        <v>45736</v>
      </c>
      <c r="D4611" t="inlineStr">
        <is>
          <t>VÄRMLANDS LÄN</t>
        </is>
      </c>
      <c r="E4611" t="inlineStr">
        <is>
          <t>ÅRJÄNG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33146-2021</t>
        </is>
      </c>
      <c r="B4612" s="1" t="n">
        <v>44376</v>
      </c>
      <c r="C4612" s="1" t="n">
        <v>45736</v>
      </c>
      <c r="D4612" t="inlineStr">
        <is>
          <t>VÄRMLANDS LÄN</t>
        </is>
      </c>
      <c r="E4612" t="inlineStr">
        <is>
          <t>TORSBY</t>
        </is>
      </c>
      <c r="F4612" t="inlineStr">
        <is>
          <t>Bergvik skog väst AB</t>
        </is>
      </c>
      <c r="G4612" t="n">
        <v>44.5</v>
      </c>
      <c r="H4612" t="n">
        <v>0</v>
      </c>
      <c r="I4612" t="n">
        <v>0</v>
      </c>
      <c r="J4612" t="n">
        <v>0</v>
      </c>
      <c r="K4612" t="n">
        <v>0</v>
      </c>
      <c r="L4612" t="n">
        <v>0</v>
      </c>
      <c r="M4612" t="n">
        <v>0</v>
      </c>
      <c r="N4612" t="n">
        <v>0</v>
      </c>
      <c r="O4612" t="n">
        <v>0</v>
      </c>
      <c r="P4612" t="n">
        <v>0</v>
      </c>
      <c r="Q4612" t="n">
        <v>0</v>
      </c>
      <c r="R4612" s="2" t="inlineStr"/>
    </row>
    <row r="4613" ht="15" customHeight="1">
      <c r="A4613" t="inlineStr">
        <is>
          <t>A 33182-2021</t>
        </is>
      </c>
      <c r="B4613" s="1" t="n">
        <v>44376</v>
      </c>
      <c r="C4613" s="1" t="n">
        <v>45736</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33145-2021</t>
        </is>
      </c>
      <c r="B4614" s="1" t="n">
        <v>44376</v>
      </c>
      <c r="C4614" s="1" t="n">
        <v>45736</v>
      </c>
      <c r="D4614" t="inlineStr">
        <is>
          <t>VÄRMLANDS LÄN</t>
        </is>
      </c>
      <c r="E4614" t="inlineStr">
        <is>
          <t>TORSBY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33149-2021</t>
        </is>
      </c>
      <c r="B4615" s="1" t="n">
        <v>44376</v>
      </c>
      <c r="C4615" s="1" t="n">
        <v>45736</v>
      </c>
      <c r="D4615" t="inlineStr">
        <is>
          <t>VÄRMLANDS LÄN</t>
        </is>
      </c>
      <c r="E4615" t="inlineStr">
        <is>
          <t>TORSBY</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33153-2021</t>
        </is>
      </c>
      <c r="B4616" s="1" t="n">
        <v>44376</v>
      </c>
      <c r="C4616" s="1" t="n">
        <v>45736</v>
      </c>
      <c r="D4616" t="inlineStr">
        <is>
          <t>VÄRMLANDS LÄN</t>
        </is>
      </c>
      <c r="E4616" t="inlineStr">
        <is>
          <t>EDA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33183-2021</t>
        </is>
      </c>
      <c r="B4617" s="1" t="n">
        <v>44376</v>
      </c>
      <c r="C4617" s="1" t="n">
        <v>45736</v>
      </c>
      <c r="D4617" t="inlineStr">
        <is>
          <t>VÄRMLANDS LÄN</t>
        </is>
      </c>
      <c r="E4617" t="inlineStr">
        <is>
          <t>TORSBY</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33254-2021</t>
        </is>
      </c>
      <c r="B4618" s="1" t="n">
        <v>44377</v>
      </c>
      <c r="C4618" s="1" t="n">
        <v>45736</v>
      </c>
      <c r="D4618" t="inlineStr">
        <is>
          <t>VÄRMLANDS LÄN</t>
        </is>
      </c>
      <c r="E4618" t="inlineStr">
        <is>
          <t>EDA</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33304-2021</t>
        </is>
      </c>
      <c r="B4619" s="1" t="n">
        <v>44377</v>
      </c>
      <c r="C4619" s="1" t="n">
        <v>45736</v>
      </c>
      <c r="D4619" t="inlineStr">
        <is>
          <t>VÄRMLANDS LÄN</t>
        </is>
      </c>
      <c r="E4619" t="inlineStr">
        <is>
          <t>ÅRJÄNG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33247-2021</t>
        </is>
      </c>
      <c r="B4620" s="1" t="n">
        <v>44377</v>
      </c>
      <c r="C4620" s="1" t="n">
        <v>45736</v>
      </c>
      <c r="D4620" t="inlineStr">
        <is>
          <t>VÄRMLANDS LÄN</t>
        </is>
      </c>
      <c r="E4620" t="inlineStr">
        <is>
          <t>EDA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33291-2021</t>
        </is>
      </c>
      <c r="B4621" s="1" t="n">
        <v>44377</v>
      </c>
      <c r="C4621" s="1" t="n">
        <v>45736</v>
      </c>
      <c r="D4621" t="inlineStr">
        <is>
          <t>VÄRMLANDS LÄN</t>
        </is>
      </c>
      <c r="E4621" t="inlineStr">
        <is>
          <t>KRISTINEHAMN</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33239-2021</t>
        </is>
      </c>
      <c r="B4622" s="1" t="n">
        <v>44377</v>
      </c>
      <c r="C4622" s="1" t="n">
        <v>45736</v>
      </c>
      <c r="D4622" t="inlineStr">
        <is>
          <t>VÄRMLANDS LÄN</t>
        </is>
      </c>
      <c r="E4622" t="inlineStr">
        <is>
          <t>EDA</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33461-2021</t>
        </is>
      </c>
      <c r="B4623" s="1" t="n">
        <v>44377</v>
      </c>
      <c r="C4623" s="1" t="n">
        <v>45736</v>
      </c>
      <c r="D4623" t="inlineStr">
        <is>
          <t>VÄRMLANDS LÄN</t>
        </is>
      </c>
      <c r="E4623" t="inlineStr">
        <is>
          <t>STORFORS</t>
        </is>
      </c>
      <c r="F4623" t="inlineStr">
        <is>
          <t>Kyrkan</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33517-2021</t>
        </is>
      </c>
      <c r="B4624" s="1" t="n">
        <v>44377</v>
      </c>
      <c r="C4624" s="1" t="n">
        <v>45736</v>
      </c>
      <c r="D4624" t="inlineStr">
        <is>
          <t>VÄRMLANDS LÄN</t>
        </is>
      </c>
      <c r="E4624" t="inlineStr">
        <is>
          <t>TORSBY</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33515-2021</t>
        </is>
      </c>
      <c r="B4625" s="1" t="n">
        <v>44377</v>
      </c>
      <c r="C4625" s="1" t="n">
        <v>45736</v>
      </c>
      <c r="D4625" t="inlineStr">
        <is>
          <t>VÄRMLANDS LÄN</t>
        </is>
      </c>
      <c r="E4625" t="inlineStr">
        <is>
          <t>TORSBY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33438-2021</t>
        </is>
      </c>
      <c r="B4626" s="1" t="n">
        <v>44377</v>
      </c>
      <c r="C4626" s="1" t="n">
        <v>45736</v>
      </c>
      <c r="D4626" t="inlineStr">
        <is>
          <t>VÄRMLANDS LÄN</t>
        </is>
      </c>
      <c r="E4626" t="inlineStr">
        <is>
          <t>SÄFFLE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33705-2021</t>
        </is>
      </c>
      <c r="B4627" s="1" t="n">
        <v>44378</v>
      </c>
      <c r="C4627" s="1" t="n">
        <v>45736</v>
      </c>
      <c r="D4627" t="inlineStr">
        <is>
          <t>VÄRMLANDS LÄN</t>
        </is>
      </c>
      <c r="E4627" t="inlineStr">
        <is>
          <t>SÄFFLE</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33717-2021</t>
        </is>
      </c>
      <c r="B4628" s="1" t="n">
        <v>44378</v>
      </c>
      <c r="C4628" s="1" t="n">
        <v>45736</v>
      </c>
      <c r="D4628" t="inlineStr">
        <is>
          <t>VÄRMLANDS LÄN</t>
        </is>
      </c>
      <c r="E4628" t="inlineStr">
        <is>
          <t>SUNNE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33725-2021</t>
        </is>
      </c>
      <c r="B4629" s="1" t="n">
        <v>44378</v>
      </c>
      <c r="C4629" s="1" t="n">
        <v>45736</v>
      </c>
      <c r="D4629" t="inlineStr">
        <is>
          <t>VÄRMLANDS LÄN</t>
        </is>
      </c>
      <c r="E4629" t="inlineStr">
        <is>
          <t>SÄFFLE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33738-2021</t>
        </is>
      </c>
      <c r="B4630" s="1" t="n">
        <v>44378</v>
      </c>
      <c r="C4630" s="1" t="n">
        <v>45736</v>
      </c>
      <c r="D4630" t="inlineStr">
        <is>
          <t>VÄRMLANDS LÄN</t>
        </is>
      </c>
      <c r="E4630" t="inlineStr">
        <is>
          <t>ÅRJÄNG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33593-2021</t>
        </is>
      </c>
      <c r="B4631" s="1" t="n">
        <v>44378</v>
      </c>
      <c r="C4631" s="1" t="n">
        <v>45736</v>
      </c>
      <c r="D4631" t="inlineStr">
        <is>
          <t>VÄRMLANDS LÄN</t>
        </is>
      </c>
      <c r="E4631" t="inlineStr">
        <is>
          <t>KARLSTAD</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33671-2021</t>
        </is>
      </c>
      <c r="B4632" s="1" t="n">
        <v>44378</v>
      </c>
      <c r="C4632" s="1" t="n">
        <v>45736</v>
      </c>
      <c r="D4632" t="inlineStr">
        <is>
          <t>VÄRMLANDS LÄN</t>
        </is>
      </c>
      <c r="E4632" t="inlineStr">
        <is>
          <t>SÄFFLE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33728-2021</t>
        </is>
      </c>
      <c r="B4633" s="1" t="n">
        <v>44378</v>
      </c>
      <c r="C4633" s="1" t="n">
        <v>45736</v>
      </c>
      <c r="D4633" t="inlineStr">
        <is>
          <t>VÄRMLANDS LÄN</t>
        </is>
      </c>
      <c r="E4633" t="inlineStr">
        <is>
          <t>ÅRJÄNG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33839-2021</t>
        </is>
      </c>
      <c r="B4634" s="1" t="n">
        <v>44378</v>
      </c>
      <c r="C4634" s="1" t="n">
        <v>45736</v>
      </c>
      <c r="D4634" t="inlineStr">
        <is>
          <t>VÄRMLANDS LÄN</t>
        </is>
      </c>
      <c r="E4634" t="inlineStr">
        <is>
          <t>TORSBY</t>
        </is>
      </c>
      <c r="F4634" t="inlineStr">
        <is>
          <t>Bergvik skog väst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33853-2021</t>
        </is>
      </c>
      <c r="B4635" s="1" t="n">
        <v>44378</v>
      </c>
      <c r="C4635" s="1" t="n">
        <v>45736</v>
      </c>
      <c r="D4635" t="inlineStr">
        <is>
          <t>VÄRMLANDS LÄN</t>
        </is>
      </c>
      <c r="E4635" t="inlineStr">
        <is>
          <t>TORSBY</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33937-2021</t>
        </is>
      </c>
      <c r="B4636" s="1" t="n">
        <v>44378</v>
      </c>
      <c r="C4636" s="1" t="n">
        <v>45736</v>
      </c>
      <c r="D4636" t="inlineStr">
        <is>
          <t>VÄRMLANDS LÄN</t>
        </is>
      </c>
      <c r="E4636" t="inlineStr">
        <is>
          <t>TORSBY</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34006-2021</t>
        </is>
      </c>
      <c r="B4637" s="1" t="n">
        <v>44378</v>
      </c>
      <c r="C4637" s="1" t="n">
        <v>45736</v>
      </c>
      <c r="D4637" t="inlineStr">
        <is>
          <t>VÄRMLANDS LÄN</t>
        </is>
      </c>
      <c r="E4637" t="inlineStr">
        <is>
          <t>SÄFFLE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34032-2021</t>
        </is>
      </c>
      <c r="B4638" s="1" t="n">
        <v>44378</v>
      </c>
      <c r="C4638" s="1" t="n">
        <v>45736</v>
      </c>
      <c r="D4638" t="inlineStr">
        <is>
          <t>VÄRMLANDS LÄN</t>
        </is>
      </c>
      <c r="E4638" t="inlineStr">
        <is>
          <t>ÅRJÄNG</t>
        </is>
      </c>
      <c r="F4638" t="inlineStr">
        <is>
          <t>Övriga Aktiebolag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34063-2021</t>
        </is>
      </c>
      <c r="B4639" s="1" t="n">
        <v>44379</v>
      </c>
      <c r="C4639" s="1" t="n">
        <v>45736</v>
      </c>
      <c r="D4639" t="inlineStr">
        <is>
          <t>VÄRMLANDS LÄN</t>
        </is>
      </c>
      <c r="E4639" t="inlineStr">
        <is>
          <t>HAGFORS</t>
        </is>
      </c>
      <c r="F4639" t="inlineStr">
        <is>
          <t>Bergvik skog väst AB</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34261-2021</t>
        </is>
      </c>
      <c r="B4640" s="1" t="n">
        <v>44379</v>
      </c>
      <c r="C4640" s="1" t="n">
        <v>45736</v>
      </c>
      <c r="D4640" t="inlineStr">
        <is>
          <t>VÄRMLANDS LÄN</t>
        </is>
      </c>
      <c r="E4640" t="inlineStr">
        <is>
          <t>KARLSTAD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34359-2021</t>
        </is>
      </c>
      <c r="B4641" s="1" t="n">
        <v>44379</v>
      </c>
      <c r="C4641" s="1" t="n">
        <v>45736</v>
      </c>
      <c r="D4641" t="inlineStr">
        <is>
          <t>VÄRMLANDS LÄN</t>
        </is>
      </c>
      <c r="E4641" t="inlineStr">
        <is>
          <t>KARLSTAD</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34290-2021</t>
        </is>
      </c>
      <c r="B4642" s="1" t="n">
        <v>44379</v>
      </c>
      <c r="C4642" s="1" t="n">
        <v>45736</v>
      </c>
      <c r="D4642" t="inlineStr">
        <is>
          <t>VÄRMLANDS LÄN</t>
        </is>
      </c>
      <c r="E4642" t="inlineStr">
        <is>
          <t>KARLSTAD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34275-2021</t>
        </is>
      </c>
      <c r="B4643" s="1" t="n">
        <v>44379</v>
      </c>
      <c r="C4643" s="1" t="n">
        <v>45736</v>
      </c>
      <c r="D4643" t="inlineStr">
        <is>
          <t>VÄRMLANDS LÄN</t>
        </is>
      </c>
      <c r="E4643" t="inlineStr">
        <is>
          <t>KARLSTAD</t>
        </is>
      </c>
      <c r="F4643" t="inlineStr">
        <is>
          <t>Kyrkan</t>
        </is>
      </c>
      <c r="G4643" t="n">
        <v>8.5</v>
      </c>
      <c r="H4643" t="n">
        <v>0</v>
      </c>
      <c r="I4643" t="n">
        <v>0</v>
      </c>
      <c r="J4643" t="n">
        <v>0</v>
      </c>
      <c r="K4643" t="n">
        <v>0</v>
      </c>
      <c r="L4643" t="n">
        <v>0</v>
      </c>
      <c r="M4643" t="n">
        <v>0</v>
      </c>
      <c r="N4643" t="n">
        <v>0</v>
      </c>
      <c r="O4643" t="n">
        <v>0</v>
      </c>
      <c r="P4643" t="n">
        <v>0</v>
      </c>
      <c r="Q4643" t="n">
        <v>0</v>
      </c>
      <c r="R4643" s="2" t="inlineStr"/>
    </row>
    <row r="4644" ht="15" customHeight="1">
      <c r="A4644" t="inlineStr">
        <is>
          <t>A 34299-2021</t>
        </is>
      </c>
      <c r="B4644" s="1" t="n">
        <v>44379</v>
      </c>
      <c r="C4644" s="1" t="n">
        <v>45736</v>
      </c>
      <c r="D4644" t="inlineStr">
        <is>
          <t>VÄRMLANDS LÄN</t>
        </is>
      </c>
      <c r="E4644" t="inlineStr">
        <is>
          <t>KRISTINEHAMN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34430-2021</t>
        </is>
      </c>
      <c r="B4645" s="1" t="n">
        <v>44380</v>
      </c>
      <c r="C4645" s="1" t="n">
        <v>45736</v>
      </c>
      <c r="D4645" t="inlineStr">
        <is>
          <t>VÄRMLANDS LÄN</t>
        </is>
      </c>
      <c r="E4645" t="inlineStr">
        <is>
          <t>KRISTINEHAMN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34425-2021</t>
        </is>
      </c>
      <c r="B4646" s="1" t="n">
        <v>44380</v>
      </c>
      <c r="C4646" s="1" t="n">
        <v>45736</v>
      </c>
      <c r="D4646" t="inlineStr">
        <is>
          <t>VÄRMLANDS LÄN</t>
        </is>
      </c>
      <c r="E4646" t="inlineStr">
        <is>
          <t>ÅRJÄNG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34466-2021</t>
        </is>
      </c>
      <c r="B4647" s="1" t="n">
        <v>44381</v>
      </c>
      <c r="C4647" s="1" t="n">
        <v>45736</v>
      </c>
      <c r="D4647" t="inlineStr">
        <is>
          <t>VÄRMLANDS LÄN</t>
        </is>
      </c>
      <c r="E4647" t="inlineStr">
        <is>
          <t>ÅRJÄNG</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34607-2021</t>
        </is>
      </c>
      <c r="B4648" s="1" t="n">
        <v>44382</v>
      </c>
      <c r="C4648" s="1" t="n">
        <v>45736</v>
      </c>
      <c r="D4648" t="inlineStr">
        <is>
          <t>VÄRMLANDS LÄN</t>
        </is>
      </c>
      <c r="E4648" t="inlineStr">
        <is>
          <t>KIL</t>
        </is>
      </c>
      <c r="G4648" t="n">
        <v>16.6</v>
      </c>
      <c r="H4648" t="n">
        <v>0</v>
      </c>
      <c r="I4648" t="n">
        <v>0</v>
      </c>
      <c r="J4648" t="n">
        <v>0</v>
      </c>
      <c r="K4648" t="n">
        <v>0</v>
      </c>
      <c r="L4648" t="n">
        <v>0</v>
      </c>
      <c r="M4648" t="n">
        <v>0</v>
      </c>
      <c r="N4648" t="n">
        <v>0</v>
      </c>
      <c r="O4648" t="n">
        <v>0</v>
      </c>
      <c r="P4648" t="n">
        <v>0</v>
      </c>
      <c r="Q4648" t="n">
        <v>0</v>
      </c>
      <c r="R4648" s="2" t="inlineStr"/>
    </row>
    <row r="4649" ht="15" customHeight="1">
      <c r="A4649" t="inlineStr">
        <is>
          <t>A 34618-2021</t>
        </is>
      </c>
      <c r="B4649" s="1" t="n">
        <v>44382</v>
      </c>
      <c r="C4649" s="1" t="n">
        <v>45736</v>
      </c>
      <c r="D4649" t="inlineStr">
        <is>
          <t>VÄRMLANDS LÄN</t>
        </is>
      </c>
      <c r="E4649" t="inlineStr">
        <is>
          <t>KARLSTAD</t>
        </is>
      </c>
      <c r="F4649" t="inlineStr">
        <is>
          <t>Bergvik skog väst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34634-2021</t>
        </is>
      </c>
      <c r="B4650" s="1" t="n">
        <v>44382</v>
      </c>
      <c r="C4650" s="1" t="n">
        <v>45736</v>
      </c>
      <c r="D4650" t="inlineStr">
        <is>
          <t>VÄRMLANDS LÄN</t>
        </is>
      </c>
      <c r="E4650" t="inlineStr">
        <is>
          <t>STORFORS</t>
        </is>
      </c>
      <c r="F4650" t="inlineStr">
        <is>
          <t>Kyrkan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34616-2021</t>
        </is>
      </c>
      <c r="B4651" s="1" t="n">
        <v>44382</v>
      </c>
      <c r="C4651" s="1" t="n">
        <v>45736</v>
      </c>
      <c r="D4651" t="inlineStr">
        <is>
          <t>VÄRMLANDS LÄN</t>
        </is>
      </c>
      <c r="E4651" t="inlineStr">
        <is>
          <t>EDA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34538-2021</t>
        </is>
      </c>
      <c r="B4652" s="1" t="n">
        <v>44382</v>
      </c>
      <c r="C4652" s="1" t="n">
        <v>45736</v>
      </c>
      <c r="D4652" t="inlineStr">
        <is>
          <t>VÄRMLANDS LÄN</t>
        </is>
      </c>
      <c r="E4652" t="inlineStr">
        <is>
          <t>MUNKFORS</t>
        </is>
      </c>
      <c r="F4652" t="inlineStr">
        <is>
          <t>Kommuner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34626-2021</t>
        </is>
      </c>
      <c r="B4653" s="1" t="n">
        <v>44382</v>
      </c>
      <c r="C4653" s="1" t="n">
        <v>45736</v>
      </c>
      <c r="D4653" t="inlineStr">
        <is>
          <t>VÄRMLANDS LÄN</t>
        </is>
      </c>
      <c r="E4653" t="inlineStr">
        <is>
          <t>TORSBY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34635-2021</t>
        </is>
      </c>
      <c r="B4654" s="1" t="n">
        <v>44382</v>
      </c>
      <c r="C4654" s="1" t="n">
        <v>45736</v>
      </c>
      <c r="D4654" t="inlineStr">
        <is>
          <t>VÄRMLANDS LÄN</t>
        </is>
      </c>
      <c r="E4654" t="inlineStr">
        <is>
          <t>STORFORS</t>
        </is>
      </c>
      <c r="F4654" t="inlineStr">
        <is>
          <t>Kyrkan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34694-2021</t>
        </is>
      </c>
      <c r="B4655" s="1" t="n">
        <v>44382</v>
      </c>
      <c r="C4655" s="1" t="n">
        <v>45736</v>
      </c>
      <c r="D4655" t="inlineStr">
        <is>
          <t>VÄRMLANDS LÄN</t>
        </is>
      </c>
      <c r="E4655" t="inlineStr">
        <is>
          <t>TORSBY</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34737-2021</t>
        </is>
      </c>
      <c r="B4656" s="1" t="n">
        <v>44382</v>
      </c>
      <c r="C4656" s="1" t="n">
        <v>45736</v>
      </c>
      <c r="D4656" t="inlineStr">
        <is>
          <t>VÄRMLANDS LÄN</t>
        </is>
      </c>
      <c r="E4656" t="inlineStr">
        <is>
          <t>FORSHAGA</t>
        </is>
      </c>
      <c r="F4656" t="inlineStr">
        <is>
          <t>Bergvik skog väst AB</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34913-2021</t>
        </is>
      </c>
      <c r="B4657" s="1" t="n">
        <v>44383</v>
      </c>
      <c r="C4657" s="1" t="n">
        <v>45736</v>
      </c>
      <c r="D4657" t="inlineStr">
        <is>
          <t>VÄRMLANDS LÄN</t>
        </is>
      </c>
      <c r="E4657" t="inlineStr">
        <is>
          <t>STORFORS</t>
        </is>
      </c>
      <c r="F4657" t="inlineStr">
        <is>
          <t>Bergvik skog väst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34885-2021</t>
        </is>
      </c>
      <c r="B4658" s="1" t="n">
        <v>44383</v>
      </c>
      <c r="C4658" s="1" t="n">
        <v>45736</v>
      </c>
      <c r="D4658" t="inlineStr">
        <is>
          <t>VÄRMLANDS LÄN</t>
        </is>
      </c>
      <c r="E4658" t="inlineStr">
        <is>
          <t>TORSBY</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34803-2021</t>
        </is>
      </c>
      <c r="B4659" s="1" t="n">
        <v>44383</v>
      </c>
      <c r="C4659" s="1" t="n">
        <v>45736</v>
      </c>
      <c r="D4659" t="inlineStr">
        <is>
          <t>VÄRMLANDS LÄN</t>
        </is>
      </c>
      <c r="E4659" t="inlineStr">
        <is>
          <t>ÅRJÄNG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34937-2021</t>
        </is>
      </c>
      <c r="B4660" s="1" t="n">
        <v>44383</v>
      </c>
      <c r="C4660" s="1" t="n">
        <v>45736</v>
      </c>
      <c r="D4660" t="inlineStr">
        <is>
          <t>VÄRMLANDS LÄN</t>
        </is>
      </c>
      <c r="E4660" t="inlineStr">
        <is>
          <t>GRUMS</t>
        </is>
      </c>
      <c r="F4660" t="inlineStr">
        <is>
          <t>Bergvik skog väst AB</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34994-2021</t>
        </is>
      </c>
      <c r="B4661" s="1" t="n">
        <v>44383</v>
      </c>
      <c r="C4661" s="1" t="n">
        <v>45736</v>
      </c>
      <c r="D4661" t="inlineStr">
        <is>
          <t>VÄRMLANDS LÄN</t>
        </is>
      </c>
      <c r="E4661" t="inlineStr">
        <is>
          <t>EDA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35288-2021</t>
        </is>
      </c>
      <c r="B4662" s="1" t="n">
        <v>44383</v>
      </c>
      <c r="C4662" s="1" t="n">
        <v>45736</v>
      </c>
      <c r="D4662" t="inlineStr">
        <is>
          <t>VÄRMLANDS LÄN</t>
        </is>
      </c>
      <c r="E4662" t="inlineStr">
        <is>
          <t>ARVIKA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35015-2021</t>
        </is>
      </c>
      <c r="B4663" s="1" t="n">
        <v>44383</v>
      </c>
      <c r="C4663" s="1" t="n">
        <v>45736</v>
      </c>
      <c r="D4663" t="inlineStr">
        <is>
          <t>VÄRMLANDS LÄN</t>
        </is>
      </c>
      <c r="E4663" t="inlineStr">
        <is>
          <t>ÅRJÄNG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35157-2021</t>
        </is>
      </c>
      <c r="B4664" s="1" t="n">
        <v>44383</v>
      </c>
      <c r="C4664" s="1" t="n">
        <v>45736</v>
      </c>
      <c r="D4664" t="inlineStr">
        <is>
          <t>VÄRMLANDS LÄN</t>
        </is>
      </c>
      <c r="E4664" t="inlineStr">
        <is>
          <t>ÅRJÄNG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35294-2021</t>
        </is>
      </c>
      <c r="B4665" s="1" t="n">
        <v>44383</v>
      </c>
      <c r="C4665" s="1" t="n">
        <v>45736</v>
      </c>
      <c r="D4665" t="inlineStr">
        <is>
          <t>VÄRMLANDS LÄN</t>
        </is>
      </c>
      <c r="E4665" t="inlineStr">
        <is>
          <t>ARVIKA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35292-2021</t>
        </is>
      </c>
      <c r="B4666" s="1" t="n">
        <v>44383</v>
      </c>
      <c r="C4666" s="1" t="n">
        <v>45736</v>
      </c>
      <c r="D4666" t="inlineStr">
        <is>
          <t>VÄRMLANDS LÄN</t>
        </is>
      </c>
      <c r="E4666" t="inlineStr">
        <is>
          <t>ARVIKA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35221-2021</t>
        </is>
      </c>
      <c r="B4667" s="1" t="n">
        <v>44384</v>
      </c>
      <c r="C4667" s="1" t="n">
        <v>45736</v>
      </c>
      <c r="D4667" t="inlineStr">
        <is>
          <t>VÄRMLANDS LÄN</t>
        </is>
      </c>
      <c r="E4667" t="inlineStr">
        <is>
          <t>TORSBY</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35248-2021</t>
        </is>
      </c>
      <c r="B4668" s="1" t="n">
        <v>44384</v>
      </c>
      <c r="C4668" s="1" t="n">
        <v>45736</v>
      </c>
      <c r="D4668" t="inlineStr">
        <is>
          <t>VÄRMLANDS LÄN</t>
        </is>
      </c>
      <c r="E4668" t="inlineStr">
        <is>
          <t>KARLSTAD</t>
        </is>
      </c>
      <c r="F4668" t="inlineStr">
        <is>
          <t>Bergvik skog väst AB</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35104-2021</t>
        </is>
      </c>
      <c r="B4669" s="1" t="n">
        <v>44384</v>
      </c>
      <c r="C4669" s="1" t="n">
        <v>45736</v>
      </c>
      <c r="D4669" t="inlineStr">
        <is>
          <t>VÄRMLANDS LÄN</t>
        </is>
      </c>
      <c r="E4669" t="inlineStr">
        <is>
          <t>ÅRJÄNG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35265-2021</t>
        </is>
      </c>
      <c r="B4670" s="1" t="n">
        <v>44384</v>
      </c>
      <c r="C4670" s="1" t="n">
        <v>45736</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35406-2021</t>
        </is>
      </c>
      <c r="B4671" s="1" t="n">
        <v>44385</v>
      </c>
      <c r="C4671" s="1" t="n">
        <v>45736</v>
      </c>
      <c r="D4671" t="inlineStr">
        <is>
          <t>VÄRMLANDS LÄN</t>
        </is>
      </c>
      <c r="E4671" t="inlineStr">
        <is>
          <t>GRUMS</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35410-2021</t>
        </is>
      </c>
      <c r="B4672" s="1" t="n">
        <v>44385</v>
      </c>
      <c r="C4672" s="1" t="n">
        <v>45736</v>
      </c>
      <c r="D4672" t="inlineStr">
        <is>
          <t>VÄRMLANDS LÄN</t>
        </is>
      </c>
      <c r="E4672" t="inlineStr">
        <is>
          <t>SÄFFLE</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35488-2021</t>
        </is>
      </c>
      <c r="B4673" s="1" t="n">
        <v>44385</v>
      </c>
      <c r="C4673" s="1" t="n">
        <v>45736</v>
      </c>
      <c r="D4673" t="inlineStr">
        <is>
          <t>VÄRMLANDS LÄN</t>
        </is>
      </c>
      <c r="E4673" t="inlineStr">
        <is>
          <t>EDA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35543-2021</t>
        </is>
      </c>
      <c r="B4674" s="1" t="n">
        <v>44385</v>
      </c>
      <c r="C4674" s="1" t="n">
        <v>45736</v>
      </c>
      <c r="D4674" t="inlineStr">
        <is>
          <t>VÄRMLANDS LÄN</t>
        </is>
      </c>
      <c r="E4674" t="inlineStr">
        <is>
          <t>ÅRJÄNG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35422-2021</t>
        </is>
      </c>
      <c r="B4675" s="1" t="n">
        <v>44385</v>
      </c>
      <c r="C4675" s="1" t="n">
        <v>45736</v>
      </c>
      <c r="D4675" t="inlineStr">
        <is>
          <t>VÄRMLANDS LÄN</t>
        </is>
      </c>
      <c r="E4675" t="inlineStr">
        <is>
          <t>SÄFFLE</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35412-2021</t>
        </is>
      </c>
      <c r="B4676" s="1" t="n">
        <v>44385</v>
      </c>
      <c r="C4676" s="1" t="n">
        <v>45736</v>
      </c>
      <c r="D4676" t="inlineStr">
        <is>
          <t>VÄRMLANDS LÄN</t>
        </is>
      </c>
      <c r="E4676" t="inlineStr">
        <is>
          <t>KARLSTAD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35823-2021</t>
        </is>
      </c>
      <c r="B4677" s="1" t="n">
        <v>44385</v>
      </c>
      <c r="C4677" s="1" t="n">
        <v>45736</v>
      </c>
      <c r="D4677" t="inlineStr">
        <is>
          <t>VÄRMLANDS LÄN</t>
        </is>
      </c>
      <c r="E4677" t="inlineStr">
        <is>
          <t>SÄFFLE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35517-2021</t>
        </is>
      </c>
      <c r="B4678" s="1" t="n">
        <v>44385</v>
      </c>
      <c r="C4678" s="1" t="n">
        <v>45736</v>
      </c>
      <c r="D4678" t="inlineStr">
        <is>
          <t>VÄRMLANDS LÄN</t>
        </is>
      </c>
      <c r="E4678" t="inlineStr">
        <is>
          <t>ARVIKA</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35972-2021</t>
        </is>
      </c>
      <c r="B4679" s="1" t="n">
        <v>44385</v>
      </c>
      <c r="C4679" s="1" t="n">
        <v>45736</v>
      </c>
      <c r="D4679" t="inlineStr">
        <is>
          <t>VÄRMLANDS LÄN</t>
        </is>
      </c>
      <c r="E4679" t="inlineStr">
        <is>
          <t>SÄFFLE</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35407-2021</t>
        </is>
      </c>
      <c r="B4680" s="1" t="n">
        <v>44385</v>
      </c>
      <c r="C4680" s="1" t="n">
        <v>45736</v>
      </c>
      <c r="D4680" t="inlineStr">
        <is>
          <t>VÄRMLANDS LÄN</t>
        </is>
      </c>
      <c r="E4680" t="inlineStr">
        <is>
          <t>SÄFFLE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35737-2021</t>
        </is>
      </c>
      <c r="B4681" s="1" t="n">
        <v>44386</v>
      </c>
      <c r="C4681" s="1" t="n">
        <v>45736</v>
      </c>
      <c r="D4681" t="inlineStr">
        <is>
          <t>VÄRMLANDS LÄN</t>
        </is>
      </c>
      <c r="E4681" t="inlineStr">
        <is>
          <t>FILIPSTAD</t>
        </is>
      </c>
      <c r="F4681" t="inlineStr">
        <is>
          <t>Bergvik skog väst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35586-2021</t>
        </is>
      </c>
      <c r="B4682" s="1" t="n">
        <v>44386</v>
      </c>
      <c r="C4682" s="1" t="n">
        <v>45736</v>
      </c>
      <c r="D4682" t="inlineStr">
        <is>
          <t>VÄRMLANDS LÄN</t>
        </is>
      </c>
      <c r="E4682" t="inlineStr">
        <is>
          <t>TORSBY</t>
        </is>
      </c>
      <c r="F4682" t="inlineStr">
        <is>
          <t>Bergvik skog väst AB</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35613-2021</t>
        </is>
      </c>
      <c r="B4683" s="1" t="n">
        <v>44386</v>
      </c>
      <c r="C4683" s="1" t="n">
        <v>45736</v>
      </c>
      <c r="D4683" t="inlineStr">
        <is>
          <t>VÄRMLANDS LÄN</t>
        </is>
      </c>
      <c r="E4683" t="inlineStr">
        <is>
          <t>EDA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35697-2021</t>
        </is>
      </c>
      <c r="B4684" s="1" t="n">
        <v>44386</v>
      </c>
      <c r="C4684" s="1" t="n">
        <v>45736</v>
      </c>
      <c r="D4684" t="inlineStr">
        <is>
          <t>VÄRMLANDS LÄN</t>
        </is>
      </c>
      <c r="E4684" t="inlineStr">
        <is>
          <t>SÄFFLE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35817-2021</t>
        </is>
      </c>
      <c r="B4685" s="1" t="n">
        <v>44386</v>
      </c>
      <c r="C4685" s="1" t="n">
        <v>45736</v>
      </c>
      <c r="D4685" t="inlineStr">
        <is>
          <t>VÄRMLANDS LÄN</t>
        </is>
      </c>
      <c r="E4685" t="inlineStr">
        <is>
          <t>KIL</t>
        </is>
      </c>
      <c r="F4685" t="inlineStr">
        <is>
          <t>Kyrkan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36042-2021</t>
        </is>
      </c>
      <c r="B4686" s="1" t="n">
        <v>44386</v>
      </c>
      <c r="C4686" s="1" t="n">
        <v>45736</v>
      </c>
      <c r="D4686" t="inlineStr">
        <is>
          <t>VÄRMLANDS LÄN</t>
        </is>
      </c>
      <c r="E4686" t="inlineStr">
        <is>
          <t>FILIPSTAD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35901-2021</t>
        </is>
      </c>
      <c r="B4687" s="1" t="n">
        <v>44387</v>
      </c>
      <c r="C4687" s="1" t="n">
        <v>45736</v>
      </c>
      <c r="D4687" t="inlineStr">
        <is>
          <t>VÄRMLANDS LÄN</t>
        </is>
      </c>
      <c r="E4687" t="inlineStr">
        <is>
          <t>SUNNE</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35907-2021</t>
        </is>
      </c>
      <c r="B4688" s="1" t="n">
        <v>44387</v>
      </c>
      <c r="C4688" s="1" t="n">
        <v>45736</v>
      </c>
      <c r="D4688" t="inlineStr">
        <is>
          <t>VÄRMLANDS LÄN</t>
        </is>
      </c>
      <c r="E4688" t="inlineStr">
        <is>
          <t>TORSBY</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35899-2021</t>
        </is>
      </c>
      <c r="B4689" s="1" t="n">
        <v>44387</v>
      </c>
      <c r="C4689" s="1" t="n">
        <v>45736</v>
      </c>
      <c r="D4689" t="inlineStr">
        <is>
          <t>VÄRMLANDS LÄN</t>
        </is>
      </c>
      <c r="E4689" t="inlineStr">
        <is>
          <t>SUNNE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35909-2021</t>
        </is>
      </c>
      <c r="B4690" s="1" t="n">
        <v>44387</v>
      </c>
      <c r="C4690" s="1" t="n">
        <v>45736</v>
      </c>
      <c r="D4690" t="inlineStr">
        <is>
          <t>VÄRMLANDS LÄN</t>
        </is>
      </c>
      <c r="E4690" t="inlineStr">
        <is>
          <t>TORSBY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35902-2021</t>
        </is>
      </c>
      <c r="B4691" s="1" t="n">
        <v>44387</v>
      </c>
      <c r="C4691" s="1" t="n">
        <v>45736</v>
      </c>
      <c r="D4691" t="inlineStr">
        <is>
          <t>VÄRMLANDS LÄN</t>
        </is>
      </c>
      <c r="E4691" t="inlineStr">
        <is>
          <t>SUNNE</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35947-2021</t>
        </is>
      </c>
      <c r="B4692" s="1" t="n">
        <v>44388</v>
      </c>
      <c r="C4692" s="1" t="n">
        <v>45736</v>
      </c>
      <c r="D4692" t="inlineStr">
        <is>
          <t>VÄRMLANDS LÄN</t>
        </is>
      </c>
      <c r="E4692" t="inlineStr">
        <is>
          <t>KRISTINEHAMN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35978-2021</t>
        </is>
      </c>
      <c r="B4693" s="1" t="n">
        <v>44389</v>
      </c>
      <c r="C4693" s="1" t="n">
        <v>45736</v>
      </c>
      <c r="D4693" t="inlineStr">
        <is>
          <t>VÄRMLANDS LÄN</t>
        </is>
      </c>
      <c r="E4693" t="inlineStr">
        <is>
          <t>KRISTINEHAMN</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35973-2021</t>
        </is>
      </c>
      <c r="B4694" s="1" t="n">
        <v>44389</v>
      </c>
      <c r="C4694" s="1" t="n">
        <v>45736</v>
      </c>
      <c r="D4694" t="inlineStr">
        <is>
          <t>VÄRMLANDS LÄN</t>
        </is>
      </c>
      <c r="E4694" t="inlineStr">
        <is>
          <t>KRISTINEHAMN</t>
        </is>
      </c>
      <c r="F4694" t="inlineStr">
        <is>
          <t>Sveaskog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36093-2021</t>
        </is>
      </c>
      <c r="B4695" s="1" t="n">
        <v>44389</v>
      </c>
      <c r="C4695" s="1" t="n">
        <v>45736</v>
      </c>
      <c r="D4695" t="inlineStr">
        <is>
          <t>VÄRMLANDS LÄN</t>
        </is>
      </c>
      <c r="E4695" t="inlineStr">
        <is>
          <t>SUNNE</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36119-2021</t>
        </is>
      </c>
      <c r="B4696" s="1" t="n">
        <v>44389</v>
      </c>
      <c r="C4696" s="1" t="n">
        <v>45736</v>
      </c>
      <c r="D4696" t="inlineStr">
        <is>
          <t>VÄRMLANDS LÄN</t>
        </is>
      </c>
      <c r="E4696" t="inlineStr">
        <is>
          <t>SÄFFLE</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36189-2021</t>
        </is>
      </c>
      <c r="B4697" s="1" t="n">
        <v>44389</v>
      </c>
      <c r="C4697" s="1" t="n">
        <v>45736</v>
      </c>
      <c r="D4697" t="inlineStr">
        <is>
          <t>VÄRMLANDS LÄN</t>
        </is>
      </c>
      <c r="E4697" t="inlineStr">
        <is>
          <t>TORSBY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36088-2021</t>
        </is>
      </c>
      <c r="B4698" s="1" t="n">
        <v>44389</v>
      </c>
      <c r="C4698" s="1" t="n">
        <v>45736</v>
      </c>
      <c r="D4698" t="inlineStr">
        <is>
          <t>VÄRMLANDS LÄN</t>
        </is>
      </c>
      <c r="E4698" t="inlineStr">
        <is>
          <t>SÄFFLE</t>
        </is>
      </c>
      <c r="G4698" t="n">
        <v>15.6</v>
      </c>
      <c r="H4698" t="n">
        <v>0</v>
      </c>
      <c r="I4698" t="n">
        <v>0</v>
      </c>
      <c r="J4698" t="n">
        <v>0</v>
      </c>
      <c r="K4698" t="n">
        <v>0</v>
      </c>
      <c r="L4698" t="n">
        <v>0</v>
      </c>
      <c r="M4698" t="n">
        <v>0</v>
      </c>
      <c r="N4698" t="n">
        <v>0</v>
      </c>
      <c r="O4698" t="n">
        <v>0</v>
      </c>
      <c r="P4698" t="n">
        <v>0</v>
      </c>
      <c r="Q4698" t="n">
        <v>0</v>
      </c>
      <c r="R4698" s="2" t="inlineStr"/>
    </row>
    <row r="4699" ht="15" customHeight="1">
      <c r="A4699" t="inlineStr">
        <is>
          <t>A 36095-2021</t>
        </is>
      </c>
      <c r="B4699" s="1" t="n">
        <v>44389</v>
      </c>
      <c r="C4699" s="1" t="n">
        <v>45736</v>
      </c>
      <c r="D4699" t="inlineStr">
        <is>
          <t>VÄRMLANDS LÄN</t>
        </is>
      </c>
      <c r="E4699" t="inlineStr">
        <is>
          <t>SÄFFLE</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36116-2021</t>
        </is>
      </c>
      <c r="B4700" s="1" t="n">
        <v>44389</v>
      </c>
      <c r="C4700" s="1" t="n">
        <v>45736</v>
      </c>
      <c r="D4700" t="inlineStr">
        <is>
          <t>VÄRMLANDS LÄN</t>
        </is>
      </c>
      <c r="E4700" t="inlineStr">
        <is>
          <t>SÄFFLE</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35975-2021</t>
        </is>
      </c>
      <c r="B4701" s="1" t="n">
        <v>44389</v>
      </c>
      <c r="C4701" s="1" t="n">
        <v>45736</v>
      </c>
      <c r="D4701" t="inlineStr">
        <is>
          <t>VÄRMLANDS LÄN</t>
        </is>
      </c>
      <c r="E4701" t="inlineStr">
        <is>
          <t>KRISTINEHAMN</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36087-2021</t>
        </is>
      </c>
      <c r="B4702" s="1" t="n">
        <v>44389</v>
      </c>
      <c r="C4702" s="1" t="n">
        <v>45736</v>
      </c>
      <c r="D4702" t="inlineStr">
        <is>
          <t>VÄRMLANDS LÄN</t>
        </is>
      </c>
      <c r="E4702" t="inlineStr">
        <is>
          <t>ÅRJÄNG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36094-2021</t>
        </is>
      </c>
      <c r="B4703" s="1" t="n">
        <v>44389</v>
      </c>
      <c r="C4703" s="1" t="n">
        <v>45736</v>
      </c>
      <c r="D4703" t="inlineStr">
        <is>
          <t>VÄRMLANDS LÄN</t>
        </is>
      </c>
      <c r="E4703" t="inlineStr">
        <is>
          <t>SÄFFLE</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36099-2021</t>
        </is>
      </c>
      <c r="B4704" s="1" t="n">
        <v>44389</v>
      </c>
      <c r="C4704" s="1" t="n">
        <v>45736</v>
      </c>
      <c r="D4704" t="inlineStr">
        <is>
          <t>VÄRMLANDS LÄN</t>
        </is>
      </c>
      <c r="E4704" t="inlineStr">
        <is>
          <t>SUNNE</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36186-2021</t>
        </is>
      </c>
      <c r="B4705" s="1" t="n">
        <v>44389</v>
      </c>
      <c r="C4705" s="1" t="n">
        <v>45736</v>
      </c>
      <c r="D4705" t="inlineStr">
        <is>
          <t>VÄRMLANDS LÄN</t>
        </is>
      </c>
      <c r="E4705" t="inlineStr">
        <is>
          <t>TORSBY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36187-2021</t>
        </is>
      </c>
      <c r="B4706" s="1" t="n">
        <v>44389</v>
      </c>
      <c r="C4706" s="1" t="n">
        <v>45736</v>
      </c>
      <c r="D4706" t="inlineStr">
        <is>
          <t>VÄRMLANDS LÄN</t>
        </is>
      </c>
      <c r="E4706" t="inlineStr">
        <is>
          <t>SÄFFLE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36191-2021</t>
        </is>
      </c>
      <c r="B4707" s="1" t="n">
        <v>44389</v>
      </c>
      <c r="C4707" s="1" t="n">
        <v>45736</v>
      </c>
      <c r="D4707" t="inlineStr">
        <is>
          <t>VÄRMLANDS LÄN</t>
        </is>
      </c>
      <c r="E4707" t="inlineStr">
        <is>
          <t>SÄFFLE</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36327-2021</t>
        </is>
      </c>
      <c r="B4708" s="1" t="n">
        <v>44390</v>
      </c>
      <c r="C4708" s="1" t="n">
        <v>45736</v>
      </c>
      <c r="D4708" t="inlineStr">
        <is>
          <t>VÄRMLANDS LÄN</t>
        </is>
      </c>
      <c r="E4708" t="inlineStr">
        <is>
          <t>TORSBY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36379-2021</t>
        </is>
      </c>
      <c r="B4709" s="1" t="n">
        <v>44390</v>
      </c>
      <c r="C4709" s="1" t="n">
        <v>45736</v>
      </c>
      <c r="D4709" t="inlineStr">
        <is>
          <t>VÄRMLANDS LÄN</t>
        </is>
      </c>
      <c r="E4709" t="inlineStr">
        <is>
          <t>SUNNE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36499-2021</t>
        </is>
      </c>
      <c r="B4710" s="1" t="n">
        <v>44391</v>
      </c>
      <c r="C4710" s="1" t="n">
        <v>45736</v>
      </c>
      <c r="D4710" t="inlineStr">
        <is>
          <t>VÄRMLANDS LÄN</t>
        </is>
      </c>
      <c r="E4710" t="inlineStr">
        <is>
          <t>ÅRJÄNG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36520-2021</t>
        </is>
      </c>
      <c r="B4711" s="1" t="n">
        <v>44391</v>
      </c>
      <c r="C4711" s="1" t="n">
        <v>45736</v>
      </c>
      <c r="D4711" t="inlineStr">
        <is>
          <t>VÄRMLANDS LÄN</t>
        </is>
      </c>
      <c r="E4711" t="inlineStr">
        <is>
          <t>ARVIKA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36506-2021</t>
        </is>
      </c>
      <c r="B4712" s="1" t="n">
        <v>44391</v>
      </c>
      <c r="C4712" s="1" t="n">
        <v>45736</v>
      </c>
      <c r="D4712" t="inlineStr">
        <is>
          <t>VÄRMLANDS LÄN</t>
        </is>
      </c>
      <c r="E4712" t="inlineStr">
        <is>
          <t>GRUMS</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36589-2021</t>
        </is>
      </c>
      <c r="B4713" s="1" t="n">
        <v>44391</v>
      </c>
      <c r="C4713" s="1" t="n">
        <v>45736</v>
      </c>
      <c r="D4713" t="inlineStr">
        <is>
          <t>VÄRMLANDS LÄN</t>
        </is>
      </c>
      <c r="E4713" t="inlineStr">
        <is>
          <t>TORSBY</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36642-2021</t>
        </is>
      </c>
      <c r="B4714" s="1" t="n">
        <v>44392</v>
      </c>
      <c r="C4714" s="1" t="n">
        <v>45736</v>
      </c>
      <c r="D4714" t="inlineStr">
        <is>
          <t>VÄRMLANDS LÄN</t>
        </is>
      </c>
      <c r="E4714" t="inlineStr">
        <is>
          <t>ÅRJÄNG</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36738-2021</t>
        </is>
      </c>
      <c r="B4715" s="1" t="n">
        <v>44392</v>
      </c>
      <c r="C4715" s="1" t="n">
        <v>45736</v>
      </c>
      <c r="D4715" t="inlineStr">
        <is>
          <t>VÄRMLANDS LÄN</t>
        </is>
      </c>
      <c r="E4715" t="inlineStr">
        <is>
          <t>SUNNE</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36641-2021</t>
        </is>
      </c>
      <c r="B4716" s="1" t="n">
        <v>44392</v>
      </c>
      <c r="C4716" s="1" t="n">
        <v>45736</v>
      </c>
      <c r="D4716" t="inlineStr">
        <is>
          <t>VÄRMLANDS LÄN</t>
        </is>
      </c>
      <c r="E4716" t="inlineStr">
        <is>
          <t>ÅRJÄNG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36700-2021</t>
        </is>
      </c>
      <c r="B4717" s="1" t="n">
        <v>44392</v>
      </c>
      <c r="C4717" s="1" t="n">
        <v>45736</v>
      </c>
      <c r="D4717" t="inlineStr">
        <is>
          <t>VÄRMLANDS LÄN</t>
        </is>
      </c>
      <c r="E4717" t="inlineStr">
        <is>
          <t>TORSBY</t>
        </is>
      </c>
      <c r="F4717" t="inlineStr">
        <is>
          <t>Bergvik skog väst AB</t>
        </is>
      </c>
      <c r="G4717" t="n">
        <v>9.9</v>
      </c>
      <c r="H4717" t="n">
        <v>0</v>
      </c>
      <c r="I4717" t="n">
        <v>0</v>
      </c>
      <c r="J4717" t="n">
        <v>0</v>
      </c>
      <c r="K4717" t="n">
        <v>0</v>
      </c>
      <c r="L4717" t="n">
        <v>0</v>
      </c>
      <c r="M4717" t="n">
        <v>0</v>
      </c>
      <c r="N4717" t="n">
        <v>0</v>
      </c>
      <c r="O4717" t="n">
        <v>0</v>
      </c>
      <c r="P4717" t="n">
        <v>0</v>
      </c>
      <c r="Q4717" t="n">
        <v>0</v>
      </c>
      <c r="R4717" s="2" t="inlineStr"/>
    </row>
    <row r="4718" ht="15" customHeight="1">
      <c r="A4718" t="inlineStr">
        <is>
          <t>A 36766-2021</t>
        </is>
      </c>
      <c r="B4718" s="1" t="n">
        <v>44392</v>
      </c>
      <c r="C4718" s="1" t="n">
        <v>45736</v>
      </c>
      <c r="D4718" t="inlineStr">
        <is>
          <t>VÄRMLANDS LÄN</t>
        </is>
      </c>
      <c r="E4718" t="inlineStr">
        <is>
          <t>SÄFFLE</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36774-2021</t>
        </is>
      </c>
      <c r="B4719" s="1" t="n">
        <v>44392</v>
      </c>
      <c r="C4719" s="1" t="n">
        <v>45736</v>
      </c>
      <c r="D4719" t="inlineStr">
        <is>
          <t>VÄRMLANDS LÄN</t>
        </is>
      </c>
      <c r="E4719" t="inlineStr">
        <is>
          <t>SÄFFLE</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36788-2021</t>
        </is>
      </c>
      <c r="B4720" s="1" t="n">
        <v>44392</v>
      </c>
      <c r="C4720" s="1" t="n">
        <v>45736</v>
      </c>
      <c r="D4720" t="inlineStr">
        <is>
          <t>VÄRMLANDS LÄN</t>
        </is>
      </c>
      <c r="E4720" t="inlineStr">
        <is>
          <t>SÄFFLE</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36794-2021</t>
        </is>
      </c>
      <c r="B4721" s="1" t="n">
        <v>44392</v>
      </c>
      <c r="C4721" s="1" t="n">
        <v>45736</v>
      </c>
      <c r="D4721" t="inlineStr">
        <is>
          <t>VÄRMLANDS LÄN</t>
        </is>
      </c>
      <c r="E4721" t="inlineStr">
        <is>
          <t>SÄFFLE</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36643-2021</t>
        </is>
      </c>
      <c r="B4722" s="1" t="n">
        <v>44392</v>
      </c>
      <c r="C4722" s="1" t="n">
        <v>45736</v>
      </c>
      <c r="D4722" t="inlineStr">
        <is>
          <t>VÄRMLANDS LÄN</t>
        </is>
      </c>
      <c r="E4722" t="inlineStr">
        <is>
          <t>ARVIKA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36686-2021</t>
        </is>
      </c>
      <c r="B4723" s="1" t="n">
        <v>44392</v>
      </c>
      <c r="C4723" s="1" t="n">
        <v>45736</v>
      </c>
      <c r="D4723" t="inlineStr">
        <is>
          <t>VÄRMLANDS LÄN</t>
        </is>
      </c>
      <c r="E4723" t="inlineStr">
        <is>
          <t>SUNNE</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36763-2021</t>
        </is>
      </c>
      <c r="B4724" s="1" t="n">
        <v>44392</v>
      </c>
      <c r="C4724" s="1" t="n">
        <v>45736</v>
      </c>
      <c r="D4724" t="inlineStr">
        <is>
          <t>VÄRMLANDS LÄN</t>
        </is>
      </c>
      <c r="E4724" t="inlineStr">
        <is>
          <t>SÄFFLE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36781-2021</t>
        </is>
      </c>
      <c r="B4725" s="1" t="n">
        <v>44392</v>
      </c>
      <c r="C4725" s="1" t="n">
        <v>45736</v>
      </c>
      <c r="D4725" t="inlineStr">
        <is>
          <t>VÄRMLANDS LÄN</t>
        </is>
      </c>
      <c r="E4725" t="inlineStr">
        <is>
          <t>SÄFFLE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36759-2021</t>
        </is>
      </c>
      <c r="B4726" s="1" t="n">
        <v>44392</v>
      </c>
      <c r="C4726" s="1" t="n">
        <v>45736</v>
      </c>
      <c r="D4726" t="inlineStr">
        <is>
          <t>VÄRMLANDS LÄN</t>
        </is>
      </c>
      <c r="E4726" t="inlineStr">
        <is>
          <t>SÄFFLE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36767-2021</t>
        </is>
      </c>
      <c r="B4727" s="1" t="n">
        <v>44392</v>
      </c>
      <c r="C4727" s="1" t="n">
        <v>45736</v>
      </c>
      <c r="D4727" t="inlineStr">
        <is>
          <t>VÄRMLANDS LÄN</t>
        </is>
      </c>
      <c r="E4727" t="inlineStr">
        <is>
          <t>SÄFFLE</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36784-2021</t>
        </is>
      </c>
      <c r="B4728" s="1" t="n">
        <v>44392</v>
      </c>
      <c r="C4728" s="1" t="n">
        <v>45736</v>
      </c>
      <c r="D4728" t="inlineStr">
        <is>
          <t>VÄRMLANDS LÄN</t>
        </is>
      </c>
      <c r="E4728" t="inlineStr">
        <is>
          <t>SÄFFLE</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36800-2021</t>
        </is>
      </c>
      <c r="B4729" s="1" t="n">
        <v>44392</v>
      </c>
      <c r="C4729" s="1" t="n">
        <v>45736</v>
      </c>
      <c r="D4729" t="inlineStr">
        <is>
          <t>VÄRMLANDS LÄN</t>
        </is>
      </c>
      <c r="E4729" t="inlineStr">
        <is>
          <t>SUNNE</t>
        </is>
      </c>
      <c r="F4729" t="inlineStr">
        <is>
          <t>Övriga Aktiebolag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36876-2021</t>
        </is>
      </c>
      <c r="B4730" s="1" t="n">
        <v>44393</v>
      </c>
      <c r="C4730" s="1" t="n">
        <v>45736</v>
      </c>
      <c r="D4730" t="inlineStr">
        <is>
          <t>VÄRMLANDS LÄN</t>
        </is>
      </c>
      <c r="E4730" t="inlineStr">
        <is>
          <t>FORSHAGA</t>
        </is>
      </c>
      <c r="F4730" t="inlineStr">
        <is>
          <t>Bergvik skog väst AB</t>
        </is>
      </c>
      <c r="G4730" t="n">
        <v>19.4</v>
      </c>
      <c r="H4730" t="n">
        <v>0</v>
      </c>
      <c r="I4730" t="n">
        <v>0</v>
      </c>
      <c r="J4730" t="n">
        <v>0</v>
      </c>
      <c r="K4730" t="n">
        <v>0</v>
      </c>
      <c r="L4730" t="n">
        <v>0</v>
      </c>
      <c r="M4730" t="n">
        <v>0</v>
      </c>
      <c r="N4730" t="n">
        <v>0</v>
      </c>
      <c r="O4730" t="n">
        <v>0</v>
      </c>
      <c r="P4730" t="n">
        <v>0</v>
      </c>
      <c r="Q4730" t="n">
        <v>0</v>
      </c>
      <c r="R4730" s="2" t="inlineStr"/>
    </row>
    <row r="4731" ht="15" customHeight="1">
      <c r="A4731" t="inlineStr">
        <is>
          <t>A 36874-2021</t>
        </is>
      </c>
      <c r="B4731" s="1" t="n">
        <v>44393</v>
      </c>
      <c r="C4731" s="1" t="n">
        <v>45736</v>
      </c>
      <c r="D4731" t="inlineStr">
        <is>
          <t>VÄRMLANDS LÄN</t>
        </is>
      </c>
      <c r="E4731" t="inlineStr">
        <is>
          <t>SUNNE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36961-2021</t>
        </is>
      </c>
      <c r="B4732" s="1" t="n">
        <v>44393</v>
      </c>
      <c r="C4732" s="1" t="n">
        <v>45736</v>
      </c>
      <c r="D4732" t="inlineStr">
        <is>
          <t>VÄRMLANDS LÄN</t>
        </is>
      </c>
      <c r="E4732" t="inlineStr">
        <is>
          <t>KRISTINEHAMN</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36886-2021</t>
        </is>
      </c>
      <c r="B4733" s="1" t="n">
        <v>44393</v>
      </c>
      <c r="C4733" s="1" t="n">
        <v>45736</v>
      </c>
      <c r="D4733" t="inlineStr">
        <is>
          <t>VÄRMLANDS LÄN</t>
        </is>
      </c>
      <c r="E4733" t="inlineStr">
        <is>
          <t>HAGFORS</t>
        </is>
      </c>
      <c r="F4733" t="inlineStr">
        <is>
          <t>Bergvik skog väst AB</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36948-2021</t>
        </is>
      </c>
      <c r="B4734" s="1" t="n">
        <v>44393</v>
      </c>
      <c r="C4734" s="1" t="n">
        <v>45736</v>
      </c>
      <c r="D4734" t="inlineStr">
        <is>
          <t>VÄRMLANDS LÄN</t>
        </is>
      </c>
      <c r="E4734" t="inlineStr">
        <is>
          <t>ÅRJÄNG</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36960-2021</t>
        </is>
      </c>
      <c r="B4735" s="1" t="n">
        <v>44393</v>
      </c>
      <c r="C4735" s="1" t="n">
        <v>45736</v>
      </c>
      <c r="D4735" t="inlineStr">
        <is>
          <t>VÄRMLANDS LÄN</t>
        </is>
      </c>
      <c r="E4735" t="inlineStr">
        <is>
          <t>KRISTINEHAMN</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36955-2021</t>
        </is>
      </c>
      <c r="B4736" s="1" t="n">
        <v>44393</v>
      </c>
      <c r="C4736" s="1" t="n">
        <v>45736</v>
      </c>
      <c r="D4736" t="inlineStr">
        <is>
          <t>VÄRMLANDS LÄN</t>
        </is>
      </c>
      <c r="E4736" t="inlineStr">
        <is>
          <t>KRISTINEHAMN</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37008-2021</t>
        </is>
      </c>
      <c r="B4737" s="1" t="n">
        <v>44393</v>
      </c>
      <c r="C4737" s="1" t="n">
        <v>45736</v>
      </c>
      <c r="D4737" t="inlineStr">
        <is>
          <t>VÄRMLANDS LÄN</t>
        </is>
      </c>
      <c r="E4737" t="inlineStr">
        <is>
          <t>FILIPSTAD</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37074-2021</t>
        </is>
      </c>
      <c r="B4738" s="1" t="n">
        <v>44394</v>
      </c>
      <c r="C4738" s="1" t="n">
        <v>45736</v>
      </c>
      <c r="D4738" t="inlineStr">
        <is>
          <t>VÄRMLANDS LÄN</t>
        </is>
      </c>
      <c r="E4738" t="inlineStr">
        <is>
          <t>TORSBY</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37075-2021</t>
        </is>
      </c>
      <c r="B4739" s="1" t="n">
        <v>44394</v>
      </c>
      <c r="C4739" s="1" t="n">
        <v>45736</v>
      </c>
      <c r="D4739" t="inlineStr">
        <is>
          <t>VÄRMLANDS LÄN</t>
        </is>
      </c>
      <c r="E4739" t="inlineStr">
        <is>
          <t>TORSBY</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37084-2021</t>
        </is>
      </c>
      <c r="B4740" s="1" t="n">
        <v>44395</v>
      </c>
      <c r="C4740" s="1" t="n">
        <v>45736</v>
      </c>
      <c r="D4740" t="inlineStr">
        <is>
          <t>VÄRMLANDS LÄN</t>
        </is>
      </c>
      <c r="E4740" t="inlineStr">
        <is>
          <t>SUNNE</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37083-2021</t>
        </is>
      </c>
      <c r="B4741" s="1" t="n">
        <v>44395</v>
      </c>
      <c r="C4741" s="1" t="n">
        <v>45736</v>
      </c>
      <c r="D4741" t="inlineStr">
        <is>
          <t>VÄRMLANDS LÄN</t>
        </is>
      </c>
      <c r="E4741" t="inlineStr">
        <is>
          <t>SUNNE</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37169-2021</t>
        </is>
      </c>
      <c r="B4742" s="1" t="n">
        <v>44395</v>
      </c>
      <c r="C4742" s="1" t="n">
        <v>45736</v>
      </c>
      <c r="D4742" t="inlineStr">
        <is>
          <t>VÄRMLANDS LÄN</t>
        </is>
      </c>
      <c r="E4742" t="inlineStr">
        <is>
          <t>KIL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37125-2021</t>
        </is>
      </c>
      <c r="B4743" s="1" t="n">
        <v>44396</v>
      </c>
      <c r="C4743" s="1" t="n">
        <v>45736</v>
      </c>
      <c r="D4743" t="inlineStr">
        <is>
          <t>VÄRMLANDS LÄN</t>
        </is>
      </c>
      <c r="E4743" t="inlineStr">
        <is>
          <t>KARLSTAD</t>
        </is>
      </c>
      <c r="F4743" t="inlineStr">
        <is>
          <t>Naturvårdsverket</t>
        </is>
      </c>
      <c r="G4743" t="n">
        <v>16.9</v>
      </c>
      <c r="H4743" t="n">
        <v>0</v>
      </c>
      <c r="I4743" t="n">
        <v>0</v>
      </c>
      <c r="J4743" t="n">
        <v>0</v>
      </c>
      <c r="K4743" t="n">
        <v>0</v>
      </c>
      <c r="L4743" t="n">
        <v>0</v>
      </c>
      <c r="M4743" t="n">
        <v>0</v>
      </c>
      <c r="N4743" t="n">
        <v>0</v>
      </c>
      <c r="O4743" t="n">
        <v>0</v>
      </c>
      <c r="P4743" t="n">
        <v>0</v>
      </c>
      <c r="Q4743" t="n">
        <v>0</v>
      </c>
      <c r="R4743" s="2" t="inlineStr"/>
    </row>
    <row r="4744" ht="15" customHeight="1">
      <c r="A4744" t="inlineStr">
        <is>
          <t>A 37136-2021</t>
        </is>
      </c>
      <c r="B4744" s="1" t="n">
        <v>44396</v>
      </c>
      <c r="C4744" s="1" t="n">
        <v>45736</v>
      </c>
      <c r="D4744" t="inlineStr">
        <is>
          <t>VÄRMLANDS LÄN</t>
        </is>
      </c>
      <c r="E4744" t="inlineStr">
        <is>
          <t>ÅRJÄNG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37127-2021</t>
        </is>
      </c>
      <c r="B4745" s="1" t="n">
        <v>44396</v>
      </c>
      <c r="C4745" s="1" t="n">
        <v>45736</v>
      </c>
      <c r="D4745" t="inlineStr">
        <is>
          <t>VÄRMLANDS LÄN</t>
        </is>
      </c>
      <c r="E4745" t="inlineStr">
        <is>
          <t>SUNNE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37182-2021</t>
        </is>
      </c>
      <c r="B4746" s="1" t="n">
        <v>44396</v>
      </c>
      <c r="C4746" s="1" t="n">
        <v>45736</v>
      </c>
      <c r="D4746" t="inlineStr">
        <is>
          <t>VÄRMLANDS LÄN</t>
        </is>
      </c>
      <c r="E4746" t="inlineStr">
        <is>
          <t>SUNNE</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37212-2021</t>
        </is>
      </c>
      <c r="B4747" s="1" t="n">
        <v>44396</v>
      </c>
      <c r="C4747" s="1" t="n">
        <v>45736</v>
      </c>
      <c r="D4747" t="inlineStr">
        <is>
          <t>VÄRMLANDS LÄN</t>
        </is>
      </c>
      <c r="E4747" t="inlineStr">
        <is>
          <t>SUNNE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37181-2021</t>
        </is>
      </c>
      <c r="B4748" s="1" t="n">
        <v>44396</v>
      </c>
      <c r="C4748" s="1" t="n">
        <v>45736</v>
      </c>
      <c r="D4748" t="inlineStr">
        <is>
          <t>VÄRMLANDS LÄN</t>
        </is>
      </c>
      <c r="E4748" t="inlineStr">
        <is>
          <t>SUNNE</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37191-2021</t>
        </is>
      </c>
      <c r="B4749" s="1" t="n">
        <v>44396</v>
      </c>
      <c r="C4749" s="1" t="n">
        <v>45736</v>
      </c>
      <c r="D4749" t="inlineStr">
        <is>
          <t>VÄRMLANDS LÄN</t>
        </is>
      </c>
      <c r="E4749" t="inlineStr">
        <is>
          <t>SUNNE</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37213-2021</t>
        </is>
      </c>
      <c r="B4750" s="1" t="n">
        <v>44396</v>
      </c>
      <c r="C4750" s="1" t="n">
        <v>45736</v>
      </c>
      <c r="D4750" t="inlineStr">
        <is>
          <t>VÄRMLANDS LÄN</t>
        </is>
      </c>
      <c r="E4750" t="inlineStr">
        <is>
          <t>SUNNE</t>
        </is>
      </c>
      <c r="F4750" t="inlineStr">
        <is>
          <t>Övriga Aktiebolag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37218-2021</t>
        </is>
      </c>
      <c r="B4751" s="1" t="n">
        <v>44396</v>
      </c>
      <c r="C4751" s="1" t="n">
        <v>45736</v>
      </c>
      <c r="D4751" t="inlineStr">
        <is>
          <t>VÄRMLANDS LÄN</t>
        </is>
      </c>
      <c r="E4751" t="inlineStr">
        <is>
          <t>SUNNE</t>
        </is>
      </c>
      <c r="F4751" t="inlineStr">
        <is>
          <t>Övriga Aktiebolag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37225-2021</t>
        </is>
      </c>
      <c r="B4752" s="1" t="n">
        <v>44396</v>
      </c>
      <c r="C4752" s="1" t="n">
        <v>45736</v>
      </c>
      <c r="D4752" t="inlineStr">
        <is>
          <t>VÄRMLANDS LÄN</t>
        </is>
      </c>
      <c r="E4752" t="inlineStr">
        <is>
          <t>TORSBY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37276-2021</t>
        </is>
      </c>
      <c r="B4753" s="1" t="n">
        <v>44397</v>
      </c>
      <c r="C4753" s="1" t="n">
        <v>45736</v>
      </c>
      <c r="D4753" t="inlineStr">
        <is>
          <t>VÄRMLANDS LÄN</t>
        </is>
      </c>
      <c r="E4753" t="inlineStr">
        <is>
          <t>SUNNE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37381-2021</t>
        </is>
      </c>
      <c r="B4754" s="1" t="n">
        <v>44398</v>
      </c>
      <c r="C4754" s="1" t="n">
        <v>45736</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37379-2021</t>
        </is>
      </c>
      <c r="B4755" s="1" t="n">
        <v>44398</v>
      </c>
      <c r="C4755" s="1" t="n">
        <v>45736</v>
      </c>
      <c r="D4755" t="inlineStr">
        <is>
          <t>VÄRMLANDS LÄN</t>
        </is>
      </c>
      <c r="E4755" t="inlineStr">
        <is>
          <t>SUNNE</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37509-2021</t>
        </is>
      </c>
      <c r="B4756" s="1" t="n">
        <v>44399</v>
      </c>
      <c r="C4756" s="1" t="n">
        <v>45736</v>
      </c>
      <c r="D4756" t="inlineStr">
        <is>
          <t>VÄRMLANDS LÄN</t>
        </is>
      </c>
      <c r="E4756" t="inlineStr">
        <is>
          <t>SUNNE</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37585-2021</t>
        </is>
      </c>
      <c r="B4757" s="1" t="n">
        <v>44399</v>
      </c>
      <c r="C4757" s="1" t="n">
        <v>45736</v>
      </c>
      <c r="D4757" t="inlineStr">
        <is>
          <t>VÄRMLANDS LÄN</t>
        </is>
      </c>
      <c r="E4757" t="inlineStr">
        <is>
          <t>SUNNE</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37540-2021</t>
        </is>
      </c>
      <c r="B4758" s="1" t="n">
        <v>44399</v>
      </c>
      <c r="C4758" s="1" t="n">
        <v>45736</v>
      </c>
      <c r="D4758" t="inlineStr">
        <is>
          <t>VÄRMLANDS LÄN</t>
        </is>
      </c>
      <c r="E4758" t="inlineStr">
        <is>
          <t>ARVIKA</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37543-2021</t>
        </is>
      </c>
      <c r="B4759" s="1" t="n">
        <v>44399</v>
      </c>
      <c r="C4759" s="1" t="n">
        <v>45736</v>
      </c>
      <c r="D4759" t="inlineStr">
        <is>
          <t>VÄRMLANDS LÄN</t>
        </is>
      </c>
      <c r="E4759" t="inlineStr">
        <is>
          <t>KARLSTAD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37597-2021</t>
        </is>
      </c>
      <c r="B4760" s="1" t="n">
        <v>44399</v>
      </c>
      <c r="C4760" s="1" t="n">
        <v>45736</v>
      </c>
      <c r="D4760" t="inlineStr">
        <is>
          <t>VÄRMLANDS LÄN</t>
        </is>
      </c>
      <c r="E4760" t="inlineStr">
        <is>
          <t>SUNNE</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37603-2021</t>
        </is>
      </c>
      <c r="B4761" s="1" t="n">
        <v>44399</v>
      </c>
      <c r="C4761" s="1" t="n">
        <v>45736</v>
      </c>
      <c r="D4761" t="inlineStr">
        <is>
          <t>VÄRMLANDS LÄN</t>
        </is>
      </c>
      <c r="E4761" t="inlineStr">
        <is>
          <t>SUNNE</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37609-2021</t>
        </is>
      </c>
      <c r="B4762" s="1" t="n">
        <v>44399</v>
      </c>
      <c r="C4762" s="1" t="n">
        <v>45736</v>
      </c>
      <c r="D4762" t="inlineStr">
        <is>
          <t>VÄRMLANDS LÄN</t>
        </is>
      </c>
      <c r="E4762" t="inlineStr">
        <is>
          <t>TORSBY</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37608-2021</t>
        </is>
      </c>
      <c r="B4763" s="1" t="n">
        <v>44399</v>
      </c>
      <c r="C4763" s="1" t="n">
        <v>45736</v>
      </c>
      <c r="D4763" t="inlineStr">
        <is>
          <t>VÄRMLANDS LÄN</t>
        </is>
      </c>
      <c r="E4763" t="inlineStr">
        <is>
          <t>TORSBY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37637-2021</t>
        </is>
      </c>
      <c r="B4764" s="1" t="n">
        <v>44400</v>
      </c>
      <c r="C4764" s="1" t="n">
        <v>45736</v>
      </c>
      <c r="D4764" t="inlineStr">
        <is>
          <t>VÄRMLANDS LÄN</t>
        </is>
      </c>
      <c r="E4764" t="inlineStr">
        <is>
          <t>SÄFFLE</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37697-2021</t>
        </is>
      </c>
      <c r="B4765" s="1" t="n">
        <v>44400</v>
      </c>
      <c r="C4765" s="1" t="n">
        <v>45736</v>
      </c>
      <c r="D4765" t="inlineStr">
        <is>
          <t>VÄRMLANDS LÄN</t>
        </is>
      </c>
      <c r="E4765" t="inlineStr">
        <is>
          <t>ÅRJÄNG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37699-2021</t>
        </is>
      </c>
      <c r="B4766" s="1" t="n">
        <v>44400</v>
      </c>
      <c r="C4766" s="1" t="n">
        <v>45736</v>
      </c>
      <c r="D4766" t="inlineStr">
        <is>
          <t>VÄRMLANDS LÄN</t>
        </is>
      </c>
      <c r="E4766" t="inlineStr">
        <is>
          <t>HAGFORS</t>
        </is>
      </c>
      <c r="F4766" t="inlineStr">
        <is>
          <t>Bergvik skog väst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37710-2021</t>
        </is>
      </c>
      <c r="B4767" s="1" t="n">
        <v>44400</v>
      </c>
      <c r="C4767" s="1" t="n">
        <v>45736</v>
      </c>
      <c r="D4767" t="inlineStr">
        <is>
          <t>VÄRMLANDS LÄN</t>
        </is>
      </c>
      <c r="E4767" t="inlineStr">
        <is>
          <t>SUNNE</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37715-2021</t>
        </is>
      </c>
      <c r="B4768" s="1" t="n">
        <v>44400</v>
      </c>
      <c r="C4768" s="1" t="n">
        <v>45736</v>
      </c>
      <c r="D4768" t="inlineStr">
        <is>
          <t>VÄRMLANDS LÄN</t>
        </is>
      </c>
      <c r="E4768" t="inlineStr">
        <is>
          <t>HAGFORS</t>
        </is>
      </c>
      <c r="F4768" t="inlineStr">
        <is>
          <t>Bergvik skog väst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37784-2021</t>
        </is>
      </c>
      <c r="B4769" s="1" t="n">
        <v>44401</v>
      </c>
      <c r="C4769" s="1" t="n">
        <v>45736</v>
      </c>
      <c r="D4769" t="inlineStr">
        <is>
          <t>VÄRMLANDS LÄN</t>
        </is>
      </c>
      <c r="E4769" t="inlineStr">
        <is>
          <t>FILIPSTAD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37783-2021</t>
        </is>
      </c>
      <c r="B4770" s="1" t="n">
        <v>44401</v>
      </c>
      <c r="C4770" s="1" t="n">
        <v>45736</v>
      </c>
      <c r="D4770" t="inlineStr">
        <is>
          <t>VÄRMLANDS LÄN</t>
        </is>
      </c>
      <c r="E4770" t="inlineStr">
        <is>
          <t>FILIPSTAD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37878-2021</t>
        </is>
      </c>
      <c r="B4771" s="1" t="n">
        <v>44403</v>
      </c>
      <c r="C4771" s="1" t="n">
        <v>45736</v>
      </c>
      <c r="D4771" t="inlineStr">
        <is>
          <t>VÄRMLANDS LÄN</t>
        </is>
      </c>
      <c r="E4771" t="inlineStr">
        <is>
          <t>KARLSTAD</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37853-2021</t>
        </is>
      </c>
      <c r="B4772" s="1" t="n">
        <v>44403</v>
      </c>
      <c r="C4772" s="1" t="n">
        <v>45736</v>
      </c>
      <c r="D4772" t="inlineStr">
        <is>
          <t>VÄRMLANDS LÄN</t>
        </is>
      </c>
      <c r="E4772" t="inlineStr">
        <is>
          <t>SÄFFLE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37860-2021</t>
        </is>
      </c>
      <c r="B4773" s="1" t="n">
        <v>44403</v>
      </c>
      <c r="C4773" s="1" t="n">
        <v>45736</v>
      </c>
      <c r="D4773" t="inlineStr">
        <is>
          <t>VÄRMLANDS LÄN</t>
        </is>
      </c>
      <c r="E4773" t="inlineStr">
        <is>
          <t>EDA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37888-2021</t>
        </is>
      </c>
      <c r="B4774" s="1" t="n">
        <v>44403</v>
      </c>
      <c r="C4774" s="1" t="n">
        <v>45736</v>
      </c>
      <c r="D4774" t="inlineStr">
        <is>
          <t>VÄRMLANDS LÄN</t>
        </is>
      </c>
      <c r="E4774" t="inlineStr">
        <is>
          <t>KARLSTAD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37927-2021</t>
        </is>
      </c>
      <c r="B4775" s="1" t="n">
        <v>44403</v>
      </c>
      <c r="C4775" s="1" t="n">
        <v>45736</v>
      </c>
      <c r="D4775" t="inlineStr">
        <is>
          <t>VÄRMLANDS LÄN</t>
        </is>
      </c>
      <c r="E4775" t="inlineStr">
        <is>
          <t>SUNNE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37873-2021</t>
        </is>
      </c>
      <c r="B4776" s="1" t="n">
        <v>44403</v>
      </c>
      <c r="C4776" s="1" t="n">
        <v>45736</v>
      </c>
      <c r="D4776" t="inlineStr">
        <is>
          <t>VÄRMLANDS LÄN</t>
        </is>
      </c>
      <c r="E4776" t="inlineStr">
        <is>
          <t>KARLSTAD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38014-2021</t>
        </is>
      </c>
      <c r="B4777" s="1" t="n">
        <v>44404</v>
      </c>
      <c r="C4777" s="1" t="n">
        <v>45736</v>
      </c>
      <c r="D4777" t="inlineStr">
        <is>
          <t>VÄRMLANDS LÄN</t>
        </is>
      </c>
      <c r="E4777" t="inlineStr">
        <is>
          <t>SÄFFLE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38038-2021</t>
        </is>
      </c>
      <c r="B4778" s="1" t="n">
        <v>44404</v>
      </c>
      <c r="C4778" s="1" t="n">
        <v>45736</v>
      </c>
      <c r="D4778" t="inlineStr">
        <is>
          <t>VÄRMLANDS LÄN</t>
        </is>
      </c>
      <c r="E4778" t="inlineStr">
        <is>
          <t>SUNNE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37993-2021</t>
        </is>
      </c>
      <c r="B4779" s="1" t="n">
        <v>44404</v>
      </c>
      <c r="C4779" s="1" t="n">
        <v>45736</v>
      </c>
      <c r="D4779" t="inlineStr">
        <is>
          <t>VÄRMLANDS LÄN</t>
        </is>
      </c>
      <c r="E4779" t="inlineStr">
        <is>
          <t>SUNNE</t>
        </is>
      </c>
      <c r="G4779" t="n">
        <v>11.7</v>
      </c>
      <c r="H4779" t="n">
        <v>0</v>
      </c>
      <c r="I4779" t="n">
        <v>0</v>
      </c>
      <c r="J4779" t="n">
        <v>0</v>
      </c>
      <c r="K4779" t="n">
        <v>0</v>
      </c>
      <c r="L4779" t="n">
        <v>0</v>
      </c>
      <c r="M4779" t="n">
        <v>0</v>
      </c>
      <c r="N4779" t="n">
        <v>0</v>
      </c>
      <c r="O4779" t="n">
        <v>0</v>
      </c>
      <c r="P4779" t="n">
        <v>0</v>
      </c>
      <c r="Q4779" t="n">
        <v>0</v>
      </c>
      <c r="R4779" s="2" t="inlineStr"/>
    </row>
    <row r="4780" ht="15" customHeight="1">
      <c r="A4780" t="inlineStr">
        <is>
          <t>A 38025-2021</t>
        </is>
      </c>
      <c r="B4780" s="1" t="n">
        <v>44404</v>
      </c>
      <c r="C4780" s="1" t="n">
        <v>45736</v>
      </c>
      <c r="D4780" t="inlineStr">
        <is>
          <t>VÄRMLANDS LÄN</t>
        </is>
      </c>
      <c r="E4780" t="inlineStr">
        <is>
          <t>SUNNE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38061-2021</t>
        </is>
      </c>
      <c r="B4781" s="1" t="n">
        <v>44404</v>
      </c>
      <c r="C4781" s="1" t="n">
        <v>45736</v>
      </c>
      <c r="D4781" t="inlineStr">
        <is>
          <t>VÄRMLANDS LÄN</t>
        </is>
      </c>
      <c r="E4781" t="inlineStr">
        <is>
          <t>KARLSTAD</t>
        </is>
      </c>
      <c r="F4781" t="inlineStr">
        <is>
          <t>Naturvårdsverket</t>
        </is>
      </c>
      <c r="G4781" t="n">
        <v>16.6</v>
      </c>
      <c r="H4781" t="n">
        <v>0</v>
      </c>
      <c r="I4781" t="n">
        <v>0</v>
      </c>
      <c r="J4781" t="n">
        <v>0</v>
      </c>
      <c r="K4781" t="n">
        <v>0</v>
      </c>
      <c r="L4781" t="n">
        <v>0</v>
      </c>
      <c r="M4781" t="n">
        <v>0</v>
      </c>
      <c r="N4781" t="n">
        <v>0</v>
      </c>
      <c r="O4781" t="n">
        <v>0</v>
      </c>
      <c r="P4781" t="n">
        <v>0</v>
      </c>
      <c r="Q4781" t="n">
        <v>0</v>
      </c>
      <c r="R4781" s="2" t="inlineStr"/>
    </row>
    <row r="4782" ht="15" customHeight="1">
      <c r="A4782" t="inlineStr">
        <is>
          <t>A 38209-2021</t>
        </is>
      </c>
      <c r="B4782" s="1" t="n">
        <v>44405</v>
      </c>
      <c r="C4782" s="1" t="n">
        <v>45736</v>
      </c>
      <c r="D4782" t="inlineStr">
        <is>
          <t>VÄRMLANDS LÄN</t>
        </is>
      </c>
      <c r="E4782" t="inlineStr">
        <is>
          <t>GRUMS</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38121-2021</t>
        </is>
      </c>
      <c r="B4783" s="1" t="n">
        <v>44405</v>
      </c>
      <c r="C4783" s="1" t="n">
        <v>45736</v>
      </c>
      <c r="D4783" t="inlineStr">
        <is>
          <t>VÄRMLANDS LÄN</t>
        </is>
      </c>
      <c r="E4783" t="inlineStr">
        <is>
          <t>KARLSTAD</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38124-2021</t>
        </is>
      </c>
      <c r="B4784" s="1" t="n">
        <v>44405</v>
      </c>
      <c r="C4784" s="1" t="n">
        <v>45736</v>
      </c>
      <c r="D4784" t="inlineStr">
        <is>
          <t>VÄRMLANDS LÄN</t>
        </is>
      </c>
      <c r="E4784" t="inlineStr">
        <is>
          <t>KARLSTAD</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38227-2021</t>
        </is>
      </c>
      <c r="B4785" s="1" t="n">
        <v>44405</v>
      </c>
      <c r="C4785" s="1" t="n">
        <v>45736</v>
      </c>
      <c r="D4785" t="inlineStr">
        <is>
          <t>VÄRMLANDS LÄN</t>
        </is>
      </c>
      <c r="E4785" t="inlineStr">
        <is>
          <t>STORFORS</t>
        </is>
      </c>
      <c r="F4785" t="inlineStr">
        <is>
          <t>Bergvik skog väst AB</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38246-2021</t>
        </is>
      </c>
      <c r="B4786" s="1" t="n">
        <v>44405</v>
      </c>
      <c r="C4786" s="1" t="n">
        <v>45736</v>
      </c>
      <c r="D4786" t="inlineStr">
        <is>
          <t>VÄRMLANDS LÄN</t>
        </is>
      </c>
      <c r="E4786" t="inlineStr">
        <is>
          <t>HAGFORS</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38467-2021</t>
        </is>
      </c>
      <c r="B4787" s="1" t="n">
        <v>44405</v>
      </c>
      <c r="C4787" s="1" t="n">
        <v>45736</v>
      </c>
      <c r="D4787" t="inlineStr">
        <is>
          <t>VÄRMLANDS LÄN</t>
        </is>
      </c>
      <c r="E4787" t="inlineStr">
        <is>
          <t>TORSBY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38229-2021</t>
        </is>
      </c>
      <c r="B4788" s="1" t="n">
        <v>44405</v>
      </c>
      <c r="C4788" s="1" t="n">
        <v>45736</v>
      </c>
      <c r="D4788" t="inlineStr">
        <is>
          <t>VÄRMLANDS LÄN</t>
        </is>
      </c>
      <c r="E4788" t="inlineStr">
        <is>
          <t>TORSBY</t>
        </is>
      </c>
      <c r="F4788" t="inlineStr">
        <is>
          <t>Bergvik skog väst AB</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38298-2021</t>
        </is>
      </c>
      <c r="B4789" s="1" t="n">
        <v>44406</v>
      </c>
      <c r="C4789" s="1" t="n">
        <v>45736</v>
      </c>
      <c r="D4789" t="inlineStr">
        <is>
          <t>VÄRMLANDS LÄN</t>
        </is>
      </c>
      <c r="E4789" t="inlineStr">
        <is>
          <t>TORSBY</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38374-2021</t>
        </is>
      </c>
      <c r="B4790" s="1" t="n">
        <v>44406</v>
      </c>
      <c r="C4790" s="1" t="n">
        <v>45736</v>
      </c>
      <c r="D4790" t="inlineStr">
        <is>
          <t>VÄRMLANDS LÄN</t>
        </is>
      </c>
      <c r="E4790" t="inlineStr">
        <is>
          <t>MUNKFORS</t>
        </is>
      </c>
      <c r="F4790" t="inlineStr">
        <is>
          <t>Bergvik skog väst AB</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38423-2021</t>
        </is>
      </c>
      <c r="B4791" s="1" t="n">
        <v>44406</v>
      </c>
      <c r="C4791" s="1" t="n">
        <v>45736</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38510-2021</t>
        </is>
      </c>
      <c r="B4792" s="1" t="n">
        <v>44407</v>
      </c>
      <c r="C4792" s="1" t="n">
        <v>45736</v>
      </c>
      <c r="D4792" t="inlineStr">
        <is>
          <t>VÄRMLANDS LÄN</t>
        </is>
      </c>
      <c r="E4792" t="inlineStr">
        <is>
          <t>SUNNE</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38564-2021</t>
        </is>
      </c>
      <c r="B4793" s="1" t="n">
        <v>44407</v>
      </c>
      <c r="C4793" s="1" t="n">
        <v>45736</v>
      </c>
      <c r="D4793" t="inlineStr">
        <is>
          <t>VÄRMLANDS LÄN</t>
        </is>
      </c>
      <c r="E4793" t="inlineStr">
        <is>
          <t>TORSBY</t>
        </is>
      </c>
      <c r="F4793" t="inlineStr">
        <is>
          <t>Bergvik skog väst AB</t>
        </is>
      </c>
      <c r="G4793" t="n">
        <v>15.7</v>
      </c>
      <c r="H4793" t="n">
        <v>0</v>
      </c>
      <c r="I4793" t="n">
        <v>0</v>
      </c>
      <c r="J4793" t="n">
        <v>0</v>
      </c>
      <c r="K4793" t="n">
        <v>0</v>
      </c>
      <c r="L4793" t="n">
        <v>0</v>
      </c>
      <c r="M4793" t="n">
        <v>0</v>
      </c>
      <c r="N4793" t="n">
        <v>0</v>
      </c>
      <c r="O4793" t="n">
        <v>0</v>
      </c>
      <c r="P4793" t="n">
        <v>0</v>
      </c>
      <c r="Q4793" t="n">
        <v>0</v>
      </c>
      <c r="R4793" s="2" t="inlineStr"/>
    </row>
    <row r="4794" ht="15" customHeight="1">
      <c r="A4794" t="inlineStr">
        <is>
          <t>A 38490-2021</t>
        </is>
      </c>
      <c r="B4794" s="1" t="n">
        <v>44407</v>
      </c>
      <c r="C4794" s="1" t="n">
        <v>45736</v>
      </c>
      <c r="D4794" t="inlineStr">
        <is>
          <t>VÄRMLANDS LÄN</t>
        </is>
      </c>
      <c r="E4794" t="inlineStr">
        <is>
          <t>KRISTINEHAMN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38528-2021</t>
        </is>
      </c>
      <c r="B4795" s="1" t="n">
        <v>44407</v>
      </c>
      <c r="C4795" s="1" t="n">
        <v>45736</v>
      </c>
      <c r="D4795" t="inlineStr">
        <is>
          <t>VÄRMLANDS LÄN</t>
        </is>
      </c>
      <c r="E4795" t="inlineStr">
        <is>
          <t>TORSBY</t>
        </is>
      </c>
      <c r="F4795" t="inlineStr">
        <is>
          <t>Bergvik skog väst AB</t>
        </is>
      </c>
      <c r="G4795" t="n">
        <v>12.5</v>
      </c>
      <c r="H4795" t="n">
        <v>0</v>
      </c>
      <c r="I4795" t="n">
        <v>0</v>
      </c>
      <c r="J4795" t="n">
        <v>0</v>
      </c>
      <c r="K4795" t="n">
        <v>0</v>
      </c>
      <c r="L4795" t="n">
        <v>0</v>
      </c>
      <c r="M4795" t="n">
        <v>0</v>
      </c>
      <c r="N4795" t="n">
        <v>0</v>
      </c>
      <c r="O4795" t="n">
        <v>0</v>
      </c>
      <c r="P4795" t="n">
        <v>0</v>
      </c>
      <c r="Q4795" t="n">
        <v>0</v>
      </c>
      <c r="R4795" s="2" t="inlineStr"/>
    </row>
    <row r="4796" ht="15" customHeight="1">
      <c r="A4796" t="inlineStr">
        <is>
          <t>A 38635-2021</t>
        </is>
      </c>
      <c r="B4796" s="1" t="n">
        <v>44410</v>
      </c>
      <c r="C4796" s="1" t="n">
        <v>45736</v>
      </c>
      <c r="D4796" t="inlineStr">
        <is>
          <t>VÄRMLANDS LÄN</t>
        </is>
      </c>
      <c r="E4796" t="inlineStr">
        <is>
          <t>KIL</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38703-2021</t>
        </is>
      </c>
      <c r="B4797" s="1" t="n">
        <v>44410</v>
      </c>
      <c r="C4797" s="1" t="n">
        <v>45736</v>
      </c>
      <c r="D4797" t="inlineStr">
        <is>
          <t>VÄRMLANDS LÄN</t>
        </is>
      </c>
      <c r="E4797" t="inlineStr">
        <is>
          <t>SUNNE</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38767-2021</t>
        </is>
      </c>
      <c r="B4798" s="1" t="n">
        <v>44410</v>
      </c>
      <c r="C4798" s="1" t="n">
        <v>45736</v>
      </c>
      <c r="D4798" t="inlineStr">
        <is>
          <t>VÄRMLANDS LÄN</t>
        </is>
      </c>
      <c r="E4798" t="inlineStr">
        <is>
          <t>TORSBY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38705-2021</t>
        </is>
      </c>
      <c r="B4799" s="1" t="n">
        <v>44410</v>
      </c>
      <c r="C4799" s="1" t="n">
        <v>45736</v>
      </c>
      <c r="D4799" t="inlineStr">
        <is>
          <t>VÄRMLANDS LÄN</t>
        </is>
      </c>
      <c r="E4799" t="inlineStr">
        <is>
          <t>SUNNE</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38745-2021</t>
        </is>
      </c>
      <c r="B4800" s="1" t="n">
        <v>44410</v>
      </c>
      <c r="C4800" s="1" t="n">
        <v>45736</v>
      </c>
      <c r="D4800" t="inlineStr">
        <is>
          <t>VÄRMLANDS LÄN</t>
        </is>
      </c>
      <c r="E4800" t="inlineStr">
        <is>
          <t>EDA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38765-2021</t>
        </is>
      </c>
      <c r="B4801" s="1" t="n">
        <v>44410</v>
      </c>
      <c r="C4801" s="1" t="n">
        <v>45736</v>
      </c>
      <c r="D4801" t="inlineStr">
        <is>
          <t>VÄRMLANDS LÄN</t>
        </is>
      </c>
      <c r="E4801" t="inlineStr">
        <is>
          <t>EDA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38905-2021</t>
        </is>
      </c>
      <c r="B4802" s="1" t="n">
        <v>44411</v>
      </c>
      <c r="C4802" s="1" t="n">
        <v>45736</v>
      </c>
      <c r="D4802" t="inlineStr">
        <is>
          <t>VÄRMLANDS LÄN</t>
        </is>
      </c>
      <c r="E4802" t="inlineStr">
        <is>
          <t>SUNNE</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38901-2021</t>
        </is>
      </c>
      <c r="B4803" s="1" t="n">
        <v>44411</v>
      </c>
      <c r="C4803" s="1" t="n">
        <v>45736</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38841-2021</t>
        </is>
      </c>
      <c r="B4804" s="1" t="n">
        <v>44411</v>
      </c>
      <c r="C4804" s="1" t="n">
        <v>45736</v>
      </c>
      <c r="D4804" t="inlineStr">
        <is>
          <t>VÄRMLANDS LÄN</t>
        </is>
      </c>
      <c r="E4804" t="inlineStr">
        <is>
          <t>TORSBY</t>
        </is>
      </c>
      <c r="F4804" t="inlineStr">
        <is>
          <t>Bergvik skog väst AB</t>
        </is>
      </c>
      <c r="G4804" t="n">
        <v>13.8</v>
      </c>
      <c r="H4804" t="n">
        <v>0</v>
      </c>
      <c r="I4804" t="n">
        <v>0</v>
      </c>
      <c r="J4804" t="n">
        <v>0</v>
      </c>
      <c r="K4804" t="n">
        <v>0</v>
      </c>
      <c r="L4804" t="n">
        <v>0</v>
      </c>
      <c r="M4804" t="n">
        <v>0</v>
      </c>
      <c r="N4804" t="n">
        <v>0</v>
      </c>
      <c r="O4804" t="n">
        <v>0</v>
      </c>
      <c r="P4804" t="n">
        <v>0</v>
      </c>
      <c r="Q4804" t="n">
        <v>0</v>
      </c>
      <c r="R4804" s="2" t="inlineStr"/>
    </row>
    <row r="4805" ht="15" customHeight="1">
      <c r="A4805" t="inlineStr">
        <is>
          <t>A 38945-2021</t>
        </is>
      </c>
      <c r="B4805" s="1" t="n">
        <v>44411</v>
      </c>
      <c r="C4805" s="1" t="n">
        <v>45736</v>
      </c>
      <c r="D4805" t="inlineStr">
        <is>
          <t>VÄRMLANDS LÄN</t>
        </is>
      </c>
      <c r="E4805" t="inlineStr">
        <is>
          <t>MUNKFORS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38894-2021</t>
        </is>
      </c>
      <c r="B4806" s="1" t="n">
        <v>44411</v>
      </c>
      <c r="C4806" s="1" t="n">
        <v>45736</v>
      </c>
      <c r="D4806" t="inlineStr">
        <is>
          <t>VÄRMLANDS LÄN</t>
        </is>
      </c>
      <c r="E4806" t="inlineStr">
        <is>
          <t>ARVIKA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38947-2021</t>
        </is>
      </c>
      <c r="B4807" s="1" t="n">
        <v>44411</v>
      </c>
      <c r="C4807" s="1" t="n">
        <v>45736</v>
      </c>
      <c r="D4807" t="inlineStr">
        <is>
          <t>VÄRMLANDS LÄN</t>
        </is>
      </c>
      <c r="E4807" t="inlineStr">
        <is>
          <t>MUNKFORS</t>
        </is>
      </c>
      <c r="G4807" t="n">
        <v>9.699999999999999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38969-2021</t>
        </is>
      </c>
      <c r="B4808" s="1" t="n">
        <v>44411</v>
      </c>
      <c r="C4808" s="1" t="n">
        <v>45736</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39067-2021</t>
        </is>
      </c>
      <c r="B4809" s="1" t="n">
        <v>44412</v>
      </c>
      <c r="C4809" s="1" t="n">
        <v>45736</v>
      </c>
      <c r="D4809" t="inlineStr">
        <is>
          <t>VÄRMLANDS LÄN</t>
        </is>
      </c>
      <c r="E4809" t="inlineStr">
        <is>
          <t>ÅRJÄNG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39000-2021</t>
        </is>
      </c>
      <c r="B4810" s="1" t="n">
        <v>44412</v>
      </c>
      <c r="C4810" s="1" t="n">
        <v>45736</v>
      </c>
      <c r="D4810" t="inlineStr">
        <is>
          <t>VÄRMLANDS LÄN</t>
        </is>
      </c>
      <c r="E4810" t="inlineStr">
        <is>
          <t>SUNNE</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39098-2021</t>
        </is>
      </c>
      <c r="B4811" s="1" t="n">
        <v>44412</v>
      </c>
      <c r="C4811" s="1" t="n">
        <v>45736</v>
      </c>
      <c r="D4811" t="inlineStr">
        <is>
          <t>VÄRMLANDS LÄN</t>
        </is>
      </c>
      <c r="E4811" t="inlineStr">
        <is>
          <t>SUNNE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39131-2021</t>
        </is>
      </c>
      <c r="B4812" s="1" t="n">
        <v>44412</v>
      </c>
      <c r="C4812" s="1" t="n">
        <v>45736</v>
      </c>
      <c r="D4812" t="inlineStr">
        <is>
          <t>VÄRMLANDS LÄN</t>
        </is>
      </c>
      <c r="E4812" t="inlineStr">
        <is>
          <t>GRUMS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39145-2021</t>
        </is>
      </c>
      <c r="B4813" s="1" t="n">
        <v>44412</v>
      </c>
      <c r="C4813" s="1" t="n">
        <v>45736</v>
      </c>
      <c r="D4813" t="inlineStr">
        <is>
          <t>VÄRMLANDS LÄN</t>
        </is>
      </c>
      <c r="E4813" t="inlineStr">
        <is>
          <t>GRUMS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39002-2021</t>
        </is>
      </c>
      <c r="B4814" s="1" t="n">
        <v>44412</v>
      </c>
      <c r="C4814" s="1" t="n">
        <v>45736</v>
      </c>
      <c r="D4814" t="inlineStr">
        <is>
          <t>VÄRMLANDS LÄN</t>
        </is>
      </c>
      <c r="E4814" t="inlineStr">
        <is>
          <t>EDA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39015-2021</t>
        </is>
      </c>
      <c r="B4815" s="1" t="n">
        <v>44412</v>
      </c>
      <c r="C4815" s="1" t="n">
        <v>45736</v>
      </c>
      <c r="D4815" t="inlineStr">
        <is>
          <t>VÄRMLANDS LÄN</t>
        </is>
      </c>
      <c r="E4815" t="inlineStr">
        <is>
          <t>ÅRJÄNG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39068-2021</t>
        </is>
      </c>
      <c r="B4816" s="1" t="n">
        <v>44412</v>
      </c>
      <c r="C4816" s="1" t="n">
        <v>45736</v>
      </c>
      <c r="D4816" t="inlineStr">
        <is>
          <t>VÄRMLANDS LÄN</t>
        </is>
      </c>
      <c r="E4816" t="inlineStr">
        <is>
          <t>SUNNE</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39095-2021</t>
        </is>
      </c>
      <c r="B4817" s="1" t="n">
        <v>44412</v>
      </c>
      <c r="C4817" s="1" t="n">
        <v>45736</v>
      </c>
      <c r="D4817" t="inlineStr">
        <is>
          <t>VÄRMLANDS LÄN</t>
        </is>
      </c>
      <c r="E4817" t="inlineStr">
        <is>
          <t>KIL</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39113-2021</t>
        </is>
      </c>
      <c r="B4818" s="1" t="n">
        <v>44412</v>
      </c>
      <c r="C4818" s="1" t="n">
        <v>45736</v>
      </c>
      <c r="D4818" t="inlineStr">
        <is>
          <t>VÄRMLANDS LÄN</t>
        </is>
      </c>
      <c r="E4818" t="inlineStr">
        <is>
          <t>SUNNE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39122-2021</t>
        </is>
      </c>
      <c r="B4819" s="1" t="n">
        <v>44412</v>
      </c>
      <c r="C4819" s="1" t="n">
        <v>45736</v>
      </c>
      <c r="D4819" t="inlineStr">
        <is>
          <t>VÄRMLANDS LÄN</t>
        </is>
      </c>
      <c r="E4819" t="inlineStr">
        <is>
          <t>EDA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38985-2021</t>
        </is>
      </c>
      <c r="B4820" s="1" t="n">
        <v>44412</v>
      </c>
      <c r="C4820" s="1" t="n">
        <v>45736</v>
      </c>
      <c r="D4820" t="inlineStr">
        <is>
          <t>VÄRMLANDS LÄN</t>
        </is>
      </c>
      <c r="E4820" t="inlineStr">
        <is>
          <t>HAGFORS</t>
        </is>
      </c>
      <c r="F4820" t="inlineStr">
        <is>
          <t>Bergvik skog väst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39003-2021</t>
        </is>
      </c>
      <c r="B4821" s="1" t="n">
        <v>44412</v>
      </c>
      <c r="C4821" s="1" t="n">
        <v>45736</v>
      </c>
      <c r="D4821" t="inlineStr">
        <is>
          <t>VÄRMLANDS LÄN</t>
        </is>
      </c>
      <c r="E4821" t="inlineStr">
        <is>
          <t>TORSBY</t>
        </is>
      </c>
      <c r="F4821" t="inlineStr">
        <is>
          <t>Bergvik skog väst AB</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39115-2021</t>
        </is>
      </c>
      <c r="B4822" s="1" t="n">
        <v>44412</v>
      </c>
      <c r="C4822" s="1" t="n">
        <v>45736</v>
      </c>
      <c r="D4822" t="inlineStr">
        <is>
          <t>VÄRMLANDS LÄN</t>
        </is>
      </c>
      <c r="E4822" t="inlineStr">
        <is>
          <t>SUNNE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39139-2021</t>
        </is>
      </c>
      <c r="B4823" s="1" t="n">
        <v>44412</v>
      </c>
      <c r="C4823" s="1" t="n">
        <v>45736</v>
      </c>
      <c r="D4823" t="inlineStr">
        <is>
          <t>VÄRMLANDS LÄN</t>
        </is>
      </c>
      <c r="E4823" t="inlineStr">
        <is>
          <t>SÄFFLE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39195-2021</t>
        </is>
      </c>
      <c r="B4824" s="1" t="n">
        <v>44413</v>
      </c>
      <c r="C4824" s="1" t="n">
        <v>45736</v>
      </c>
      <c r="D4824" t="inlineStr">
        <is>
          <t>VÄRMLANDS LÄN</t>
        </is>
      </c>
      <c r="E4824" t="inlineStr">
        <is>
          <t>ARVIKA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39273-2021</t>
        </is>
      </c>
      <c r="B4825" s="1" t="n">
        <v>44413</v>
      </c>
      <c r="C4825" s="1" t="n">
        <v>45736</v>
      </c>
      <c r="D4825" t="inlineStr">
        <is>
          <t>VÄRMLANDS LÄN</t>
        </is>
      </c>
      <c r="E4825" t="inlineStr">
        <is>
          <t>EDA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39229-2021</t>
        </is>
      </c>
      <c r="B4826" s="1" t="n">
        <v>44413</v>
      </c>
      <c r="C4826" s="1" t="n">
        <v>45736</v>
      </c>
      <c r="D4826" t="inlineStr">
        <is>
          <t>VÄRMLANDS LÄN</t>
        </is>
      </c>
      <c r="E4826" t="inlineStr">
        <is>
          <t>KARLSTAD</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39302-2021</t>
        </is>
      </c>
      <c r="B4827" s="1" t="n">
        <v>44413</v>
      </c>
      <c r="C4827" s="1" t="n">
        <v>45736</v>
      </c>
      <c r="D4827" t="inlineStr">
        <is>
          <t>VÄRMLANDS LÄN</t>
        </is>
      </c>
      <c r="E4827" t="inlineStr">
        <is>
          <t>EDA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39653-2021</t>
        </is>
      </c>
      <c r="B4828" s="1" t="n">
        <v>44413</v>
      </c>
      <c r="C4828" s="1" t="n">
        <v>45736</v>
      </c>
      <c r="D4828" t="inlineStr">
        <is>
          <t>VÄRMLANDS LÄN</t>
        </is>
      </c>
      <c r="E4828" t="inlineStr">
        <is>
          <t>KRISTINEHAMN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39260-2021</t>
        </is>
      </c>
      <c r="B4829" s="1" t="n">
        <v>44413</v>
      </c>
      <c r="C4829" s="1" t="n">
        <v>45736</v>
      </c>
      <c r="D4829" t="inlineStr">
        <is>
          <t>VÄRMLANDS LÄN</t>
        </is>
      </c>
      <c r="E4829" t="inlineStr">
        <is>
          <t>TORSBY</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39638-2021</t>
        </is>
      </c>
      <c r="B4830" s="1" t="n">
        <v>44413</v>
      </c>
      <c r="C4830" s="1" t="n">
        <v>45736</v>
      </c>
      <c r="D4830" t="inlineStr">
        <is>
          <t>VÄRMLANDS LÄN</t>
        </is>
      </c>
      <c r="E4830" t="inlineStr">
        <is>
          <t>KRISTINEHAMN</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39665-2021</t>
        </is>
      </c>
      <c r="B4831" s="1" t="n">
        <v>44413</v>
      </c>
      <c r="C4831" s="1" t="n">
        <v>45736</v>
      </c>
      <c r="D4831" t="inlineStr">
        <is>
          <t>VÄRMLANDS LÄN</t>
        </is>
      </c>
      <c r="E4831" t="inlineStr">
        <is>
          <t>GRUMS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39628-2021</t>
        </is>
      </c>
      <c r="B4832" s="1" t="n">
        <v>44413</v>
      </c>
      <c r="C4832" s="1" t="n">
        <v>45736</v>
      </c>
      <c r="D4832" t="inlineStr">
        <is>
          <t>VÄRMLANDS LÄN</t>
        </is>
      </c>
      <c r="E4832" t="inlineStr">
        <is>
          <t>KRISTINEHAMN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39659-2021</t>
        </is>
      </c>
      <c r="B4833" s="1" t="n">
        <v>44413</v>
      </c>
      <c r="C4833" s="1" t="n">
        <v>45736</v>
      </c>
      <c r="D4833" t="inlineStr">
        <is>
          <t>VÄRMLANDS LÄN</t>
        </is>
      </c>
      <c r="E4833" t="inlineStr">
        <is>
          <t>KRISTINEHAMN</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39409-2021</t>
        </is>
      </c>
      <c r="B4834" s="1" t="n">
        <v>44414</v>
      </c>
      <c r="C4834" s="1" t="n">
        <v>45736</v>
      </c>
      <c r="D4834" t="inlineStr">
        <is>
          <t>VÄRMLANDS LÄN</t>
        </is>
      </c>
      <c r="E4834" t="inlineStr">
        <is>
          <t>HAGFORS</t>
        </is>
      </c>
      <c r="F4834" t="inlineStr">
        <is>
          <t>Bergvik skog väst AB</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39573-2021</t>
        </is>
      </c>
      <c r="B4835" s="1" t="n">
        <v>44416</v>
      </c>
      <c r="C4835" s="1" t="n">
        <v>45736</v>
      </c>
      <c r="D4835" t="inlineStr">
        <is>
          <t>VÄRMLANDS LÄN</t>
        </is>
      </c>
      <c r="E4835" t="inlineStr">
        <is>
          <t>SUNNE</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39572-2021</t>
        </is>
      </c>
      <c r="B4836" s="1" t="n">
        <v>44416</v>
      </c>
      <c r="C4836" s="1" t="n">
        <v>45736</v>
      </c>
      <c r="D4836" t="inlineStr">
        <is>
          <t>VÄRMLANDS LÄN</t>
        </is>
      </c>
      <c r="E4836" t="inlineStr">
        <is>
          <t>SUNNE</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39642-2021</t>
        </is>
      </c>
      <c r="B4837" s="1" t="n">
        <v>44417</v>
      </c>
      <c r="C4837" s="1" t="n">
        <v>45736</v>
      </c>
      <c r="D4837" t="inlineStr">
        <is>
          <t>VÄRMLANDS LÄN</t>
        </is>
      </c>
      <c r="E4837" t="inlineStr">
        <is>
          <t>TORSBY</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39746-2021</t>
        </is>
      </c>
      <c r="B4838" s="1" t="n">
        <v>44417</v>
      </c>
      <c r="C4838" s="1" t="n">
        <v>45736</v>
      </c>
      <c r="D4838" t="inlineStr">
        <is>
          <t>VÄRMLANDS LÄN</t>
        </is>
      </c>
      <c r="E4838" t="inlineStr">
        <is>
          <t>ARVIKA</t>
        </is>
      </c>
      <c r="F4838" t="inlineStr">
        <is>
          <t>Bergvik skog väst AB</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39660-2021</t>
        </is>
      </c>
      <c r="B4839" s="1" t="n">
        <v>44417</v>
      </c>
      <c r="C4839" s="1" t="n">
        <v>45736</v>
      </c>
      <c r="D4839" t="inlineStr">
        <is>
          <t>VÄRMLANDS LÄN</t>
        </is>
      </c>
      <c r="E4839" t="inlineStr">
        <is>
          <t>FORSHAGA</t>
        </is>
      </c>
      <c r="G4839" t="n">
        <v>14.8</v>
      </c>
      <c r="H4839" t="n">
        <v>0</v>
      </c>
      <c r="I4839" t="n">
        <v>0</v>
      </c>
      <c r="J4839" t="n">
        <v>0</v>
      </c>
      <c r="K4839" t="n">
        <v>0</v>
      </c>
      <c r="L4839" t="n">
        <v>0</v>
      </c>
      <c r="M4839" t="n">
        <v>0</v>
      </c>
      <c r="N4839" t="n">
        <v>0</v>
      </c>
      <c r="O4839" t="n">
        <v>0</v>
      </c>
      <c r="P4839" t="n">
        <v>0</v>
      </c>
      <c r="Q4839" t="n">
        <v>0</v>
      </c>
      <c r="R4839" s="2" t="inlineStr"/>
    </row>
    <row r="4840" ht="15" customHeight="1">
      <c r="A4840" t="inlineStr">
        <is>
          <t>A 39752-2021</t>
        </is>
      </c>
      <c r="B4840" s="1" t="n">
        <v>44417</v>
      </c>
      <c r="C4840" s="1" t="n">
        <v>45736</v>
      </c>
      <c r="D4840" t="inlineStr">
        <is>
          <t>VÄRMLANDS LÄN</t>
        </is>
      </c>
      <c r="E4840" t="inlineStr">
        <is>
          <t>ÅRJÄNG</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39768-2021</t>
        </is>
      </c>
      <c r="B4841" s="1" t="n">
        <v>44417</v>
      </c>
      <c r="C4841" s="1" t="n">
        <v>45736</v>
      </c>
      <c r="D4841" t="inlineStr">
        <is>
          <t>VÄRMLANDS LÄN</t>
        </is>
      </c>
      <c r="E4841" t="inlineStr">
        <is>
          <t>SUNNE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39789-2021</t>
        </is>
      </c>
      <c r="B4842" s="1" t="n">
        <v>44417</v>
      </c>
      <c r="C4842" s="1" t="n">
        <v>45736</v>
      </c>
      <c r="D4842" t="inlineStr">
        <is>
          <t>VÄRMLANDS LÄN</t>
        </is>
      </c>
      <c r="E4842" t="inlineStr">
        <is>
          <t>HAGFORS</t>
        </is>
      </c>
      <c r="F4842" t="inlineStr">
        <is>
          <t>Bergvik skog väst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39698-2021</t>
        </is>
      </c>
      <c r="B4843" s="1" t="n">
        <v>44417</v>
      </c>
      <c r="C4843" s="1" t="n">
        <v>45736</v>
      </c>
      <c r="D4843" t="inlineStr">
        <is>
          <t>VÄRMLANDS LÄN</t>
        </is>
      </c>
      <c r="E4843" t="inlineStr">
        <is>
          <t>HAGFORS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39756-2021</t>
        </is>
      </c>
      <c r="B4844" s="1" t="n">
        <v>44417</v>
      </c>
      <c r="C4844" s="1" t="n">
        <v>45736</v>
      </c>
      <c r="D4844" t="inlineStr">
        <is>
          <t>VÄRMLANDS LÄN</t>
        </is>
      </c>
      <c r="E4844" t="inlineStr">
        <is>
          <t>SÄFFLE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39641-2021</t>
        </is>
      </c>
      <c r="B4845" s="1" t="n">
        <v>44417</v>
      </c>
      <c r="C4845" s="1" t="n">
        <v>45736</v>
      </c>
      <c r="D4845" t="inlineStr">
        <is>
          <t>VÄRMLANDS LÄN</t>
        </is>
      </c>
      <c r="E4845" t="inlineStr">
        <is>
          <t>SUNNE</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39745-2021</t>
        </is>
      </c>
      <c r="B4846" s="1" t="n">
        <v>44417</v>
      </c>
      <c r="C4846" s="1" t="n">
        <v>45736</v>
      </c>
      <c r="D4846" t="inlineStr">
        <is>
          <t>VÄRMLANDS LÄN</t>
        </is>
      </c>
      <c r="E4846" t="inlineStr">
        <is>
          <t>HAGFORS</t>
        </is>
      </c>
      <c r="F4846" t="inlineStr">
        <is>
          <t>Bergvik skog väst AB</t>
        </is>
      </c>
      <c r="G4846" t="n">
        <v>42.5</v>
      </c>
      <c r="H4846" t="n">
        <v>0</v>
      </c>
      <c r="I4846" t="n">
        <v>0</v>
      </c>
      <c r="J4846" t="n">
        <v>0</v>
      </c>
      <c r="K4846" t="n">
        <v>0</v>
      </c>
      <c r="L4846" t="n">
        <v>0</v>
      </c>
      <c r="M4846" t="n">
        <v>0</v>
      </c>
      <c r="N4846" t="n">
        <v>0</v>
      </c>
      <c r="O4846" t="n">
        <v>0</v>
      </c>
      <c r="P4846" t="n">
        <v>0</v>
      </c>
      <c r="Q4846" t="n">
        <v>0</v>
      </c>
      <c r="R4846" s="2" t="inlineStr"/>
    </row>
    <row r="4847" ht="15" customHeight="1">
      <c r="A4847" t="inlineStr">
        <is>
          <t>A 39802-2021</t>
        </is>
      </c>
      <c r="B4847" s="1" t="n">
        <v>44417</v>
      </c>
      <c r="C4847" s="1" t="n">
        <v>45736</v>
      </c>
      <c r="D4847" t="inlineStr">
        <is>
          <t>VÄRMLANDS LÄN</t>
        </is>
      </c>
      <c r="E4847" t="inlineStr">
        <is>
          <t>FORSHAGA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39849-2021</t>
        </is>
      </c>
      <c r="B4848" s="1" t="n">
        <v>44417</v>
      </c>
      <c r="C4848" s="1" t="n">
        <v>45736</v>
      </c>
      <c r="D4848" t="inlineStr">
        <is>
          <t>VÄRMLANDS LÄN</t>
        </is>
      </c>
      <c r="E4848" t="inlineStr">
        <is>
          <t>SUNNE</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39925-2021</t>
        </is>
      </c>
      <c r="B4849" s="1" t="n">
        <v>44417</v>
      </c>
      <c r="C4849" s="1" t="n">
        <v>45736</v>
      </c>
      <c r="D4849" t="inlineStr">
        <is>
          <t>VÄRMLANDS LÄN</t>
        </is>
      </c>
      <c r="E4849" t="inlineStr">
        <is>
          <t>SUNNE</t>
        </is>
      </c>
      <c r="F4849" t="inlineStr">
        <is>
          <t>Övriga statliga verk och myndigheter</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39826-2021</t>
        </is>
      </c>
      <c r="B4850" s="1" t="n">
        <v>44417</v>
      </c>
      <c r="C4850" s="1" t="n">
        <v>45736</v>
      </c>
      <c r="D4850" t="inlineStr">
        <is>
          <t>VÄRMLANDS LÄN</t>
        </is>
      </c>
      <c r="E4850" t="inlineStr">
        <is>
          <t>TORSBY</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40001-2021</t>
        </is>
      </c>
      <c r="B4851" s="1" t="n">
        <v>44417</v>
      </c>
      <c r="C4851" s="1" t="n">
        <v>45736</v>
      </c>
      <c r="D4851" t="inlineStr">
        <is>
          <t>VÄRMLANDS LÄN</t>
        </is>
      </c>
      <c r="E4851" t="inlineStr">
        <is>
          <t>ARVIKA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40298-2021</t>
        </is>
      </c>
      <c r="B4852" s="1" t="n">
        <v>44417</v>
      </c>
      <c r="C4852" s="1" t="n">
        <v>45736</v>
      </c>
      <c r="D4852" t="inlineStr">
        <is>
          <t>VÄRMLANDS LÄN</t>
        </is>
      </c>
      <c r="E4852" t="inlineStr">
        <is>
          <t>SUNNE</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40003-2021</t>
        </is>
      </c>
      <c r="B4853" s="1" t="n">
        <v>44417</v>
      </c>
      <c r="C4853" s="1" t="n">
        <v>45736</v>
      </c>
      <c r="D4853" t="inlineStr">
        <is>
          <t>VÄRMLANDS LÄN</t>
        </is>
      </c>
      <c r="E4853" t="inlineStr">
        <is>
          <t>ARVIKA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40303-2021</t>
        </is>
      </c>
      <c r="B4854" s="1" t="n">
        <v>44417</v>
      </c>
      <c r="C4854" s="1" t="n">
        <v>45736</v>
      </c>
      <c r="D4854" t="inlineStr">
        <is>
          <t>VÄRMLANDS LÄN</t>
        </is>
      </c>
      <c r="E4854" t="inlineStr">
        <is>
          <t>SUNNE</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39967-2021</t>
        </is>
      </c>
      <c r="B4855" s="1" t="n">
        <v>44418</v>
      </c>
      <c r="C4855" s="1" t="n">
        <v>45736</v>
      </c>
      <c r="D4855" t="inlineStr">
        <is>
          <t>VÄRMLANDS LÄN</t>
        </is>
      </c>
      <c r="E4855" t="inlineStr">
        <is>
          <t>TORSBY</t>
        </is>
      </c>
      <c r="F4855" t="inlineStr">
        <is>
          <t>Bergvik skog väst AB</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39971-2021</t>
        </is>
      </c>
      <c r="B4856" s="1" t="n">
        <v>44418</v>
      </c>
      <c r="C4856" s="1" t="n">
        <v>45736</v>
      </c>
      <c r="D4856" t="inlineStr">
        <is>
          <t>VÄRMLANDS LÄN</t>
        </is>
      </c>
      <c r="E4856" t="inlineStr">
        <is>
          <t>SÄFFLE</t>
        </is>
      </c>
      <c r="F4856" t="inlineStr">
        <is>
          <t>Kyrkan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39998-2021</t>
        </is>
      </c>
      <c r="B4857" s="1" t="n">
        <v>44418</v>
      </c>
      <c r="C4857" s="1" t="n">
        <v>45736</v>
      </c>
      <c r="D4857" t="inlineStr">
        <is>
          <t>VÄRMLANDS LÄN</t>
        </is>
      </c>
      <c r="E4857" t="inlineStr">
        <is>
          <t>KIL</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40174-2021</t>
        </is>
      </c>
      <c r="B4858" s="1" t="n">
        <v>44418</v>
      </c>
      <c r="C4858" s="1" t="n">
        <v>45736</v>
      </c>
      <c r="D4858" t="inlineStr">
        <is>
          <t>VÄRMLANDS LÄN</t>
        </is>
      </c>
      <c r="E4858" t="inlineStr">
        <is>
          <t>SUNNE</t>
        </is>
      </c>
      <c r="F4858" t="inlineStr">
        <is>
          <t>Övriga Aktiebolag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40185-2021</t>
        </is>
      </c>
      <c r="B4859" s="1" t="n">
        <v>44418</v>
      </c>
      <c r="C4859" s="1" t="n">
        <v>45736</v>
      </c>
      <c r="D4859" t="inlineStr">
        <is>
          <t>VÄRMLANDS LÄN</t>
        </is>
      </c>
      <c r="E4859" t="inlineStr">
        <is>
          <t>SUNNE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40243-2021</t>
        </is>
      </c>
      <c r="B4860" s="1" t="n">
        <v>44419</v>
      </c>
      <c r="C4860" s="1" t="n">
        <v>45736</v>
      </c>
      <c r="D4860" t="inlineStr">
        <is>
          <t>VÄRMLANDS LÄN</t>
        </is>
      </c>
      <c r="E4860" t="inlineStr">
        <is>
          <t>KRISTINEHAMN</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40281-2021</t>
        </is>
      </c>
      <c r="B4861" s="1" t="n">
        <v>44419</v>
      </c>
      <c r="C4861" s="1" t="n">
        <v>45736</v>
      </c>
      <c r="D4861" t="inlineStr">
        <is>
          <t>VÄRMLANDS LÄN</t>
        </is>
      </c>
      <c r="E4861" t="inlineStr">
        <is>
          <t>TORSBY</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40276-2021</t>
        </is>
      </c>
      <c r="B4862" s="1" t="n">
        <v>44419</v>
      </c>
      <c r="C4862" s="1" t="n">
        <v>45736</v>
      </c>
      <c r="D4862" t="inlineStr">
        <is>
          <t>VÄRMLANDS LÄN</t>
        </is>
      </c>
      <c r="E4862" t="inlineStr">
        <is>
          <t>TORSBY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40278-2021</t>
        </is>
      </c>
      <c r="B4863" s="1" t="n">
        <v>44419</v>
      </c>
      <c r="C4863" s="1" t="n">
        <v>45736</v>
      </c>
      <c r="D4863" t="inlineStr">
        <is>
          <t>VÄRMLANDS LÄN</t>
        </is>
      </c>
      <c r="E4863" t="inlineStr">
        <is>
          <t>TORSBY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40350-2021</t>
        </is>
      </c>
      <c r="B4864" s="1" t="n">
        <v>44419</v>
      </c>
      <c r="C4864" s="1" t="n">
        <v>45736</v>
      </c>
      <c r="D4864" t="inlineStr">
        <is>
          <t>VÄRMLANDS LÄN</t>
        </is>
      </c>
      <c r="E4864" t="inlineStr">
        <is>
          <t>EDA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40282-2021</t>
        </is>
      </c>
      <c r="B4865" s="1" t="n">
        <v>44419</v>
      </c>
      <c r="C4865" s="1" t="n">
        <v>45736</v>
      </c>
      <c r="D4865" t="inlineStr">
        <is>
          <t>VÄRMLANDS LÄN</t>
        </is>
      </c>
      <c r="E4865" t="inlineStr">
        <is>
          <t>TORSBY</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40292-2021</t>
        </is>
      </c>
      <c r="B4866" s="1" t="n">
        <v>44419</v>
      </c>
      <c r="C4866" s="1" t="n">
        <v>45736</v>
      </c>
      <c r="D4866" t="inlineStr">
        <is>
          <t>VÄRMLANDS LÄN</t>
        </is>
      </c>
      <c r="E4866" t="inlineStr">
        <is>
          <t>KIL</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40351-2021</t>
        </is>
      </c>
      <c r="B4867" s="1" t="n">
        <v>44419</v>
      </c>
      <c r="C4867" s="1" t="n">
        <v>45736</v>
      </c>
      <c r="D4867" t="inlineStr">
        <is>
          <t>VÄRMLANDS LÄN</t>
        </is>
      </c>
      <c r="E4867" t="inlineStr">
        <is>
          <t>ARVIKA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40324-2021</t>
        </is>
      </c>
      <c r="B4868" s="1" t="n">
        <v>44419</v>
      </c>
      <c r="C4868" s="1" t="n">
        <v>45736</v>
      </c>
      <c r="D4868" t="inlineStr">
        <is>
          <t>VÄRMLANDS LÄN</t>
        </is>
      </c>
      <c r="E4868" t="inlineStr">
        <is>
          <t>SÄFFLE</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40432-2021</t>
        </is>
      </c>
      <c r="B4869" s="1" t="n">
        <v>44419</v>
      </c>
      <c r="C4869" s="1" t="n">
        <v>45736</v>
      </c>
      <c r="D4869" t="inlineStr">
        <is>
          <t>VÄRMLANDS LÄN</t>
        </is>
      </c>
      <c r="E4869" t="inlineStr">
        <is>
          <t>SÄFFLE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40433-2021</t>
        </is>
      </c>
      <c r="B4870" s="1" t="n">
        <v>44419</v>
      </c>
      <c r="C4870" s="1" t="n">
        <v>45736</v>
      </c>
      <c r="D4870" t="inlineStr">
        <is>
          <t>VÄRMLANDS LÄN</t>
        </is>
      </c>
      <c r="E4870" t="inlineStr">
        <is>
          <t>SÄFFLE</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40355-2021</t>
        </is>
      </c>
      <c r="B4871" s="1" t="n">
        <v>44419</v>
      </c>
      <c r="C4871" s="1" t="n">
        <v>45736</v>
      </c>
      <c r="D4871" t="inlineStr">
        <is>
          <t>VÄRMLANDS LÄN</t>
        </is>
      </c>
      <c r="E4871" t="inlineStr">
        <is>
          <t>EDA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40451-2021</t>
        </is>
      </c>
      <c r="B4872" s="1" t="n">
        <v>44419</v>
      </c>
      <c r="C4872" s="1" t="n">
        <v>45736</v>
      </c>
      <c r="D4872" t="inlineStr">
        <is>
          <t>VÄRMLANDS LÄN</t>
        </is>
      </c>
      <c r="E4872" t="inlineStr">
        <is>
          <t>SUNNE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40455-2021</t>
        </is>
      </c>
      <c r="B4873" s="1" t="n">
        <v>44419</v>
      </c>
      <c r="C4873" s="1" t="n">
        <v>45736</v>
      </c>
      <c r="D4873" t="inlineStr">
        <is>
          <t>VÄRMLANDS LÄN</t>
        </is>
      </c>
      <c r="E4873" t="inlineStr">
        <is>
          <t>ARVIKA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40590-2021</t>
        </is>
      </c>
      <c r="B4874" s="1" t="n">
        <v>44420</v>
      </c>
      <c r="C4874" s="1" t="n">
        <v>45736</v>
      </c>
      <c r="D4874" t="inlineStr">
        <is>
          <t>VÄRMLANDS LÄN</t>
        </is>
      </c>
      <c r="E4874" t="inlineStr">
        <is>
          <t>TORSBY</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40651-2021</t>
        </is>
      </c>
      <c r="B4875" s="1" t="n">
        <v>44420</v>
      </c>
      <c r="C4875" s="1" t="n">
        <v>45736</v>
      </c>
      <c r="D4875" t="inlineStr">
        <is>
          <t>VÄRMLANDS LÄN</t>
        </is>
      </c>
      <c r="E4875" t="inlineStr">
        <is>
          <t>HAGFORS</t>
        </is>
      </c>
      <c r="F4875" t="inlineStr">
        <is>
          <t>Bergvik skog väst AB</t>
        </is>
      </c>
      <c r="G4875" t="n">
        <v>28.9</v>
      </c>
      <c r="H4875" t="n">
        <v>0</v>
      </c>
      <c r="I4875" t="n">
        <v>0</v>
      </c>
      <c r="J4875" t="n">
        <v>0</v>
      </c>
      <c r="K4875" t="n">
        <v>0</v>
      </c>
      <c r="L4875" t="n">
        <v>0</v>
      </c>
      <c r="M4875" t="n">
        <v>0</v>
      </c>
      <c r="N4875" t="n">
        <v>0</v>
      </c>
      <c r="O4875" t="n">
        <v>0</v>
      </c>
      <c r="P4875" t="n">
        <v>0</v>
      </c>
      <c r="Q4875" t="n">
        <v>0</v>
      </c>
      <c r="R4875" s="2" t="inlineStr"/>
    </row>
    <row r="4876" ht="15" customHeight="1">
      <c r="A4876" t="inlineStr">
        <is>
          <t>A 40601-2021</t>
        </is>
      </c>
      <c r="B4876" s="1" t="n">
        <v>44420</v>
      </c>
      <c r="C4876" s="1" t="n">
        <v>45736</v>
      </c>
      <c r="D4876" t="inlineStr">
        <is>
          <t>VÄRMLANDS LÄN</t>
        </is>
      </c>
      <c r="E4876" t="inlineStr">
        <is>
          <t>HAGFORS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40599-2021</t>
        </is>
      </c>
      <c r="B4877" s="1" t="n">
        <v>44420</v>
      </c>
      <c r="C4877" s="1" t="n">
        <v>45736</v>
      </c>
      <c r="D4877" t="inlineStr">
        <is>
          <t>VÄRMLANDS LÄN</t>
        </is>
      </c>
      <c r="E4877" t="inlineStr">
        <is>
          <t>SUNNE</t>
        </is>
      </c>
      <c r="G4877" t="n">
        <v>12.8</v>
      </c>
      <c r="H4877" t="n">
        <v>0</v>
      </c>
      <c r="I4877" t="n">
        <v>0</v>
      </c>
      <c r="J4877" t="n">
        <v>0</v>
      </c>
      <c r="K4877" t="n">
        <v>0</v>
      </c>
      <c r="L4877" t="n">
        <v>0</v>
      </c>
      <c r="M4877" t="n">
        <v>0</v>
      </c>
      <c r="N4877" t="n">
        <v>0</v>
      </c>
      <c r="O4877" t="n">
        <v>0</v>
      </c>
      <c r="P4877" t="n">
        <v>0</v>
      </c>
      <c r="Q4877" t="n">
        <v>0</v>
      </c>
      <c r="R4877" s="2" t="inlineStr"/>
    </row>
    <row r="4878" ht="15" customHeight="1">
      <c r="A4878" t="inlineStr">
        <is>
          <t>A 40688-2021</t>
        </is>
      </c>
      <c r="B4878" s="1" t="n">
        <v>44420</v>
      </c>
      <c r="C4878" s="1" t="n">
        <v>45736</v>
      </c>
      <c r="D4878" t="inlineStr">
        <is>
          <t>VÄRMLANDS LÄN</t>
        </is>
      </c>
      <c r="E4878" t="inlineStr">
        <is>
          <t>ARVIKA</t>
        </is>
      </c>
      <c r="F4878" t="inlineStr">
        <is>
          <t>Bergvik skog väst AB</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40678-2021</t>
        </is>
      </c>
      <c r="B4879" s="1" t="n">
        <v>44420</v>
      </c>
      <c r="C4879" s="1" t="n">
        <v>45736</v>
      </c>
      <c r="D4879" t="inlineStr">
        <is>
          <t>VÄRMLANDS LÄN</t>
        </is>
      </c>
      <c r="E4879" t="inlineStr">
        <is>
          <t>SUNNE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40675-2021</t>
        </is>
      </c>
      <c r="B4880" s="1" t="n">
        <v>44420</v>
      </c>
      <c r="C4880" s="1" t="n">
        <v>45736</v>
      </c>
      <c r="D4880" t="inlineStr">
        <is>
          <t>VÄRMLANDS LÄN</t>
        </is>
      </c>
      <c r="E4880" t="inlineStr">
        <is>
          <t>HAGFORS</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40667-2021</t>
        </is>
      </c>
      <c r="B4881" s="1" t="n">
        <v>44420</v>
      </c>
      <c r="C4881" s="1" t="n">
        <v>45736</v>
      </c>
      <c r="D4881" t="inlineStr">
        <is>
          <t>VÄRMLANDS LÄN</t>
        </is>
      </c>
      <c r="E4881" t="inlineStr">
        <is>
          <t>EDA</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40743-2021</t>
        </is>
      </c>
      <c r="B4882" s="1" t="n">
        <v>44420</v>
      </c>
      <c r="C4882" s="1" t="n">
        <v>45736</v>
      </c>
      <c r="D4882" t="inlineStr">
        <is>
          <t>VÄRMLANDS LÄN</t>
        </is>
      </c>
      <c r="E4882" t="inlineStr">
        <is>
          <t>ARVIKA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40832-2021</t>
        </is>
      </c>
      <c r="B4883" s="1" t="n">
        <v>44421</v>
      </c>
      <c r="C4883" s="1" t="n">
        <v>45736</v>
      </c>
      <c r="D4883" t="inlineStr">
        <is>
          <t>VÄRMLANDS LÄN</t>
        </is>
      </c>
      <c r="E4883" t="inlineStr">
        <is>
          <t>ÅRJÄNG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40843-2021</t>
        </is>
      </c>
      <c r="B4884" s="1" t="n">
        <v>44421</v>
      </c>
      <c r="C4884" s="1" t="n">
        <v>45736</v>
      </c>
      <c r="D4884" t="inlineStr">
        <is>
          <t>VÄRMLANDS LÄN</t>
        </is>
      </c>
      <c r="E4884" t="inlineStr">
        <is>
          <t>HAGFORS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40876-2021</t>
        </is>
      </c>
      <c r="B4885" s="1" t="n">
        <v>44421</v>
      </c>
      <c r="C4885" s="1" t="n">
        <v>45736</v>
      </c>
      <c r="D4885" t="inlineStr">
        <is>
          <t>VÄRMLANDS LÄN</t>
        </is>
      </c>
      <c r="E4885" t="inlineStr">
        <is>
          <t>TORSBY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40893-2021</t>
        </is>
      </c>
      <c r="B4886" s="1" t="n">
        <v>44421</v>
      </c>
      <c r="C4886" s="1" t="n">
        <v>45736</v>
      </c>
      <c r="D4886" t="inlineStr">
        <is>
          <t>VÄRMLANDS LÄN</t>
        </is>
      </c>
      <c r="E4886" t="inlineStr">
        <is>
          <t>KARLSTAD</t>
        </is>
      </c>
      <c r="F4886" t="inlineStr">
        <is>
          <t>Bergvik skog väst AB</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40904-2021</t>
        </is>
      </c>
      <c r="B4887" s="1" t="n">
        <v>44421</v>
      </c>
      <c r="C4887" s="1" t="n">
        <v>45736</v>
      </c>
      <c r="D4887" t="inlineStr">
        <is>
          <t>VÄRMLANDS LÄN</t>
        </is>
      </c>
      <c r="E4887" t="inlineStr">
        <is>
          <t>SÄFFLE</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40953-2021</t>
        </is>
      </c>
      <c r="B4888" s="1" t="n">
        <v>44421</v>
      </c>
      <c r="C4888" s="1" t="n">
        <v>45736</v>
      </c>
      <c r="D4888" t="inlineStr">
        <is>
          <t>VÄRMLANDS LÄN</t>
        </is>
      </c>
      <c r="E4888" t="inlineStr">
        <is>
          <t>FILIPSTAD</t>
        </is>
      </c>
      <c r="F4888" t="inlineStr">
        <is>
          <t>Bergvik skog väst AB</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40820-2021</t>
        </is>
      </c>
      <c r="B4889" s="1" t="n">
        <v>44421</v>
      </c>
      <c r="C4889" s="1" t="n">
        <v>45736</v>
      </c>
      <c r="D4889" t="inlineStr">
        <is>
          <t>VÄRMLANDS LÄN</t>
        </is>
      </c>
      <c r="E4889" t="inlineStr">
        <is>
          <t>HAGFORS</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40829-2021</t>
        </is>
      </c>
      <c r="B4890" s="1" t="n">
        <v>44421</v>
      </c>
      <c r="C4890" s="1" t="n">
        <v>45736</v>
      </c>
      <c r="D4890" t="inlineStr">
        <is>
          <t>VÄRMLANDS LÄN</t>
        </is>
      </c>
      <c r="E4890" t="inlineStr">
        <is>
          <t>ÅRJÄNG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40988-2021</t>
        </is>
      </c>
      <c r="B4891" s="1" t="n">
        <v>44421</v>
      </c>
      <c r="C4891" s="1" t="n">
        <v>45736</v>
      </c>
      <c r="D4891" t="inlineStr">
        <is>
          <t>VÄRMLANDS LÄN</t>
        </is>
      </c>
      <c r="E4891" t="inlineStr">
        <is>
          <t>KRISTINEHAMN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41027-2021</t>
        </is>
      </c>
      <c r="B4892" s="1" t="n">
        <v>44421</v>
      </c>
      <c r="C4892" s="1" t="n">
        <v>45736</v>
      </c>
      <c r="D4892" t="inlineStr">
        <is>
          <t>VÄRMLANDS LÄN</t>
        </is>
      </c>
      <c r="E4892" t="inlineStr">
        <is>
          <t>EDA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41135-2021</t>
        </is>
      </c>
      <c r="B4893" s="1" t="n">
        <v>44423</v>
      </c>
      <c r="C4893" s="1" t="n">
        <v>45736</v>
      </c>
      <c r="D4893" t="inlineStr">
        <is>
          <t>VÄRMLANDS LÄN</t>
        </is>
      </c>
      <c r="E4893" t="inlineStr">
        <is>
          <t>SUNNE</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41138-2021</t>
        </is>
      </c>
      <c r="B4894" s="1" t="n">
        <v>44423</v>
      </c>
      <c r="C4894" s="1" t="n">
        <v>45736</v>
      </c>
      <c r="D4894" t="inlineStr">
        <is>
          <t>VÄRMLANDS LÄN</t>
        </is>
      </c>
      <c r="E4894" t="inlineStr">
        <is>
          <t>SÄFFLE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41223-2021</t>
        </is>
      </c>
      <c r="B4895" s="1" t="n">
        <v>44424</v>
      </c>
      <c r="C4895" s="1" t="n">
        <v>45736</v>
      </c>
      <c r="D4895" t="inlineStr">
        <is>
          <t>VÄRMLANDS LÄN</t>
        </is>
      </c>
      <c r="E4895" t="inlineStr">
        <is>
          <t>SUNNE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41253-2021</t>
        </is>
      </c>
      <c r="B4896" s="1" t="n">
        <v>44424</v>
      </c>
      <c r="C4896" s="1" t="n">
        <v>45736</v>
      </c>
      <c r="D4896" t="inlineStr">
        <is>
          <t>VÄRMLANDS LÄN</t>
        </is>
      </c>
      <c r="E4896" t="inlineStr">
        <is>
          <t>TORSBY</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41320-2021</t>
        </is>
      </c>
      <c r="B4897" s="1" t="n">
        <v>44424</v>
      </c>
      <c r="C4897" s="1" t="n">
        <v>45736</v>
      </c>
      <c r="D4897" t="inlineStr">
        <is>
          <t>VÄRMLANDS LÄN</t>
        </is>
      </c>
      <c r="E4897" t="inlineStr">
        <is>
          <t>ARVIKA</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41325-2021</t>
        </is>
      </c>
      <c r="B4898" s="1" t="n">
        <v>44424</v>
      </c>
      <c r="C4898" s="1" t="n">
        <v>45736</v>
      </c>
      <c r="D4898" t="inlineStr">
        <is>
          <t>VÄRMLANDS LÄN</t>
        </is>
      </c>
      <c r="E4898" t="inlineStr">
        <is>
          <t>ARVIKA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41342-2021</t>
        </is>
      </c>
      <c r="B4899" s="1" t="n">
        <v>44424</v>
      </c>
      <c r="C4899" s="1" t="n">
        <v>45736</v>
      </c>
      <c r="D4899" t="inlineStr">
        <is>
          <t>VÄRMLANDS LÄN</t>
        </is>
      </c>
      <c r="E4899" t="inlineStr">
        <is>
          <t>HAGFORS</t>
        </is>
      </c>
      <c r="F4899" t="inlineStr">
        <is>
          <t>Bergvik skog väst AB</t>
        </is>
      </c>
      <c r="G4899" t="n">
        <v>12.1</v>
      </c>
      <c r="H4899" t="n">
        <v>0</v>
      </c>
      <c r="I4899" t="n">
        <v>0</v>
      </c>
      <c r="J4899" t="n">
        <v>0</v>
      </c>
      <c r="K4899" t="n">
        <v>0</v>
      </c>
      <c r="L4899" t="n">
        <v>0</v>
      </c>
      <c r="M4899" t="n">
        <v>0</v>
      </c>
      <c r="N4899" t="n">
        <v>0</v>
      </c>
      <c r="O4899" t="n">
        <v>0</v>
      </c>
      <c r="P4899" t="n">
        <v>0</v>
      </c>
      <c r="Q4899" t="n">
        <v>0</v>
      </c>
      <c r="R4899" s="2" t="inlineStr"/>
    </row>
    <row r="4900" ht="15" customHeight="1">
      <c r="A4900" t="inlineStr">
        <is>
          <t>A 41301-2021</t>
        </is>
      </c>
      <c r="B4900" s="1" t="n">
        <v>44424</v>
      </c>
      <c r="C4900" s="1" t="n">
        <v>45736</v>
      </c>
      <c r="D4900" t="inlineStr">
        <is>
          <t>VÄRMLANDS LÄN</t>
        </is>
      </c>
      <c r="E4900" t="inlineStr">
        <is>
          <t>GRUMS</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41311-2021</t>
        </is>
      </c>
      <c r="B4901" s="1" t="n">
        <v>44424</v>
      </c>
      <c r="C4901" s="1" t="n">
        <v>45736</v>
      </c>
      <c r="D4901" t="inlineStr">
        <is>
          <t>VÄRMLANDS LÄN</t>
        </is>
      </c>
      <c r="E4901" t="inlineStr">
        <is>
          <t>ARVIKA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41317-2021</t>
        </is>
      </c>
      <c r="B4902" s="1" t="n">
        <v>44424</v>
      </c>
      <c r="C4902" s="1" t="n">
        <v>45736</v>
      </c>
      <c r="D4902" t="inlineStr">
        <is>
          <t>VÄRMLANDS LÄN</t>
        </is>
      </c>
      <c r="E4902" t="inlineStr">
        <is>
          <t>ARVIKA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41323-2021</t>
        </is>
      </c>
      <c r="B4903" s="1" t="n">
        <v>44424</v>
      </c>
      <c r="C4903" s="1" t="n">
        <v>45736</v>
      </c>
      <c r="D4903" t="inlineStr">
        <is>
          <t>VÄRMLANDS LÄN</t>
        </is>
      </c>
      <c r="E4903" t="inlineStr">
        <is>
          <t>GRUMS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41329-2021</t>
        </is>
      </c>
      <c r="B4904" s="1" t="n">
        <v>44424</v>
      </c>
      <c r="C4904" s="1" t="n">
        <v>45736</v>
      </c>
      <c r="D4904" t="inlineStr">
        <is>
          <t>VÄRMLANDS LÄN</t>
        </is>
      </c>
      <c r="E4904" t="inlineStr">
        <is>
          <t>ARVIKA</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41297-2021</t>
        </is>
      </c>
      <c r="B4905" s="1" t="n">
        <v>44424</v>
      </c>
      <c r="C4905" s="1" t="n">
        <v>45736</v>
      </c>
      <c r="D4905" t="inlineStr">
        <is>
          <t>VÄRMLANDS LÄN</t>
        </is>
      </c>
      <c r="E4905" t="inlineStr">
        <is>
          <t>KRISTINEHAMN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41382-2021</t>
        </is>
      </c>
      <c r="B4906" s="1" t="n">
        <v>44424</v>
      </c>
      <c r="C4906" s="1" t="n">
        <v>45736</v>
      </c>
      <c r="D4906" t="inlineStr">
        <is>
          <t>VÄRMLANDS LÄN</t>
        </is>
      </c>
      <c r="E4906" t="inlineStr">
        <is>
          <t>SUNNE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41368-2021</t>
        </is>
      </c>
      <c r="B4907" s="1" t="n">
        <v>44424</v>
      </c>
      <c r="C4907" s="1" t="n">
        <v>45736</v>
      </c>
      <c r="D4907" t="inlineStr">
        <is>
          <t>VÄRMLANDS LÄN</t>
        </is>
      </c>
      <c r="E4907" t="inlineStr">
        <is>
          <t>HAGFORS</t>
        </is>
      </c>
      <c r="F4907" t="inlineStr">
        <is>
          <t>Bergvik skog väst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41377-2021</t>
        </is>
      </c>
      <c r="B4908" s="1" t="n">
        <v>44424</v>
      </c>
      <c r="C4908" s="1" t="n">
        <v>45736</v>
      </c>
      <c r="D4908" t="inlineStr">
        <is>
          <t>VÄRMLANDS LÄN</t>
        </is>
      </c>
      <c r="E4908" t="inlineStr">
        <is>
          <t>TORSBY</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41450-2021</t>
        </is>
      </c>
      <c r="B4909" s="1" t="n">
        <v>44424</v>
      </c>
      <c r="C4909" s="1" t="n">
        <v>45736</v>
      </c>
      <c r="D4909" t="inlineStr">
        <is>
          <t>VÄRMLANDS LÄN</t>
        </is>
      </c>
      <c r="E4909" t="inlineStr">
        <is>
          <t>ARVIKA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41551-2021</t>
        </is>
      </c>
      <c r="B4910" s="1" t="n">
        <v>44424</v>
      </c>
      <c r="C4910" s="1" t="n">
        <v>45736</v>
      </c>
      <c r="D4910" t="inlineStr">
        <is>
          <t>VÄRMLANDS LÄN</t>
        </is>
      </c>
      <c r="E4910" t="inlineStr">
        <is>
          <t>ARVIKA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41511-2021</t>
        </is>
      </c>
      <c r="B4911" s="1" t="n">
        <v>44424</v>
      </c>
      <c r="C4911" s="1" t="n">
        <v>45736</v>
      </c>
      <c r="D4911" t="inlineStr">
        <is>
          <t>VÄRMLANDS LÄN</t>
        </is>
      </c>
      <c r="E4911" t="inlineStr">
        <is>
          <t>SÄFFLE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41512-2021</t>
        </is>
      </c>
      <c r="B4912" s="1" t="n">
        <v>44424</v>
      </c>
      <c r="C4912" s="1" t="n">
        <v>45736</v>
      </c>
      <c r="D4912" t="inlineStr">
        <is>
          <t>VÄRMLANDS LÄN</t>
        </is>
      </c>
      <c r="E4912" t="inlineStr">
        <is>
          <t>SÄFFLE</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41416-2021</t>
        </is>
      </c>
      <c r="B4913" s="1" t="n">
        <v>44424</v>
      </c>
      <c r="C4913" s="1" t="n">
        <v>45736</v>
      </c>
      <c r="D4913" t="inlineStr">
        <is>
          <t>VÄRMLANDS LÄN</t>
        </is>
      </c>
      <c r="E4913" t="inlineStr">
        <is>
          <t>ÅRJÄNG</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41525-2021</t>
        </is>
      </c>
      <c r="B4914" s="1" t="n">
        <v>44425</v>
      </c>
      <c r="C4914" s="1" t="n">
        <v>45736</v>
      </c>
      <c r="D4914" t="inlineStr">
        <is>
          <t>VÄRMLANDS LÄN</t>
        </is>
      </c>
      <c r="E4914" t="inlineStr">
        <is>
          <t>SUNNE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41661-2021</t>
        </is>
      </c>
      <c r="B4915" s="1" t="n">
        <v>44425</v>
      </c>
      <c r="C4915" s="1" t="n">
        <v>45736</v>
      </c>
      <c r="D4915" t="inlineStr">
        <is>
          <t>VÄRMLANDS LÄN</t>
        </is>
      </c>
      <c r="E4915" t="inlineStr">
        <is>
          <t>ARVIKA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41519-2021</t>
        </is>
      </c>
      <c r="B4916" s="1" t="n">
        <v>44425</v>
      </c>
      <c r="C4916" s="1" t="n">
        <v>45736</v>
      </c>
      <c r="D4916" t="inlineStr">
        <is>
          <t>VÄRMLANDS LÄN</t>
        </is>
      </c>
      <c r="E4916" t="inlineStr">
        <is>
          <t>KARLSTAD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41530-2021</t>
        </is>
      </c>
      <c r="B4917" s="1" t="n">
        <v>44425</v>
      </c>
      <c r="C4917" s="1" t="n">
        <v>45736</v>
      </c>
      <c r="D4917" t="inlineStr">
        <is>
          <t>VÄRMLANDS LÄN</t>
        </is>
      </c>
      <c r="E4917" t="inlineStr">
        <is>
          <t>STORFORS</t>
        </is>
      </c>
      <c r="F4917" t="inlineStr">
        <is>
          <t>Kyrkan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41633-2021</t>
        </is>
      </c>
      <c r="B4918" s="1" t="n">
        <v>44425</v>
      </c>
      <c r="C4918" s="1" t="n">
        <v>45736</v>
      </c>
      <c r="D4918" t="inlineStr">
        <is>
          <t>VÄRMLANDS LÄN</t>
        </is>
      </c>
      <c r="E4918" t="inlineStr">
        <is>
          <t>TORSBY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41671-2021</t>
        </is>
      </c>
      <c r="B4919" s="1" t="n">
        <v>44425</v>
      </c>
      <c r="C4919" s="1" t="n">
        <v>45736</v>
      </c>
      <c r="D4919" t="inlineStr">
        <is>
          <t>VÄRMLANDS LÄN</t>
        </is>
      </c>
      <c r="E4919" t="inlineStr">
        <is>
          <t>TORSBY</t>
        </is>
      </c>
      <c r="F4919" t="inlineStr">
        <is>
          <t>Övriga Aktiebolag</t>
        </is>
      </c>
      <c r="G4919" t="n">
        <v>10.1</v>
      </c>
      <c r="H4919" t="n">
        <v>0</v>
      </c>
      <c r="I4919" t="n">
        <v>0</v>
      </c>
      <c r="J4919" t="n">
        <v>0</v>
      </c>
      <c r="K4919" t="n">
        <v>0</v>
      </c>
      <c r="L4919" t="n">
        <v>0</v>
      </c>
      <c r="M4919" t="n">
        <v>0</v>
      </c>
      <c r="N4919" t="n">
        <v>0</v>
      </c>
      <c r="O4919" t="n">
        <v>0</v>
      </c>
      <c r="P4919" t="n">
        <v>0</v>
      </c>
      <c r="Q4919" t="n">
        <v>0</v>
      </c>
      <c r="R4919" s="2" t="inlineStr"/>
    </row>
    <row r="4920" ht="15" customHeight="1">
      <c r="A4920" t="inlineStr">
        <is>
          <t>A 41739-2021</t>
        </is>
      </c>
      <c r="B4920" s="1" t="n">
        <v>44425</v>
      </c>
      <c r="C4920" s="1" t="n">
        <v>45736</v>
      </c>
      <c r="D4920" t="inlineStr">
        <is>
          <t>VÄRMLANDS LÄN</t>
        </is>
      </c>
      <c r="E4920" t="inlineStr">
        <is>
          <t>SUNNE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41647-2021</t>
        </is>
      </c>
      <c r="B4921" s="1" t="n">
        <v>44425</v>
      </c>
      <c r="C4921" s="1" t="n">
        <v>45736</v>
      </c>
      <c r="D4921" t="inlineStr">
        <is>
          <t>VÄRMLANDS LÄN</t>
        </is>
      </c>
      <c r="E4921" t="inlineStr">
        <is>
          <t>SÄFFLE</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41678-2021</t>
        </is>
      </c>
      <c r="B4922" s="1" t="n">
        <v>44425</v>
      </c>
      <c r="C4922" s="1" t="n">
        <v>45736</v>
      </c>
      <c r="D4922" t="inlineStr">
        <is>
          <t>VÄRMLANDS LÄN</t>
        </is>
      </c>
      <c r="E4922" t="inlineStr">
        <is>
          <t>TORSBY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41808-2021</t>
        </is>
      </c>
      <c r="B4923" s="1" t="n">
        <v>44425</v>
      </c>
      <c r="C4923" s="1" t="n">
        <v>45736</v>
      </c>
      <c r="D4923" t="inlineStr">
        <is>
          <t>VÄRMLANDS LÄN</t>
        </is>
      </c>
      <c r="E4923" t="inlineStr">
        <is>
          <t>TORSBY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41686-2021</t>
        </is>
      </c>
      <c r="B4924" s="1" t="n">
        <v>44425</v>
      </c>
      <c r="C4924" s="1" t="n">
        <v>45736</v>
      </c>
      <c r="D4924" t="inlineStr">
        <is>
          <t>VÄRMLANDS LÄN</t>
        </is>
      </c>
      <c r="E4924" t="inlineStr">
        <is>
          <t>ARVIKA</t>
        </is>
      </c>
      <c r="G4924" t="n">
        <v>4.4</v>
      </c>
      <c r="H4924" t="n">
        <v>0</v>
      </c>
      <c r="I4924" t="n">
        <v>0</v>
      </c>
      <c r="J4924" t="n">
        <v>0</v>
      </c>
      <c r="K4924" t="n">
        <v>0</v>
      </c>
      <c r="L4924" t="n">
        <v>0</v>
      </c>
      <c r="M4924" t="n">
        <v>0</v>
      </c>
      <c r="N4924" t="n">
        <v>0</v>
      </c>
      <c r="O4924" t="n">
        <v>0</v>
      </c>
      <c r="P4924" t="n">
        <v>0</v>
      </c>
      <c r="Q4924" t="n">
        <v>0</v>
      </c>
      <c r="R4924" s="2" t="inlineStr"/>
      <c r="U4924">
        <f>HYPERLINK("https://klasma.github.io/Logging_1784/knärot/A 41686-2021 karta knärot.png", "A 41686-2021")</f>
        <v/>
      </c>
      <c r="V4924">
        <f>HYPERLINK("https://klasma.github.io/Logging_1784/klagomål/A 41686-2021 FSC-klagomål.docx", "A 41686-2021")</f>
        <v/>
      </c>
      <c r="W4924">
        <f>HYPERLINK("https://klasma.github.io/Logging_1784/klagomålsmail/A 41686-2021 FSC-klagomål mail.docx", "A 41686-2021")</f>
        <v/>
      </c>
      <c r="X4924">
        <f>HYPERLINK("https://klasma.github.io/Logging_1784/tillsyn/A 41686-2021 tillsynsbegäran.docx", "A 41686-2021")</f>
        <v/>
      </c>
      <c r="Y4924">
        <f>HYPERLINK("https://klasma.github.io/Logging_1784/tillsynsmail/A 41686-2021 tillsynsbegäran mail.docx", "A 41686-2021")</f>
        <v/>
      </c>
    </row>
    <row r="4925" ht="15" customHeight="1">
      <c r="A4925" t="inlineStr">
        <is>
          <t>A 41776-2021</t>
        </is>
      </c>
      <c r="B4925" s="1" t="n">
        <v>44425</v>
      </c>
      <c r="C4925" s="1" t="n">
        <v>45736</v>
      </c>
      <c r="D4925" t="inlineStr">
        <is>
          <t>VÄRMLANDS LÄN</t>
        </is>
      </c>
      <c r="E4925" t="inlineStr">
        <is>
          <t>HAGFORS</t>
        </is>
      </c>
      <c r="F4925" t="inlineStr">
        <is>
          <t>Bergvik skog väst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41810-2021</t>
        </is>
      </c>
      <c r="B4926" s="1" t="n">
        <v>44425</v>
      </c>
      <c r="C4926" s="1" t="n">
        <v>45736</v>
      </c>
      <c r="D4926" t="inlineStr">
        <is>
          <t>VÄRMLANDS LÄN</t>
        </is>
      </c>
      <c r="E4926" t="inlineStr">
        <is>
          <t>GRUMS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41846-2021</t>
        </is>
      </c>
      <c r="B4927" s="1" t="n">
        <v>44425</v>
      </c>
      <c r="C4927" s="1" t="n">
        <v>45736</v>
      </c>
      <c r="D4927" t="inlineStr">
        <is>
          <t>VÄRMLANDS LÄN</t>
        </is>
      </c>
      <c r="E4927" t="inlineStr">
        <is>
          <t>FORSHAGA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41974-2021</t>
        </is>
      </c>
      <c r="B4928" s="1" t="n">
        <v>44426</v>
      </c>
      <c r="C4928" s="1" t="n">
        <v>45736</v>
      </c>
      <c r="D4928" t="inlineStr">
        <is>
          <t>VÄRMLANDS LÄN</t>
        </is>
      </c>
      <c r="E4928" t="inlineStr">
        <is>
          <t>SUNNE</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41999-2021</t>
        </is>
      </c>
      <c r="B4929" s="1" t="n">
        <v>44426</v>
      </c>
      <c r="C4929" s="1" t="n">
        <v>45736</v>
      </c>
      <c r="D4929" t="inlineStr">
        <is>
          <t>VÄRMLANDS LÄN</t>
        </is>
      </c>
      <c r="E4929" t="inlineStr">
        <is>
          <t>HAGFORS</t>
        </is>
      </c>
      <c r="F4929" t="inlineStr">
        <is>
          <t>Bergvik skog väst AB</t>
        </is>
      </c>
      <c r="G4929" t="n">
        <v>42.4</v>
      </c>
      <c r="H4929" t="n">
        <v>0</v>
      </c>
      <c r="I4929" t="n">
        <v>0</v>
      </c>
      <c r="J4929" t="n">
        <v>0</v>
      </c>
      <c r="K4929" t="n">
        <v>0</v>
      </c>
      <c r="L4929" t="n">
        <v>0</v>
      </c>
      <c r="M4929" t="n">
        <v>0</v>
      </c>
      <c r="N4929" t="n">
        <v>0</v>
      </c>
      <c r="O4929" t="n">
        <v>0</v>
      </c>
      <c r="P4929" t="n">
        <v>0</v>
      </c>
      <c r="Q4929" t="n">
        <v>0</v>
      </c>
      <c r="R4929" s="2" t="inlineStr"/>
    </row>
    <row r="4930" ht="15" customHeight="1">
      <c r="A4930" t="inlineStr">
        <is>
          <t>A 41860-2021</t>
        </is>
      </c>
      <c r="B4930" s="1" t="n">
        <v>44426</v>
      </c>
      <c r="C4930" s="1" t="n">
        <v>45736</v>
      </c>
      <c r="D4930" t="inlineStr">
        <is>
          <t>VÄRMLANDS LÄN</t>
        </is>
      </c>
      <c r="E4930" t="inlineStr">
        <is>
          <t>ARVIKA</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41870-2021</t>
        </is>
      </c>
      <c r="B4931" s="1" t="n">
        <v>44426</v>
      </c>
      <c r="C4931" s="1" t="n">
        <v>45736</v>
      </c>
      <c r="D4931" t="inlineStr">
        <is>
          <t>VÄRMLANDS LÄN</t>
        </is>
      </c>
      <c r="E4931" t="inlineStr">
        <is>
          <t>ARVIKA</t>
        </is>
      </c>
      <c r="F4931" t="inlineStr">
        <is>
          <t>Bergvik skog väst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41915-2021</t>
        </is>
      </c>
      <c r="B4932" s="1" t="n">
        <v>44426</v>
      </c>
      <c r="C4932" s="1" t="n">
        <v>45736</v>
      </c>
      <c r="D4932" t="inlineStr">
        <is>
          <t>VÄRMLANDS LÄN</t>
        </is>
      </c>
      <c r="E4932" t="inlineStr">
        <is>
          <t>SUNNE</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41982-2021</t>
        </is>
      </c>
      <c r="B4933" s="1" t="n">
        <v>44426</v>
      </c>
      <c r="C4933" s="1" t="n">
        <v>45736</v>
      </c>
      <c r="D4933" t="inlineStr">
        <is>
          <t>VÄRMLANDS LÄN</t>
        </is>
      </c>
      <c r="E4933" t="inlineStr">
        <is>
          <t>SUNNE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42070-2021</t>
        </is>
      </c>
      <c r="B4934" s="1" t="n">
        <v>44426</v>
      </c>
      <c r="C4934" s="1" t="n">
        <v>45736</v>
      </c>
      <c r="D4934" t="inlineStr">
        <is>
          <t>VÄRMLANDS LÄN</t>
        </is>
      </c>
      <c r="E4934" t="inlineStr">
        <is>
          <t>ARVIKA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41853-2021</t>
        </is>
      </c>
      <c r="B4935" s="1" t="n">
        <v>44426</v>
      </c>
      <c r="C4935" s="1" t="n">
        <v>45736</v>
      </c>
      <c r="D4935" t="inlineStr">
        <is>
          <t>VÄRMLANDS LÄN</t>
        </is>
      </c>
      <c r="E4935" t="inlineStr">
        <is>
          <t>STORFORS</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41866-2021</t>
        </is>
      </c>
      <c r="B4936" s="1" t="n">
        <v>44426</v>
      </c>
      <c r="C4936" s="1" t="n">
        <v>45736</v>
      </c>
      <c r="D4936" t="inlineStr">
        <is>
          <t>VÄRMLANDS LÄN</t>
        </is>
      </c>
      <c r="E4936" t="inlineStr">
        <is>
          <t>ARVIKA</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41987-2021</t>
        </is>
      </c>
      <c r="B4937" s="1" t="n">
        <v>44426</v>
      </c>
      <c r="C4937" s="1" t="n">
        <v>45736</v>
      </c>
      <c r="D4937" t="inlineStr">
        <is>
          <t>VÄRMLANDS LÄN</t>
        </is>
      </c>
      <c r="E4937" t="inlineStr">
        <is>
          <t>SUNNE</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42025-2021</t>
        </is>
      </c>
      <c r="B4938" s="1" t="n">
        <v>44426</v>
      </c>
      <c r="C4938" s="1" t="n">
        <v>45736</v>
      </c>
      <c r="D4938" t="inlineStr">
        <is>
          <t>VÄRMLANDS LÄN</t>
        </is>
      </c>
      <c r="E4938" t="inlineStr">
        <is>
          <t>EDA</t>
        </is>
      </c>
      <c r="F4938" t="inlineStr">
        <is>
          <t>Övriga Aktiebolag</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42053-2021</t>
        </is>
      </c>
      <c r="B4939" s="1" t="n">
        <v>44426</v>
      </c>
      <c r="C4939" s="1" t="n">
        <v>45736</v>
      </c>
      <c r="D4939" t="inlineStr">
        <is>
          <t>VÄRMLANDS LÄN</t>
        </is>
      </c>
      <c r="E4939" t="inlineStr">
        <is>
          <t>KARLSTAD</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42060-2021</t>
        </is>
      </c>
      <c r="B4940" s="1" t="n">
        <v>44426</v>
      </c>
      <c r="C4940" s="1" t="n">
        <v>45736</v>
      </c>
      <c r="D4940" t="inlineStr">
        <is>
          <t>VÄRMLANDS LÄN</t>
        </is>
      </c>
      <c r="E4940" t="inlineStr">
        <is>
          <t>KARLSTAD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42044-2021</t>
        </is>
      </c>
      <c r="B4941" s="1" t="n">
        <v>44426</v>
      </c>
      <c r="C4941" s="1" t="n">
        <v>45736</v>
      </c>
      <c r="D4941" t="inlineStr">
        <is>
          <t>VÄRMLANDS LÄN</t>
        </is>
      </c>
      <c r="E4941" t="inlineStr">
        <is>
          <t>ARVIKA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41867-2021</t>
        </is>
      </c>
      <c r="B4942" s="1" t="n">
        <v>44426</v>
      </c>
      <c r="C4942" s="1" t="n">
        <v>45736</v>
      </c>
      <c r="D4942" t="inlineStr">
        <is>
          <t>VÄRMLANDS LÄN</t>
        </is>
      </c>
      <c r="E4942" t="inlineStr">
        <is>
          <t>STORFORS</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41944-2021</t>
        </is>
      </c>
      <c r="B4943" s="1" t="n">
        <v>44426</v>
      </c>
      <c r="C4943" s="1" t="n">
        <v>45736</v>
      </c>
      <c r="D4943" t="inlineStr">
        <is>
          <t>VÄRMLANDS LÄN</t>
        </is>
      </c>
      <c r="E4943" t="inlineStr">
        <is>
          <t>KARLSTAD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42064-2021</t>
        </is>
      </c>
      <c r="B4944" s="1" t="n">
        <v>44426</v>
      </c>
      <c r="C4944" s="1" t="n">
        <v>45736</v>
      </c>
      <c r="D4944" t="inlineStr">
        <is>
          <t>VÄRMLANDS LÄN</t>
        </is>
      </c>
      <c r="E4944" t="inlineStr">
        <is>
          <t>ARVIKA</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42205-2021</t>
        </is>
      </c>
      <c r="B4945" s="1" t="n">
        <v>44426</v>
      </c>
      <c r="C4945" s="1" t="n">
        <v>45736</v>
      </c>
      <c r="D4945" t="inlineStr">
        <is>
          <t>VÄRMLANDS LÄN</t>
        </is>
      </c>
      <c r="E4945" t="inlineStr">
        <is>
          <t>EDA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42163-2021</t>
        </is>
      </c>
      <c r="B4946" s="1" t="n">
        <v>44426</v>
      </c>
      <c r="C4946" s="1" t="n">
        <v>45736</v>
      </c>
      <c r="D4946" t="inlineStr">
        <is>
          <t>VÄRMLANDS LÄN</t>
        </is>
      </c>
      <c r="E4946" t="inlineStr">
        <is>
          <t>ARVIKA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42160-2021</t>
        </is>
      </c>
      <c r="B4947" s="1" t="n">
        <v>44426</v>
      </c>
      <c r="C4947" s="1" t="n">
        <v>45736</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42166-2021</t>
        </is>
      </c>
      <c r="B4948" s="1" t="n">
        <v>44426</v>
      </c>
      <c r="C4948" s="1" t="n">
        <v>45736</v>
      </c>
      <c r="D4948" t="inlineStr">
        <is>
          <t>VÄRMLANDS LÄN</t>
        </is>
      </c>
      <c r="E4948" t="inlineStr">
        <is>
          <t>SUNNE</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42197-2021</t>
        </is>
      </c>
      <c r="B4949" s="1" t="n">
        <v>44426</v>
      </c>
      <c r="C4949" s="1" t="n">
        <v>45736</v>
      </c>
      <c r="D4949" t="inlineStr">
        <is>
          <t>VÄRMLANDS LÄN</t>
        </is>
      </c>
      <c r="E4949" t="inlineStr">
        <is>
          <t>EDA</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42266-2021</t>
        </is>
      </c>
      <c r="B4950" s="1" t="n">
        <v>44426</v>
      </c>
      <c r="C4950" s="1" t="n">
        <v>45736</v>
      </c>
      <c r="D4950" t="inlineStr">
        <is>
          <t>VÄRMLANDS LÄN</t>
        </is>
      </c>
      <c r="E4950" t="inlineStr">
        <is>
          <t>SUNNE</t>
        </is>
      </c>
      <c r="G4950" t="n">
        <v>18.8</v>
      </c>
      <c r="H4950" t="n">
        <v>0</v>
      </c>
      <c r="I4950" t="n">
        <v>0</v>
      </c>
      <c r="J4950" t="n">
        <v>0</v>
      </c>
      <c r="K4950" t="n">
        <v>0</v>
      </c>
      <c r="L4950" t="n">
        <v>0</v>
      </c>
      <c r="M4950" t="n">
        <v>0</v>
      </c>
      <c r="N4950" t="n">
        <v>0</v>
      </c>
      <c r="O4950" t="n">
        <v>0</v>
      </c>
      <c r="P4950" t="n">
        <v>0</v>
      </c>
      <c r="Q4950" t="n">
        <v>0</v>
      </c>
      <c r="R4950" s="2" t="inlineStr"/>
    </row>
    <row r="4951" ht="15" customHeight="1">
      <c r="A4951" t="inlineStr">
        <is>
          <t>A 42079-2021</t>
        </is>
      </c>
      <c r="B4951" s="1" t="n">
        <v>44426</v>
      </c>
      <c r="C4951" s="1" t="n">
        <v>45736</v>
      </c>
      <c r="D4951" t="inlineStr">
        <is>
          <t>VÄRMLANDS LÄN</t>
        </is>
      </c>
      <c r="E4951" t="inlineStr">
        <is>
          <t>MUNKFORS</t>
        </is>
      </c>
      <c r="F4951" t="inlineStr">
        <is>
          <t>Kyrkan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42091-2021</t>
        </is>
      </c>
      <c r="B4952" s="1" t="n">
        <v>44426</v>
      </c>
      <c r="C4952" s="1" t="n">
        <v>45736</v>
      </c>
      <c r="D4952" t="inlineStr">
        <is>
          <t>VÄRMLANDS LÄN</t>
        </is>
      </c>
      <c r="E4952" t="inlineStr">
        <is>
          <t>SUNNE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42220-2021</t>
        </is>
      </c>
      <c r="B4953" s="1" t="n">
        <v>44426</v>
      </c>
      <c r="C4953" s="1" t="n">
        <v>45736</v>
      </c>
      <c r="D4953" t="inlineStr">
        <is>
          <t>VÄRMLANDS LÄN</t>
        </is>
      </c>
      <c r="E4953" t="inlineStr">
        <is>
          <t>KRISTINEHAMN</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42171-2021</t>
        </is>
      </c>
      <c r="B4954" s="1" t="n">
        <v>44426</v>
      </c>
      <c r="C4954" s="1" t="n">
        <v>45736</v>
      </c>
      <c r="D4954" t="inlineStr">
        <is>
          <t>VÄRMLANDS LÄN</t>
        </is>
      </c>
      <c r="E4954" t="inlineStr">
        <is>
          <t>ARVIKA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42200-2021</t>
        </is>
      </c>
      <c r="B4955" s="1" t="n">
        <v>44426</v>
      </c>
      <c r="C4955" s="1" t="n">
        <v>45736</v>
      </c>
      <c r="D4955" t="inlineStr">
        <is>
          <t>VÄRMLANDS LÄN</t>
        </is>
      </c>
      <c r="E4955" t="inlineStr">
        <is>
          <t>EDA</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42213-2021</t>
        </is>
      </c>
      <c r="B4956" s="1" t="n">
        <v>44426</v>
      </c>
      <c r="C4956" s="1" t="n">
        <v>45736</v>
      </c>
      <c r="D4956" t="inlineStr">
        <is>
          <t>VÄRMLANDS LÄN</t>
        </is>
      </c>
      <c r="E4956" t="inlineStr">
        <is>
          <t>SUNNE</t>
        </is>
      </c>
      <c r="F4956" t="inlineStr">
        <is>
          <t>Övriga Aktiebolag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42283-2021</t>
        </is>
      </c>
      <c r="B4957" s="1" t="n">
        <v>44427</v>
      </c>
      <c r="C4957" s="1" t="n">
        <v>45736</v>
      </c>
      <c r="D4957" t="inlineStr">
        <is>
          <t>VÄRMLANDS LÄN</t>
        </is>
      </c>
      <c r="E4957" t="inlineStr">
        <is>
          <t>KARLSTAD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42314-2021</t>
        </is>
      </c>
      <c r="B4958" s="1" t="n">
        <v>44427</v>
      </c>
      <c r="C4958" s="1" t="n">
        <v>45736</v>
      </c>
      <c r="D4958" t="inlineStr">
        <is>
          <t>VÄRMLANDS LÄN</t>
        </is>
      </c>
      <c r="E4958" t="inlineStr">
        <is>
          <t>ARVIKA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42347-2021</t>
        </is>
      </c>
      <c r="B4959" s="1" t="n">
        <v>44427</v>
      </c>
      <c r="C4959" s="1" t="n">
        <v>45736</v>
      </c>
      <c r="D4959" t="inlineStr">
        <is>
          <t>VÄRMLANDS LÄN</t>
        </is>
      </c>
      <c r="E4959" t="inlineStr">
        <is>
          <t>TORSBY</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42413-2021</t>
        </is>
      </c>
      <c r="B4960" s="1" t="n">
        <v>44427</v>
      </c>
      <c r="C4960" s="1" t="n">
        <v>45736</v>
      </c>
      <c r="D4960" t="inlineStr">
        <is>
          <t>VÄRMLANDS LÄN</t>
        </is>
      </c>
      <c r="E4960" t="inlineStr">
        <is>
          <t>EDA</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42522-2021</t>
        </is>
      </c>
      <c r="B4961" s="1" t="n">
        <v>44427</v>
      </c>
      <c r="C4961" s="1" t="n">
        <v>45736</v>
      </c>
      <c r="D4961" t="inlineStr">
        <is>
          <t>VÄRMLANDS LÄN</t>
        </is>
      </c>
      <c r="E4961" t="inlineStr">
        <is>
          <t>KIL</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42475-2021</t>
        </is>
      </c>
      <c r="B4962" s="1" t="n">
        <v>44427</v>
      </c>
      <c r="C4962" s="1" t="n">
        <v>45736</v>
      </c>
      <c r="D4962" t="inlineStr">
        <is>
          <t>VÄRMLANDS LÄN</t>
        </is>
      </c>
      <c r="E4962" t="inlineStr">
        <is>
          <t>KIL</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42576-2021</t>
        </is>
      </c>
      <c r="B4963" s="1" t="n">
        <v>44428</v>
      </c>
      <c r="C4963" s="1" t="n">
        <v>45736</v>
      </c>
      <c r="D4963" t="inlineStr">
        <is>
          <t>VÄRMLANDS LÄN</t>
        </is>
      </c>
      <c r="E4963" t="inlineStr">
        <is>
          <t>ÅRJÄNG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42593-2021</t>
        </is>
      </c>
      <c r="B4964" s="1" t="n">
        <v>44428</v>
      </c>
      <c r="C4964" s="1" t="n">
        <v>45736</v>
      </c>
      <c r="D4964" t="inlineStr">
        <is>
          <t>VÄRMLANDS LÄN</t>
        </is>
      </c>
      <c r="E4964" t="inlineStr">
        <is>
          <t>HAGFORS</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42615-2021</t>
        </is>
      </c>
      <c r="B4965" s="1" t="n">
        <v>44428</v>
      </c>
      <c r="C4965" s="1" t="n">
        <v>45736</v>
      </c>
      <c r="D4965" t="inlineStr">
        <is>
          <t>VÄRMLANDS LÄN</t>
        </is>
      </c>
      <c r="E4965" t="inlineStr">
        <is>
          <t>TORSBY</t>
        </is>
      </c>
      <c r="F4965" t="inlineStr">
        <is>
          <t>Bergvik skog väst AB</t>
        </is>
      </c>
      <c r="G4965" t="n">
        <v>37.2</v>
      </c>
      <c r="H4965" t="n">
        <v>0</v>
      </c>
      <c r="I4965" t="n">
        <v>0</v>
      </c>
      <c r="J4965" t="n">
        <v>0</v>
      </c>
      <c r="K4965" t="n">
        <v>0</v>
      </c>
      <c r="L4965" t="n">
        <v>0</v>
      </c>
      <c r="M4965" t="n">
        <v>0</v>
      </c>
      <c r="N4965" t="n">
        <v>0</v>
      </c>
      <c r="O4965" t="n">
        <v>0</v>
      </c>
      <c r="P4965" t="n">
        <v>0</v>
      </c>
      <c r="Q4965" t="n">
        <v>0</v>
      </c>
      <c r="R4965" s="2" t="inlineStr"/>
    </row>
    <row r="4966" ht="15" customHeight="1">
      <c r="A4966" t="inlineStr">
        <is>
          <t>A 42635-2021</t>
        </is>
      </c>
      <c r="B4966" s="1" t="n">
        <v>44428</v>
      </c>
      <c r="C4966" s="1" t="n">
        <v>45736</v>
      </c>
      <c r="D4966" t="inlineStr">
        <is>
          <t>VÄRMLANDS LÄN</t>
        </is>
      </c>
      <c r="E4966" t="inlineStr">
        <is>
          <t>SUNNE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42646-2021</t>
        </is>
      </c>
      <c r="B4967" s="1" t="n">
        <v>44428</v>
      </c>
      <c r="C4967" s="1" t="n">
        <v>45736</v>
      </c>
      <c r="D4967" t="inlineStr">
        <is>
          <t>VÄRMLANDS LÄN</t>
        </is>
      </c>
      <c r="E4967" t="inlineStr">
        <is>
          <t>TORSBY</t>
        </is>
      </c>
      <c r="F4967" t="inlineStr">
        <is>
          <t>Bergvik skog väst AB</t>
        </is>
      </c>
      <c r="G4967" t="n">
        <v>21.4</v>
      </c>
      <c r="H4967" t="n">
        <v>0</v>
      </c>
      <c r="I4967" t="n">
        <v>0</v>
      </c>
      <c r="J4967" t="n">
        <v>0</v>
      </c>
      <c r="K4967" t="n">
        <v>0</v>
      </c>
      <c r="L4967" t="n">
        <v>0</v>
      </c>
      <c r="M4967" t="n">
        <v>0</v>
      </c>
      <c r="N4967" t="n">
        <v>0</v>
      </c>
      <c r="O4967" t="n">
        <v>0</v>
      </c>
      <c r="P4967" t="n">
        <v>0</v>
      </c>
      <c r="Q4967" t="n">
        <v>0</v>
      </c>
      <c r="R4967" s="2" t="inlineStr"/>
    </row>
    <row r="4968" ht="15" customHeight="1">
      <c r="A4968" t="inlineStr">
        <is>
          <t>A 42664-2021</t>
        </is>
      </c>
      <c r="B4968" s="1" t="n">
        <v>44428</v>
      </c>
      <c r="C4968" s="1" t="n">
        <v>45736</v>
      </c>
      <c r="D4968" t="inlineStr">
        <is>
          <t>VÄRMLANDS LÄN</t>
        </is>
      </c>
      <c r="E4968" t="inlineStr">
        <is>
          <t>KARLSTAD</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42725-2021</t>
        </is>
      </c>
      <c r="B4969" s="1" t="n">
        <v>44428</v>
      </c>
      <c r="C4969" s="1" t="n">
        <v>45736</v>
      </c>
      <c r="D4969" t="inlineStr">
        <is>
          <t>VÄRMLANDS LÄN</t>
        </is>
      </c>
      <c r="E4969" t="inlineStr">
        <is>
          <t>KARLSTAD</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42705-2021</t>
        </is>
      </c>
      <c r="B4970" s="1" t="n">
        <v>44428</v>
      </c>
      <c r="C4970" s="1" t="n">
        <v>45736</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42734-2021</t>
        </is>
      </c>
      <c r="B4971" s="1" t="n">
        <v>44428</v>
      </c>
      <c r="C4971" s="1" t="n">
        <v>45736</v>
      </c>
      <c r="D4971" t="inlineStr">
        <is>
          <t>VÄRMLANDS LÄN</t>
        </is>
      </c>
      <c r="E4971" t="inlineStr">
        <is>
          <t>ARVIKA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43052-2021</t>
        </is>
      </c>
      <c r="B4972" s="1" t="n">
        <v>44431</v>
      </c>
      <c r="C4972" s="1" t="n">
        <v>45736</v>
      </c>
      <c r="D4972" t="inlineStr">
        <is>
          <t>VÄRMLANDS LÄN</t>
        </is>
      </c>
      <c r="E4972" t="inlineStr">
        <is>
          <t>TORSBY</t>
        </is>
      </c>
      <c r="G4972" t="n">
        <v>25.1</v>
      </c>
      <c r="H4972" t="n">
        <v>0</v>
      </c>
      <c r="I4972" t="n">
        <v>0</v>
      </c>
      <c r="J4972" t="n">
        <v>0</v>
      </c>
      <c r="K4972" t="n">
        <v>0</v>
      </c>
      <c r="L4972" t="n">
        <v>0</v>
      </c>
      <c r="M4972" t="n">
        <v>0</v>
      </c>
      <c r="N4972" t="n">
        <v>0</v>
      </c>
      <c r="O4972" t="n">
        <v>0</v>
      </c>
      <c r="P4972" t="n">
        <v>0</v>
      </c>
      <c r="Q4972" t="n">
        <v>0</v>
      </c>
      <c r="R4972" s="2" t="inlineStr"/>
    </row>
    <row r="4973" ht="15" customHeight="1">
      <c r="A4973" t="inlineStr">
        <is>
          <t>A 43060-2021</t>
        </is>
      </c>
      <c r="B4973" s="1" t="n">
        <v>44431</v>
      </c>
      <c r="C4973" s="1" t="n">
        <v>45736</v>
      </c>
      <c r="D4973" t="inlineStr">
        <is>
          <t>VÄRMLANDS LÄN</t>
        </is>
      </c>
      <c r="E4973" t="inlineStr">
        <is>
          <t>TORSBY</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43027-2021</t>
        </is>
      </c>
      <c r="B4974" s="1" t="n">
        <v>44431</v>
      </c>
      <c r="C4974" s="1" t="n">
        <v>45736</v>
      </c>
      <c r="D4974" t="inlineStr">
        <is>
          <t>VÄRMLANDS LÄN</t>
        </is>
      </c>
      <c r="E4974" t="inlineStr">
        <is>
          <t>ÅRJÄNG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42947-2021</t>
        </is>
      </c>
      <c r="B4975" s="1" t="n">
        <v>44431</v>
      </c>
      <c r="C4975" s="1" t="n">
        <v>45736</v>
      </c>
      <c r="D4975" t="inlineStr">
        <is>
          <t>VÄRMLANDS LÄN</t>
        </is>
      </c>
      <c r="E4975" t="inlineStr">
        <is>
          <t>KRISTINEHAMN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42963-2021</t>
        </is>
      </c>
      <c r="B4976" s="1" t="n">
        <v>44431</v>
      </c>
      <c r="C4976" s="1" t="n">
        <v>45736</v>
      </c>
      <c r="D4976" t="inlineStr">
        <is>
          <t>VÄRMLANDS LÄN</t>
        </is>
      </c>
      <c r="E4976" t="inlineStr">
        <is>
          <t>ÅRJÄNG</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43029-2021</t>
        </is>
      </c>
      <c r="B4977" s="1" t="n">
        <v>44431</v>
      </c>
      <c r="C4977" s="1" t="n">
        <v>45736</v>
      </c>
      <c r="D4977" t="inlineStr">
        <is>
          <t>VÄRMLANDS LÄN</t>
        </is>
      </c>
      <c r="E4977" t="inlineStr">
        <is>
          <t>ÅRJÄNG</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43048-2021</t>
        </is>
      </c>
      <c r="B4978" s="1" t="n">
        <v>44431</v>
      </c>
      <c r="C4978" s="1" t="n">
        <v>45736</v>
      </c>
      <c r="D4978" t="inlineStr">
        <is>
          <t>VÄRMLANDS LÄN</t>
        </is>
      </c>
      <c r="E4978" t="inlineStr">
        <is>
          <t>SUNNE</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42901-2021</t>
        </is>
      </c>
      <c r="B4979" s="1" t="n">
        <v>44431</v>
      </c>
      <c r="C4979" s="1" t="n">
        <v>45736</v>
      </c>
      <c r="D4979" t="inlineStr">
        <is>
          <t>VÄRMLANDS LÄN</t>
        </is>
      </c>
      <c r="E4979" t="inlineStr">
        <is>
          <t>KARLSTAD</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42915-2021</t>
        </is>
      </c>
      <c r="B4980" s="1" t="n">
        <v>44431</v>
      </c>
      <c r="C4980" s="1" t="n">
        <v>45736</v>
      </c>
      <c r="D4980" t="inlineStr">
        <is>
          <t>VÄRMLANDS LÄN</t>
        </is>
      </c>
      <c r="E4980" t="inlineStr">
        <is>
          <t>ÅRJÄNG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42956-2021</t>
        </is>
      </c>
      <c r="B4981" s="1" t="n">
        <v>44431</v>
      </c>
      <c r="C4981" s="1" t="n">
        <v>45736</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42994-2021</t>
        </is>
      </c>
      <c r="B4982" s="1" t="n">
        <v>44431</v>
      </c>
      <c r="C4982" s="1" t="n">
        <v>45736</v>
      </c>
      <c r="D4982" t="inlineStr">
        <is>
          <t>VÄRMLANDS LÄN</t>
        </is>
      </c>
      <c r="E4982" t="inlineStr">
        <is>
          <t>SÄFFLE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43034-2021</t>
        </is>
      </c>
      <c r="B4983" s="1" t="n">
        <v>44431</v>
      </c>
      <c r="C4983" s="1" t="n">
        <v>45736</v>
      </c>
      <c r="D4983" t="inlineStr">
        <is>
          <t>VÄRMLANDS LÄN</t>
        </is>
      </c>
      <c r="E4983" t="inlineStr">
        <is>
          <t>ÅRJÄNG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43058-2021</t>
        </is>
      </c>
      <c r="B4984" s="1" t="n">
        <v>44431</v>
      </c>
      <c r="C4984" s="1" t="n">
        <v>45736</v>
      </c>
      <c r="D4984" t="inlineStr">
        <is>
          <t>VÄRMLANDS LÄN</t>
        </is>
      </c>
      <c r="E4984" t="inlineStr">
        <is>
          <t>SUNNE</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43113-2021</t>
        </is>
      </c>
      <c r="B4985" s="1" t="n">
        <v>44431</v>
      </c>
      <c r="C4985" s="1" t="n">
        <v>45736</v>
      </c>
      <c r="D4985" t="inlineStr">
        <is>
          <t>VÄRMLANDS LÄN</t>
        </is>
      </c>
      <c r="E4985" t="inlineStr">
        <is>
          <t>SUNNE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43128-2021</t>
        </is>
      </c>
      <c r="B4986" s="1" t="n">
        <v>44431</v>
      </c>
      <c r="C4986" s="1" t="n">
        <v>45736</v>
      </c>
      <c r="D4986" t="inlineStr">
        <is>
          <t>VÄRMLANDS LÄN</t>
        </is>
      </c>
      <c r="E4986" t="inlineStr">
        <is>
          <t>TORSBY</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43136-2021</t>
        </is>
      </c>
      <c r="B4987" s="1" t="n">
        <v>44431</v>
      </c>
      <c r="C4987" s="1" t="n">
        <v>45736</v>
      </c>
      <c r="D4987" t="inlineStr">
        <is>
          <t>VÄRMLANDS LÄN</t>
        </is>
      </c>
      <c r="E4987" t="inlineStr">
        <is>
          <t>TORSBY</t>
        </is>
      </c>
      <c r="G4987" t="n">
        <v>14.4</v>
      </c>
      <c r="H4987" t="n">
        <v>0</v>
      </c>
      <c r="I4987" t="n">
        <v>0</v>
      </c>
      <c r="J4987" t="n">
        <v>0</v>
      </c>
      <c r="K4987" t="n">
        <v>0</v>
      </c>
      <c r="L4987" t="n">
        <v>0</v>
      </c>
      <c r="M4987" t="n">
        <v>0</v>
      </c>
      <c r="N4987" t="n">
        <v>0</v>
      </c>
      <c r="O4987" t="n">
        <v>0</v>
      </c>
      <c r="P4987" t="n">
        <v>0</v>
      </c>
      <c r="Q4987" t="n">
        <v>0</v>
      </c>
      <c r="R4987" s="2" t="inlineStr"/>
    </row>
    <row r="4988" ht="15" customHeight="1">
      <c r="A4988" t="inlineStr">
        <is>
          <t>A 43169-2021</t>
        </is>
      </c>
      <c r="B4988" s="1" t="n">
        <v>44431</v>
      </c>
      <c r="C4988" s="1" t="n">
        <v>45736</v>
      </c>
      <c r="D4988" t="inlineStr">
        <is>
          <t>VÄRMLANDS LÄN</t>
        </is>
      </c>
      <c r="E4988" t="inlineStr">
        <is>
          <t>TORSBY</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43095-2021</t>
        </is>
      </c>
      <c r="B4989" s="1" t="n">
        <v>44431</v>
      </c>
      <c r="C4989" s="1" t="n">
        <v>45736</v>
      </c>
      <c r="D4989" t="inlineStr">
        <is>
          <t>VÄRMLANDS LÄN</t>
        </is>
      </c>
      <c r="E4989" t="inlineStr">
        <is>
          <t>TORSBY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43157-2021</t>
        </is>
      </c>
      <c r="B4990" s="1" t="n">
        <v>44431</v>
      </c>
      <c r="C4990" s="1" t="n">
        <v>45736</v>
      </c>
      <c r="D4990" t="inlineStr">
        <is>
          <t>VÄRMLANDS LÄN</t>
        </is>
      </c>
      <c r="E4990" t="inlineStr">
        <is>
          <t>TORSBY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43127-2021</t>
        </is>
      </c>
      <c r="B4991" s="1" t="n">
        <v>44431</v>
      </c>
      <c r="C4991" s="1" t="n">
        <v>45736</v>
      </c>
      <c r="D4991" t="inlineStr">
        <is>
          <t>VÄRMLANDS LÄN</t>
        </is>
      </c>
      <c r="E4991" t="inlineStr">
        <is>
          <t>TORSBY</t>
        </is>
      </c>
      <c r="G4991" t="n">
        <v>23.3</v>
      </c>
      <c r="H4991" t="n">
        <v>0</v>
      </c>
      <c r="I4991" t="n">
        <v>0</v>
      </c>
      <c r="J4991" t="n">
        <v>0</v>
      </c>
      <c r="K4991" t="n">
        <v>0</v>
      </c>
      <c r="L4991" t="n">
        <v>0</v>
      </c>
      <c r="M4991" t="n">
        <v>0</v>
      </c>
      <c r="N4991" t="n">
        <v>0</v>
      </c>
      <c r="O4991" t="n">
        <v>0</v>
      </c>
      <c r="P4991" t="n">
        <v>0</v>
      </c>
      <c r="Q4991" t="n">
        <v>0</v>
      </c>
      <c r="R4991" s="2" t="inlineStr"/>
    </row>
    <row r="4992" ht="15" customHeight="1">
      <c r="A4992" t="inlineStr">
        <is>
          <t>A 43161-2021</t>
        </is>
      </c>
      <c r="B4992" s="1" t="n">
        <v>44431</v>
      </c>
      <c r="C4992" s="1" t="n">
        <v>45736</v>
      </c>
      <c r="D4992" t="inlineStr">
        <is>
          <t>VÄRMLANDS LÄN</t>
        </is>
      </c>
      <c r="E4992" t="inlineStr">
        <is>
          <t>TORSBY</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43283-2021</t>
        </is>
      </c>
      <c r="B4993" s="1" t="n">
        <v>44432</v>
      </c>
      <c r="C4993" s="1" t="n">
        <v>45736</v>
      </c>
      <c r="D4993" t="inlineStr">
        <is>
          <t>VÄRMLANDS LÄN</t>
        </is>
      </c>
      <c r="E4993" t="inlineStr">
        <is>
          <t>SUNNE</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43244-2021</t>
        </is>
      </c>
      <c r="B4994" s="1" t="n">
        <v>44432</v>
      </c>
      <c r="C4994" s="1" t="n">
        <v>45736</v>
      </c>
      <c r="D4994" t="inlineStr">
        <is>
          <t>VÄRMLANDS LÄN</t>
        </is>
      </c>
      <c r="E4994" t="inlineStr">
        <is>
          <t>GRUMS</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43347-2021</t>
        </is>
      </c>
      <c r="B4995" s="1" t="n">
        <v>44432</v>
      </c>
      <c r="C4995" s="1" t="n">
        <v>45736</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43242-2021</t>
        </is>
      </c>
      <c r="B4996" s="1" t="n">
        <v>44432</v>
      </c>
      <c r="C4996" s="1" t="n">
        <v>45736</v>
      </c>
      <c r="D4996" t="inlineStr">
        <is>
          <t>VÄRMLANDS LÄN</t>
        </is>
      </c>
      <c r="E4996" t="inlineStr">
        <is>
          <t>GRUMS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43263-2021</t>
        </is>
      </c>
      <c r="B4997" s="1" t="n">
        <v>44432</v>
      </c>
      <c r="C4997" s="1" t="n">
        <v>45736</v>
      </c>
      <c r="D4997" t="inlineStr">
        <is>
          <t>VÄRMLANDS LÄN</t>
        </is>
      </c>
      <c r="E4997" t="inlineStr">
        <is>
          <t>KARLSTAD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43423-2021</t>
        </is>
      </c>
      <c r="B4998" s="1" t="n">
        <v>44432</v>
      </c>
      <c r="C4998" s="1" t="n">
        <v>45736</v>
      </c>
      <c r="D4998" t="inlineStr">
        <is>
          <t>VÄRMLANDS LÄN</t>
        </is>
      </c>
      <c r="E4998" t="inlineStr">
        <is>
          <t>EDA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43461-2021</t>
        </is>
      </c>
      <c r="B4999" s="1" t="n">
        <v>44432</v>
      </c>
      <c r="C4999" s="1" t="n">
        <v>45736</v>
      </c>
      <c r="D4999" t="inlineStr">
        <is>
          <t>VÄRMLANDS LÄN</t>
        </is>
      </c>
      <c r="E4999" t="inlineStr">
        <is>
          <t>SUNNE</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43472-2021</t>
        </is>
      </c>
      <c r="B5000" s="1" t="n">
        <v>44432</v>
      </c>
      <c r="C5000" s="1" t="n">
        <v>45736</v>
      </c>
      <c r="D5000" t="inlineStr">
        <is>
          <t>VÄRMLANDS LÄN</t>
        </is>
      </c>
      <c r="E5000" t="inlineStr">
        <is>
          <t>SUNNE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43473-2021</t>
        </is>
      </c>
      <c r="B5001" s="1" t="n">
        <v>44432</v>
      </c>
      <c r="C5001" s="1" t="n">
        <v>45736</v>
      </c>
      <c r="D5001" t="inlineStr">
        <is>
          <t>VÄRMLANDS LÄN</t>
        </is>
      </c>
      <c r="E5001" t="inlineStr">
        <is>
          <t>HAGFORS</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43578-2021</t>
        </is>
      </c>
      <c r="B5002" s="1" t="n">
        <v>44433</v>
      </c>
      <c r="C5002" s="1" t="n">
        <v>45736</v>
      </c>
      <c r="D5002" t="inlineStr">
        <is>
          <t>VÄRMLANDS LÄN</t>
        </is>
      </c>
      <c r="E5002" t="inlineStr">
        <is>
          <t>ÅRJÄNG</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43689-2021</t>
        </is>
      </c>
      <c r="B5003" s="1" t="n">
        <v>44433</v>
      </c>
      <c r="C5003" s="1" t="n">
        <v>45736</v>
      </c>
      <c r="D5003" t="inlineStr">
        <is>
          <t>VÄRMLANDS LÄN</t>
        </is>
      </c>
      <c r="E5003" t="inlineStr">
        <is>
          <t>EDA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43631-2021</t>
        </is>
      </c>
      <c r="B5004" s="1" t="n">
        <v>44433</v>
      </c>
      <c r="C5004" s="1" t="n">
        <v>45736</v>
      </c>
      <c r="D5004" t="inlineStr">
        <is>
          <t>VÄRMLANDS LÄN</t>
        </is>
      </c>
      <c r="E5004" t="inlineStr">
        <is>
          <t>HAMMARÖ</t>
        </is>
      </c>
      <c r="F5004" t="inlineStr">
        <is>
          <t>Kommuner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43643-2021</t>
        </is>
      </c>
      <c r="B5005" s="1" t="n">
        <v>44433</v>
      </c>
      <c r="C5005" s="1" t="n">
        <v>45736</v>
      </c>
      <c r="D5005" t="inlineStr">
        <is>
          <t>VÄRMLANDS LÄN</t>
        </is>
      </c>
      <c r="E5005" t="inlineStr">
        <is>
          <t>FILIPSTAD</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43656-2021</t>
        </is>
      </c>
      <c r="B5006" s="1" t="n">
        <v>44433</v>
      </c>
      <c r="C5006" s="1" t="n">
        <v>45736</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43667-2021</t>
        </is>
      </c>
      <c r="B5007" s="1" t="n">
        <v>44433</v>
      </c>
      <c r="C5007" s="1" t="n">
        <v>45736</v>
      </c>
      <c r="D5007" t="inlineStr">
        <is>
          <t>VÄRMLANDS LÄN</t>
        </is>
      </c>
      <c r="E5007" t="inlineStr">
        <is>
          <t>KIL</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43542-2021</t>
        </is>
      </c>
      <c r="B5008" s="1" t="n">
        <v>44433</v>
      </c>
      <c r="C5008" s="1" t="n">
        <v>45736</v>
      </c>
      <c r="D5008" t="inlineStr">
        <is>
          <t>VÄRMLANDS LÄN</t>
        </is>
      </c>
      <c r="E5008" t="inlineStr">
        <is>
          <t>KARLSTAD</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43661-2021</t>
        </is>
      </c>
      <c r="B5009" s="1" t="n">
        <v>44433</v>
      </c>
      <c r="C5009" s="1" t="n">
        <v>45736</v>
      </c>
      <c r="D5009" t="inlineStr">
        <is>
          <t>VÄRMLANDS LÄN</t>
        </is>
      </c>
      <c r="E5009" t="inlineStr">
        <is>
          <t>KIL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43736-2021</t>
        </is>
      </c>
      <c r="B5010" s="1" t="n">
        <v>44433</v>
      </c>
      <c r="C5010" s="1" t="n">
        <v>45736</v>
      </c>
      <c r="D5010" t="inlineStr">
        <is>
          <t>VÄRMLANDS LÄN</t>
        </is>
      </c>
      <c r="E5010" t="inlineStr">
        <is>
          <t>HAGFORS</t>
        </is>
      </c>
      <c r="F5010" t="inlineStr">
        <is>
          <t>Bergvik skog väst AB</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43816-2021</t>
        </is>
      </c>
      <c r="B5011" s="1" t="n">
        <v>44434</v>
      </c>
      <c r="C5011" s="1" t="n">
        <v>45736</v>
      </c>
      <c r="D5011" t="inlineStr">
        <is>
          <t>VÄRMLANDS LÄN</t>
        </is>
      </c>
      <c r="E5011" t="inlineStr">
        <is>
          <t>SÄFFLE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43634-2021</t>
        </is>
      </c>
      <c r="B5012" s="1" t="n">
        <v>44433</v>
      </c>
      <c r="C5012" s="1" t="n">
        <v>45736</v>
      </c>
      <c r="D5012" t="inlineStr">
        <is>
          <t>VÄRMLANDS LÄN</t>
        </is>
      </c>
      <c r="E5012" t="inlineStr">
        <is>
          <t>FILIPSTAD</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43960-2021</t>
        </is>
      </c>
      <c r="B5013" s="1" t="n">
        <v>44434</v>
      </c>
      <c r="C5013" s="1" t="n">
        <v>45736</v>
      </c>
      <c r="D5013" t="inlineStr">
        <is>
          <t>VÄRMLANDS LÄN</t>
        </is>
      </c>
      <c r="E5013" t="inlineStr">
        <is>
          <t>GRUMS</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43982-2021</t>
        </is>
      </c>
      <c r="B5014" s="1" t="n">
        <v>44434</v>
      </c>
      <c r="C5014" s="1" t="n">
        <v>45736</v>
      </c>
      <c r="D5014" t="inlineStr">
        <is>
          <t>VÄRMLANDS LÄN</t>
        </is>
      </c>
      <c r="E5014" t="inlineStr">
        <is>
          <t>SÄFFLE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43937-2021</t>
        </is>
      </c>
      <c r="B5015" s="1" t="n">
        <v>44434</v>
      </c>
      <c r="C5015" s="1" t="n">
        <v>45736</v>
      </c>
      <c r="D5015" t="inlineStr">
        <is>
          <t>VÄRMLANDS LÄN</t>
        </is>
      </c>
      <c r="E5015" t="inlineStr">
        <is>
          <t>SÄFFLE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44018-2021</t>
        </is>
      </c>
      <c r="B5016" s="1" t="n">
        <v>44434</v>
      </c>
      <c r="C5016" s="1" t="n">
        <v>45736</v>
      </c>
      <c r="D5016" t="inlineStr">
        <is>
          <t>VÄRMLANDS LÄN</t>
        </is>
      </c>
      <c r="E5016" t="inlineStr">
        <is>
          <t>TORSBY</t>
        </is>
      </c>
      <c r="F5016" t="inlineStr">
        <is>
          <t>Bergvik skog väst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44066-2021</t>
        </is>
      </c>
      <c r="B5017" s="1" t="n">
        <v>44434</v>
      </c>
      <c r="C5017" s="1" t="n">
        <v>45736</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44059-2021</t>
        </is>
      </c>
      <c r="B5018" s="1" t="n">
        <v>44434</v>
      </c>
      <c r="C5018" s="1" t="n">
        <v>45736</v>
      </c>
      <c r="D5018" t="inlineStr">
        <is>
          <t>VÄRMLANDS LÄN</t>
        </is>
      </c>
      <c r="E5018" t="inlineStr">
        <is>
          <t>HAGFORS</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44067-2021</t>
        </is>
      </c>
      <c r="B5019" s="1" t="n">
        <v>44434</v>
      </c>
      <c r="C5019" s="1" t="n">
        <v>45736</v>
      </c>
      <c r="D5019" t="inlineStr">
        <is>
          <t>VÄRMLANDS LÄN</t>
        </is>
      </c>
      <c r="E5019" t="inlineStr">
        <is>
          <t>ARVIKA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44087-2021</t>
        </is>
      </c>
      <c r="B5020" s="1" t="n">
        <v>44434</v>
      </c>
      <c r="C5020" s="1" t="n">
        <v>45736</v>
      </c>
      <c r="D5020" t="inlineStr">
        <is>
          <t>VÄRMLANDS LÄN</t>
        </is>
      </c>
      <c r="E5020" t="inlineStr">
        <is>
          <t>SUNNE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44125-2021</t>
        </is>
      </c>
      <c r="B5021" s="1" t="n">
        <v>44434</v>
      </c>
      <c r="C5021" s="1" t="n">
        <v>45736</v>
      </c>
      <c r="D5021" t="inlineStr">
        <is>
          <t>VÄRMLANDS LÄN</t>
        </is>
      </c>
      <c r="E5021" t="inlineStr">
        <is>
          <t>HAGFORS</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44178-2021</t>
        </is>
      </c>
      <c r="B5022" s="1" t="n">
        <v>44434</v>
      </c>
      <c r="C5022" s="1" t="n">
        <v>45736</v>
      </c>
      <c r="D5022" t="inlineStr">
        <is>
          <t>VÄRMLANDS LÄN</t>
        </is>
      </c>
      <c r="E5022" t="inlineStr">
        <is>
          <t>FILIPSTAD</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44080-2021</t>
        </is>
      </c>
      <c r="B5023" s="1" t="n">
        <v>44434</v>
      </c>
      <c r="C5023" s="1" t="n">
        <v>45736</v>
      </c>
      <c r="D5023" t="inlineStr">
        <is>
          <t>VÄRMLANDS LÄN</t>
        </is>
      </c>
      <c r="E5023" t="inlineStr">
        <is>
          <t>SUNNE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44331-2021</t>
        </is>
      </c>
      <c r="B5024" s="1" t="n">
        <v>44435</v>
      </c>
      <c r="C5024" s="1" t="n">
        <v>45736</v>
      </c>
      <c r="D5024" t="inlineStr">
        <is>
          <t>VÄRMLANDS LÄN</t>
        </is>
      </c>
      <c r="E5024" t="inlineStr">
        <is>
          <t>ARVIKA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44418-2021</t>
        </is>
      </c>
      <c r="B5025" s="1" t="n">
        <v>44435</v>
      </c>
      <c r="C5025" s="1" t="n">
        <v>45736</v>
      </c>
      <c r="D5025" t="inlineStr">
        <is>
          <t>VÄRMLANDS LÄN</t>
        </is>
      </c>
      <c r="E5025" t="inlineStr">
        <is>
          <t>TORSBY</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44425-2021</t>
        </is>
      </c>
      <c r="B5026" s="1" t="n">
        <v>44435</v>
      </c>
      <c r="C5026" s="1" t="n">
        <v>45736</v>
      </c>
      <c r="D5026" t="inlineStr">
        <is>
          <t>VÄRMLANDS LÄN</t>
        </is>
      </c>
      <c r="E5026" t="inlineStr">
        <is>
          <t>ARVIKA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44432-2021</t>
        </is>
      </c>
      <c r="B5027" s="1" t="n">
        <v>44435</v>
      </c>
      <c r="C5027" s="1" t="n">
        <v>45736</v>
      </c>
      <c r="D5027" t="inlineStr">
        <is>
          <t>VÄRMLANDS LÄN</t>
        </is>
      </c>
      <c r="E5027" t="inlineStr">
        <is>
          <t>ARVIKA</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44303-2021</t>
        </is>
      </c>
      <c r="B5028" s="1" t="n">
        <v>44435</v>
      </c>
      <c r="C5028" s="1" t="n">
        <v>45736</v>
      </c>
      <c r="D5028" t="inlineStr">
        <is>
          <t>VÄRMLANDS LÄN</t>
        </is>
      </c>
      <c r="E5028" t="inlineStr">
        <is>
          <t>SUNNE</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44384-2021</t>
        </is>
      </c>
      <c r="B5029" s="1" t="n">
        <v>44435</v>
      </c>
      <c r="C5029" s="1" t="n">
        <v>45736</v>
      </c>
      <c r="D5029" t="inlineStr">
        <is>
          <t>VÄRMLANDS LÄN</t>
        </is>
      </c>
      <c r="E5029" t="inlineStr">
        <is>
          <t>FILIPSTAD</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44401-2021</t>
        </is>
      </c>
      <c r="B5030" s="1" t="n">
        <v>44435</v>
      </c>
      <c r="C5030" s="1" t="n">
        <v>45736</v>
      </c>
      <c r="D5030" t="inlineStr">
        <is>
          <t>VÄRMLANDS LÄN</t>
        </is>
      </c>
      <c r="E5030" t="inlineStr">
        <is>
          <t>FILIPSTAD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44420-2021</t>
        </is>
      </c>
      <c r="B5031" s="1" t="n">
        <v>44435</v>
      </c>
      <c r="C5031" s="1" t="n">
        <v>45736</v>
      </c>
      <c r="D5031" t="inlineStr">
        <is>
          <t>VÄRMLANDS LÄN</t>
        </is>
      </c>
      <c r="E5031" t="inlineStr">
        <is>
          <t>ARVIKA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44324-2021</t>
        </is>
      </c>
      <c r="B5032" s="1" t="n">
        <v>44435</v>
      </c>
      <c r="C5032" s="1" t="n">
        <v>45736</v>
      </c>
      <c r="D5032" t="inlineStr">
        <is>
          <t>VÄRMLANDS LÄN</t>
        </is>
      </c>
      <c r="E5032" t="inlineStr">
        <is>
          <t>SÄFFLE</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44320-2021</t>
        </is>
      </c>
      <c r="B5033" s="1" t="n">
        <v>44435</v>
      </c>
      <c r="C5033" s="1" t="n">
        <v>45736</v>
      </c>
      <c r="D5033" t="inlineStr">
        <is>
          <t>VÄRMLANDS LÄN</t>
        </is>
      </c>
      <c r="E5033" t="inlineStr">
        <is>
          <t>SÄFFLE</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44417-2021</t>
        </is>
      </c>
      <c r="B5034" s="1" t="n">
        <v>44435</v>
      </c>
      <c r="C5034" s="1" t="n">
        <v>45736</v>
      </c>
      <c r="D5034" t="inlineStr">
        <is>
          <t>VÄRMLANDS LÄN</t>
        </is>
      </c>
      <c r="E5034" t="inlineStr">
        <is>
          <t>ÅRJÄNG</t>
        </is>
      </c>
      <c r="G5034" t="n">
        <v>32.2</v>
      </c>
      <c r="H5034" t="n">
        <v>0</v>
      </c>
      <c r="I5034" t="n">
        <v>0</v>
      </c>
      <c r="J5034" t="n">
        <v>0</v>
      </c>
      <c r="K5034" t="n">
        <v>0</v>
      </c>
      <c r="L5034" t="n">
        <v>0</v>
      </c>
      <c r="M5034" t="n">
        <v>0</v>
      </c>
      <c r="N5034" t="n">
        <v>0</v>
      </c>
      <c r="O5034" t="n">
        <v>0</v>
      </c>
      <c r="P5034" t="n">
        <v>0</v>
      </c>
      <c r="Q5034" t="n">
        <v>0</v>
      </c>
      <c r="R5034" s="2" t="inlineStr"/>
    </row>
    <row r="5035" ht="15" customHeight="1">
      <c r="A5035" t="inlineStr">
        <is>
          <t>A 44443-2021</t>
        </is>
      </c>
      <c r="B5035" s="1" t="n">
        <v>44435</v>
      </c>
      <c r="C5035" s="1" t="n">
        <v>45736</v>
      </c>
      <c r="D5035" t="inlineStr">
        <is>
          <t>VÄRMLANDS LÄN</t>
        </is>
      </c>
      <c r="E5035" t="inlineStr">
        <is>
          <t>ARVIKA</t>
        </is>
      </c>
      <c r="G5035" t="n">
        <v>16.7</v>
      </c>
      <c r="H5035" t="n">
        <v>0</v>
      </c>
      <c r="I5035" t="n">
        <v>0</v>
      </c>
      <c r="J5035" t="n">
        <v>0</v>
      </c>
      <c r="K5035" t="n">
        <v>0</v>
      </c>
      <c r="L5035" t="n">
        <v>0</v>
      </c>
      <c r="M5035" t="n">
        <v>0</v>
      </c>
      <c r="N5035" t="n">
        <v>0</v>
      </c>
      <c r="O5035" t="n">
        <v>0</v>
      </c>
      <c r="P5035" t="n">
        <v>0</v>
      </c>
      <c r="Q5035" t="n">
        <v>0</v>
      </c>
      <c r="R5035" s="2" t="inlineStr"/>
    </row>
    <row r="5036" ht="15" customHeight="1">
      <c r="A5036" t="inlineStr">
        <is>
          <t>A 44419-2021</t>
        </is>
      </c>
      <c r="B5036" s="1" t="n">
        <v>44435</v>
      </c>
      <c r="C5036" s="1" t="n">
        <v>45736</v>
      </c>
      <c r="D5036" t="inlineStr">
        <is>
          <t>VÄRMLANDS LÄN</t>
        </is>
      </c>
      <c r="E5036" t="inlineStr">
        <is>
          <t>ARVIKA</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44478-2021</t>
        </is>
      </c>
      <c r="B5037" s="1" t="n">
        <v>44435</v>
      </c>
      <c r="C5037" s="1" t="n">
        <v>45736</v>
      </c>
      <c r="D5037" t="inlineStr">
        <is>
          <t>VÄRMLANDS LÄN</t>
        </is>
      </c>
      <c r="E5037" t="inlineStr">
        <is>
          <t>SÄFFLE</t>
        </is>
      </c>
      <c r="F5037" t="inlineStr">
        <is>
          <t>Bergvik skog väst AB</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44539-2021</t>
        </is>
      </c>
      <c r="B5038" s="1" t="n">
        <v>44435</v>
      </c>
      <c r="C5038" s="1" t="n">
        <v>45736</v>
      </c>
      <c r="D5038" t="inlineStr">
        <is>
          <t>VÄRMLANDS LÄN</t>
        </is>
      </c>
      <c r="E5038" t="inlineStr">
        <is>
          <t>HAGFORS</t>
        </is>
      </c>
      <c r="F5038" t="inlineStr">
        <is>
          <t>Bergvik skog väst AB</t>
        </is>
      </c>
      <c r="G5038" t="n">
        <v>27.3</v>
      </c>
      <c r="H5038" t="n">
        <v>0</v>
      </c>
      <c r="I5038" t="n">
        <v>0</v>
      </c>
      <c r="J5038" t="n">
        <v>0</v>
      </c>
      <c r="K5038" t="n">
        <v>0</v>
      </c>
      <c r="L5038" t="n">
        <v>0</v>
      </c>
      <c r="M5038" t="n">
        <v>0</v>
      </c>
      <c r="N5038" t="n">
        <v>0</v>
      </c>
      <c r="O5038" t="n">
        <v>0</v>
      </c>
      <c r="P5038" t="n">
        <v>0</v>
      </c>
      <c r="Q5038" t="n">
        <v>0</v>
      </c>
      <c r="R5038" s="2" t="inlineStr"/>
    </row>
    <row r="5039" ht="15" customHeight="1">
      <c r="A5039" t="inlineStr">
        <is>
          <t>A 44497-2021</t>
        </is>
      </c>
      <c r="B5039" s="1" t="n">
        <v>44435</v>
      </c>
      <c r="C5039" s="1" t="n">
        <v>45736</v>
      </c>
      <c r="D5039" t="inlineStr">
        <is>
          <t>VÄRMLANDS LÄN</t>
        </is>
      </c>
      <c r="E5039" t="inlineStr">
        <is>
          <t>SUNNE</t>
        </is>
      </c>
      <c r="F5039" t="inlineStr">
        <is>
          <t>Kyrkan</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44490-2021</t>
        </is>
      </c>
      <c r="B5040" s="1" t="n">
        <v>44435</v>
      </c>
      <c r="C5040" s="1" t="n">
        <v>45736</v>
      </c>
      <c r="D5040" t="inlineStr">
        <is>
          <t>VÄRMLANDS LÄN</t>
        </is>
      </c>
      <c r="E5040" t="inlineStr">
        <is>
          <t>TORSBY</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44465-2021</t>
        </is>
      </c>
      <c r="B5041" s="1" t="n">
        <v>44435</v>
      </c>
      <c r="C5041" s="1" t="n">
        <v>45736</v>
      </c>
      <c r="D5041" t="inlineStr">
        <is>
          <t>VÄRMLANDS LÄN</t>
        </is>
      </c>
      <c r="E5041" t="inlineStr">
        <is>
          <t>SUNNE</t>
        </is>
      </c>
      <c r="F5041" t="inlineStr">
        <is>
          <t>Kommuner</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45716-2021</t>
        </is>
      </c>
      <c r="B5042" s="1" t="n">
        <v>44435</v>
      </c>
      <c r="C5042" s="1" t="n">
        <v>45736</v>
      </c>
      <c r="D5042" t="inlineStr">
        <is>
          <t>VÄRMLANDS LÄN</t>
        </is>
      </c>
      <c r="E5042" t="inlineStr">
        <is>
          <t>ARVIKA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45740-2021</t>
        </is>
      </c>
      <c r="B5043" s="1" t="n">
        <v>44435</v>
      </c>
      <c r="C5043" s="1" t="n">
        <v>45736</v>
      </c>
      <c r="D5043" t="inlineStr">
        <is>
          <t>VÄRMLANDS LÄN</t>
        </is>
      </c>
      <c r="E5043" t="inlineStr">
        <is>
          <t>ARVIKA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45756-2021</t>
        </is>
      </c>
      <c r="B5044" s="1" t="n">
        <v>44435</v>
      </c>
      <c r="C5044" s="1" t="n">
        <v>45736</v>
      </c>
      <c r="D5044" t="inlineStr">
        <is>
          <t>VÄRMLANDS LÄN</t>
        </is>
      </c>
      <c r="E5044" t="inlineStr">
        <is>
          <t>ARVIKA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44647-2021</t>
        </is>
      </c>
      <c r="B5045" s="1" t="n">
        <v>44437</v>
      </c>
      <c r="C5045" s="1" t="n">
        <v>45736</v>
      </c>
      <c r="D5045" t="inlineStr">
        <is>
          <t>VÄRMLANDS LÄN</t>
        </is>
      </c>
      <c r="E5045" t="inlineStr">
        <is>
          <t>ÅRJÄNG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44778-2021</t>
        </is>
      </c>
      <c r="B5046" s="1" t="n">
        <v>44438</v>
      </c>
      <c r="C5046" s="1" t="n">
        <v>45736</v>
      </c>
      <c r="D5046" t="inlineStr">
        <is>
          <t>VÄRMLANDS LÄN</t>
        </is>
      </c>
      <c r="E5046" t="inlineStr">
        <is>
          <t>SÄFFLE</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44792-2021</t>
        </is>
      </c>
      <c r="B5047" s="1" t="n">
        <v>44438</v>
      </c>
      <c r="C5047" s="1" t="n">
        <v>45736</v>
      </c>
      <c r="D5047" t="inlineStr">
        <is>
          <t>VÄRMLANDS LÄN</t>
        </is>
      </c>
      <c r="E5047" t="inlineStr">
        <is>
          <t>SUNNE</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44761-2021</t>
        </is>
      </c>
      <c r="B5048" s="1" t="n">
        <v>44438</v>
      </c>
      <c r="C5048" s="1" t="n">
        <v>45736</v>
      </c>
      <c r="D5048" t="inlineStr">
        <is>
          <t>VÄRMLANDS LÄN</t>
        </is>
      </c>
      <c r="E5048" t="inlineStr">
        <is>
          <t>TORSBY</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44796-2021</t>
        </is>
      </c>
      <c r="B5049" s="1" t="n">
        <v>44438</v>
      </c>
      <c r="C5049" s="1" t="n">
        <v>45736</v>
      </c>
      <c r="D5049" t="inlineStr">
        <is>
          <t>VÄRMLANDS LÄN</t>
        </is>
      </c>
      <c r="E5049" t="inlineStr">
        <is>
          <t>SUNNE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44835-2021</t>
        </is>
      </c>
      <c r="B5050" s="1" t="n">
        <v>44438</v>
      </c>
      <c r="C5050" s="1" t="n">
        <v>45736</v>
      </c>
      <c r="D5050" t="inlineStr">
        <is>
          <t>VÄRMLANDS LÄN</t>
        </is>
      </c>
      <c r="E5050" t="inlineStr">
        <is>
          <t>EDA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44824-2021</t>
        </is>
      </c>
      <c r="B5051" s="1" t="n">
        <v>44438</v>
      </c>
      <c r="C5051" s="1" t="n">
        <v>45736</v>
      </c>
      <c r="D5051" t="inlineStr">
        <is>
          <t>VÄRMLANDS LÄN</t>
        </is>
      </c>
      <c r="E5051" t="inlineStr">
        <is>
          <t>ARVIKA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44898-2021</t>
        </is>
      </c>
      <c r="B5052" s="1" t="n">
        <v>44438</v>
      </c>
      <c r="C5052" s="1" t="n">
        <v>45736</v>
      </c>
      <c r="D5052" t="inlineStr">
        <is>
          <t>VÄRMLANDS LÄN</t>
        </is>
      </c>
      <c r="E5052" t="inlineStr">
        <is>
          <t>HAGFORS</t>
        </is>
      </c>
      <c r="F5052" t="inlineStr">
        <is>
          <t>Bergvik skog väst AB</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44921-2021</t>
        </is>
      </c>
      <c r="B5053" s="1" t="n">
        <v>44438</v>
      </c>
      <c r="C5053" s="1" t="n">
        <v>45736</v>
      </c>
      <c r="D5053" t="inlineStr">
        <is>
          <t>VÄRMLANDS LÄN</t>
        </is>
      </c>
      <c r="E5053" t="inlineStr">
        <is>
          <t>ÅRJÄNG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44975-2021</t>
        </is>
      </c>
      <c r="B5054" s="1" t="n">
        <v>44438</v>
      </c>
      <c r="C5054" s="1" t="n">
        <v>45736</v>
      </c>
      <c r="D5054" t="inlineStr">
        <is>
          <t>VÄRMLANDS LÄN</t>
        </is>
      </c>
      <c r="E5054" t="inlineStr">
        <is>
          <t>ARVIKA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44979-2021</t>
        </is>
      </c>
      <c r="B5055" s="1" t="n">
        <v>44438</v>
      </c>
      <c r="C5055" s="1" t="n">
        <v>45736</v>
      </c>
      <c r="D5055" t="inlineStr">
        <is>
          <t>VÄRMLANDS LÄN</t>
        </is>
      </c>
      <c r="E5055" t="inlineStr">
        <is>
          <t>TORSBY</t>
        </is>
      </c>
      <c r="F5055" t="inlineStr">
        <is>
          <t>Bergvik skog väst AB</t>
        </is>
      </c>
      <c r="G5055" t="n">
        <v>22.2</v>
      </c>
      <c r="H5055" t="n">
        <v>0</v>
      </c>
      <c r="I5055" t="n">
        <v>0</v>
      </c>
      <c r="J5055" t="n">
        <v>0</v>
      </c>
      <c r="K5055" t="n">
        <v>0</v>
      </c>
      <c r="L5055" t="n">
        <v>0</v>
      </c>
      <c r="M5055" t="n">
        <v>0</v>
      </c>
      <c r="N5055" t="n">
        <v>0</v>
      </c>
      <c r="O5055" t="n">
        <v>0</v>
      </c>
      <c r="P5055" t="n">
        <v>0</v>
      </c>
      <c r="Q5055" t="n">
        <v>0</v>
      </c>
      <c r="R5055" s="2" t="inlineStr"/>
    </row>
    <row r="5056" ht="15" customHeight="1">
      <c r="A5056" t="inlineStr">
        <is>
          <t>A 44904-2021</t>
        </is>
      </c>
      <c r="B5056" s="1" t="n">
        <v>44438</v>
      </c>
      <c r="C5056" s="1" t="n">
        <v>45736</v>
      </c>
      <c r="D5056" t="inlineStr">
        <is>
          <t>VÄRMLANDS LÄN</t>
        </is>
      </c>
      <c r="E5056" t="inlineStr">
        <is>
          <t>SUNNE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44923-2021</t>
        </is>
      </c>
      <c r="B5057" s="1" t="n">
        <v>44438</v>
      </c>
      <c r="C5057" s="1" t="n">
        <v>45736</v>
      </c>
      <c r="D5057" t="inlineStr">
        <is>
          <t>VÄRMLANDS LÄN</t>
        </is>
      </c>
      <c r="E5057" t="inlineStr">
        <is>
          <t>TORSBY</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44974-2021</t>
        </is>
      </c>
      <c r="B5058" s="1" t="n">
        <v>44438</v>
      </c>
      <c r="C5058" s="1" t="n">
        <v>45736</v>
      </c>
      <c r="D5058" t="inlineStr">
        <is>
          <t>VÄRMLANDS LÄN</t>
        </is>
      </c>
      <c r="E5058" t="inlineStr">
        <is>
          <t>ARVIKA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44896-2021</t>
        </is>
      </c>
      <c r="B5059" s="1" t="n">
        <v>44438</v>
      </c>
      <c r="C5059" s="1" t="n">
        <v>45736</v>
      </c>
      <c r="D5059" t="inlineStr">
        <is>
          <t>VÄRMLANDS LÄN</t>
        </is>
      </c>
      <c r="E5059" t="inlineStr">
        <is>
          <t>SUNNE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45052-2021</t>
        </is>
      </c>
      <c r="B5060" s="1" t="n">
        <v>44439</v>
      </c>
      <c r="C5060" s="1" t="n">
        <v>45736</v>
      </c>
      <c r="D5060" t="inlineStr">
        <is>
          <t>VÄRMLANDS LÄN</t>
        </is>
      </c>
      <c r="E5060" t="inlineStr">
        <is>
          <t>GRUMS</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45139-2021</t>
        </is>
      </c>
      <c r="B5061" s="1" t="n">
        <v>44439</v>
      </c>
      <c r="C5061" s="1" t="n">
        <v>45736</v>
      </c>
      <c r="D5061" t="inlineStr">
        <is>
          <t>VÄRMLANDS LÄN</t>
        </is>
      </c>
      <c r="E5061" t="inlineStr">
        <is>
          <t>FILIPSTAD</t>
        </is>
      </c>
      <c r="F5061" t="inlineStr">
        <is>
          <t>Bergvik skog väst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45149-2021</t>
        </is>
      </c>
      <c r="B5062" s="1" t="n">
        <v>44439</v>
      </c>
      <c r="C5062" s="1" t="n">
        <v>45736</v>
      </c>
      <c r="D5062" t="inlineStr">
        <is>
          <t>VÄRMLANDS LÄN</t>
        </is>
      </c>
      <c r="E5062" t="inlineStr">
        <is>
          <t>SÄFFLE</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45265-2021</t>
        </is>
      </c>
      <c r="B5063" s="1" t="n">
        <v>44439</v>
      </c>
      <c r="C5063" s="1" t="n">
        <v>45736</v>
      </c>
      <c r="D5063" t="inlineStr">
        <is>
          <t>VÄRMLANDS LÄN</t>
        </is>
      </c>
      <c r="E5063" t="inlineStr">
        <is>
          <t>SUNNE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45291-2021</t>
        </is>
      </c>
      <c r="B5064" s="1" t="n">
        <v>44439</v>
      </c>
      <c r="C5064" s="1" t="n">
        <v>45736</v>
      </c>
      <c r="D5064" t="inlineStr">
        <is>
          <t>VÄRMLANDS LÄN</t>
        </is>
      </c>
      <c r="E5064" t="inlineStr">
        <is>
          <t>EDA</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45299-2021</t>
        </is>
      </c>
      <c r="B5065" s="1" t="n">
        <v>44439</v>
      </c>
      <c r="C5065" s="1" t="n">
        <v>45736</v>
      </c>
      <c r="D5065" t="inlineStr">
        <is>
          <t>VÄRMLANDS LÄN</t>
        </is>
      </c>
      <c r="E5065" t="inlineStr">
        <is>
          <t>SUNNE</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45218-2021</t>
        </is>
      </c>
      <c r="B5066" s="1" t="n">
        <v>44439</v>
      </c>
      <c r="C5066" s="1" t="n">
        <v>45736</v>
      </c>
      <c r="D5066" t="inlineStr">
        <is>
          <t>VÄRMLANDS LÄN</t>
        </is>
      </c>
      <c r="E5066" t="inlineStr">
        <is>
          <t>HAGFORS</t>
        </is>
      </c>
      <c r="F5066" t="inlineStr">
        <is>
          <t>Bergvik skog väst AB</t>
        </is>
      </c>
      <c r="G5066" t="n">
        <v>49.5</v>
      </c>
      <c r="H5066" t="n">
        <v>0</v>
      </c>
      <c r="I5066" t="n">
        <v>0</v>
      </c>
      <c r="J5066" t="n">
        <v>0</v>
      </c>
      <c r="K5066" t="n">
        <v>0</v>
      </c>
      <c r="L5066" t="n">
        <v>0</v>
      </c>
      <c r="M5066" t="n">
        <v>0</v>
      </c>
      <c r="N5066" t="n">
        <v>0</v>
      </c>
      <c r="O5066" t="n">
        <v>0</v>
      </c>
      <c r="P5066" t="n">
        <v>0</v>
      </c>
      <c r="Q5066" t="n">
        <v>0</v>
      </c>
      <c r="R5066" s="2" t="inlineStr"/>
    </row>
    <row r="5067" ht="15" customHeight="1">
      <c r="A5067" t="inlineStr">
        <is>
          <t>A 45293-2021</t>
        </is>
      </c>
      <c r="B5067" s="1" t="n">
        <v>44439</v>
      </c>
      <c r="C5067" s="1" t="n">
        <v>45736</v>
      </c>
      <c r="D5067" t="inlineStr">
        <is>
          <t>VÄRMLANDS LÄN</t>
        </is>
      </c>
      <c r="E5067" t="inlineStr">
        <is>
          <t>HAGFORS</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45294-2021</t>
        </is>
      </c>
      <c r="B5068" s="1" t="n">
        <v>44439</v>
      </c>
      <c r="C5068" s="1" t="n">
        <v>45736</v>
      </c>
      <c r="D5068" t="inlineStr">
        <is>
          <t>VÄRMLANDS LÄN</t>
        </is>
      </c>
      <c r="E5068" t="inlineStr">
        <is>
          <t>ARVIKA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45312-2021</t>
        </is>
      </c>
      <c r="B5069" s="1" t="n">
        <v>44439</v>
      </c>
      <c r="C5069" s="1" t="n">
        <v>45736</v>
      </c>
      <c r="D5069" t="inlineStr">
        <is>
          <t>VÄRMLANDS LÄN</t>
        </is>
      </c>
      <c r="E5069" t="inlineStr">
        <is>
          <t>EDA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45327-2021</t>
        </is>
      </c>
      <c r="B5070" s="1" t="n">
        <v>44439</v>
      </c>
      <c r="C5070" s="1" t="n">
        <v>45736</v>
      </c>
      <c r="D5070" t="inlineStr">
        <is>
          <t>VÄRMLANDS LÄN</t>
        </is>
      </c>
      <c r="E5070" t="inlineStr">
        <is>
          <t>SUNNE</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47292-2021</t>
        </is>
      </c>
      <c r="B5071" s="1" t="n">
        <v>44439</v>
      </c>
      <c r="C5071" s="1" t="n">
        <v>45736</v>
      </c>
      <c r="D5071" t="inlineStr">
        <is>
          <t>VÄRMLANDS LÄN</t>
        </is>
      </c>
      <c r="E5071" t="inlineStr">
        <is>
          <t>SÄFFLE</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45481-2021</t>
        </is>
      </c>
      <c r="B5072" s="1" t="n">
        <v>44440</v>
      </c>
      <c r="C5072" s="1" t="n">
        <v>45736</v>
      </c>
      <c r="D5072" t="inlineStr">
        <is>
          <t>VÄRMLANDS LÄN</t>
        </is>
      </c>
      <c r="E5072" t="inlineStr">
        <is>
          <t>KRISTINEHAMN</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45445-2021</t>
        </is>
      </c>
      <c r="B5073" s="1" t="n">
        <v>44440</v>
      </c>
      <c r="C5073" s="1" t="n">
        <v>45736</v>
      </c>
      <c r="D5073" t="inlineStr">
        <is>
          <t>VÄRMLANDS LÄN</t>
        </is>
      </c>
      <c r="E5073" t="inlineStr">
        <is>
          <t>TORSBY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45447-2021</t>
        </is>
      </c>
      <c r="B5074" s="1" t="n">
        <v>44440</v>
      </c>
      <c r="C5074" s="1" t="n">
        <v>45736</v>
      </c>
      <c r="D5074" t="inlineStr">
        <is>
          <t>VÄRMLANDS LÄN</t>
        </is>
      </c>
      <c r="E5074" t="inlineStr">
        <is>
          <t>TORSBY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45554-2021</t>
        </is>
      </c>
      <c r="B5075" s="1" t="n">
        <v>44440</v>
      </c>
      <c r="C5075" s="1" t="n">
        <v>45736</v>
      </c>
      <c r="D5075" t="inlineStr">
        <is>
          <t>VÄRMLANDS LÄN</t>
        </is>
      </c>
      <c r="E5075" t="inlineStr">
        <is>
          <t>SÄFFLE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45690-2021</t>
        </is>
      </c>
      <c r="B5076" s="1" t="n">
        <v>44441</v>
      </c>
      <c r="C5076" s="1" t="n">
        <v>45736</v>
      </c>
      <c r="D5076" t="inlineStr">
        <is>
          <t>VÄRMLANDS LÄN</t>
        </is>
      </c>
      <c r="E5076" t="inlineStr">
        <is>
          <t>KRISTINEHAMN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45736-2021</t>
        </is>
      </c>
      <c r="B5077" s="1" t="n">
        <v>44441</v>
      </c>
      <c r="C5077" s="1" t="n">
        <v>45736</v>
      </c>
      <c r="D5077" t="inlineStr">
        <is>
          <t>VÄRMLANDS LÄN</t>
        </is>
      </c>
      <c r="E5077" t="inlineStr">
        <is>
          <t>FORSHAGA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45659-2021</t>
        </is>
      </c>
      <c r="B5078" s="1" t="n">
        <v>44441</v>
      </c>
      <c r="C5078" s="1" t="n">
        <v>45736</v>
      </c>
      <c r="D5078" t="inlineStr">
        <is>
          <t>VÄRMLANDS LÄN</t>
        </is>
      </c>
      <c r="E5078" t="inlineStr">
        <is>
          <t>KRISTINEHAMN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45662-2021</t>
        </is>
      </c>
      <c r="B5079" s="1" t="n">
        <v>44441</v>
      </c>
      <c r="C5079" s="1" t="n">
        <v>45736</v>
      </c>
      <c r="D5079" t="inlineStr">
        <is>
          <t>VÄRMLANDS LÄN</t>
        </is>
      </c>
      <c r="E5079" t="inlineStr">
        <is>
          <t>KRISTINEHAMN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45742-2021</t>
        </is>
      </c>
      <c r="B5080" s="1" t="n">
        <v>44441</v>
      </c>
      <c r="C5080" s="1" t="n">
        <v>45736</v>
      </c>
      <c r="D5080" t="inlineStr">
        <is>
          <t>VÄRMLANDS LÄN</t>
        </is>
      </c>
      <c r="E5080" t="inlineStr">
        <is>
          <t>FORSHAGA</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45738-2021</t>
        </is>
      </c>
      <c r="B5081" s="1" t="n">
        <v>44441</v>
      </c>
      <c r="C5081" s="1" t="n">
        <v>45736</v>
      </c>
      <c r="D5081" t="inlineStr">
        <is>
          <t>VÄRMLANDS LÄN</t>
        </is>
      </c>
      <c r="E5081" t="inlineStr">
        <is>
          <t>FORSHAGA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45751-2021</t>
        </is>
      </c>
      <c r="B5082" s="1" t="n">
        <v>44441</v>
      </c>
      <c r="C5082" s="1" t="n">
        <v>45736</v>
      </c>
      <c r="D5082" t="inlineStr">
        <is>
          <t>VÄRMLANDS LÄN</t>
        </is>
      </c>
      <c r="E5082" t="inlineStr">
        <is>
          <t>FORSHAGA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45937-2021</t>
        </is>
      </c>
      <c r="B5083" s="1" t="n">
        <v>44441</v>
      </c>
      <c r="C5083" s="1" t="n">
        <v>45736</v>
      </c>
      <c r="D5083" t="inlineStr">
        <is>
          <t>VÄRMLANDS LÄN</t>
        </is>
      </c>
      <c r="E5083" t="inlineStr">
        <is>
          <t>SUNNE</t>
        </is>
      </c>
      <c r="F5083" t="inlineStr">
        <is>
          <t>Kommuner</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45922-2021</t>
        </is>
      </c>
      <c r="B5084" s="1" t="n">
        <v>44441</v>
      </c>
      <c r="C5084" s="1" t="n">
        <v>45736</v>
      </c>
      <c r="D5084" t="inlineStr">
        <is>
          <t>VÄRMLANDS LÄN</t>
        </is>
      </c>
      <c r="E5084" t="inlineStr">
        <is>
          <t>SUNNE</t>
        </is>
      </c>
      <c r="F5084" t="inlineStr">
        <is>
          <t>Kommuner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45960-2021</t>
        </is>
      </c>
      <c r="B5085" s="1" t="n">
        <v>44441</v>
      </c>
      <c r="C5085" s="1" t="n">
        <v>45736</v>
      </c>
      <c r="D5085" t="inlineStr">
        <is>
          <t>VÄRMLANDS LÄN</t>
        </is>
      </c>
      <c r="E5085" t="inlineStr">
        <is>
          <t>GRUMS</t>
        </is>
      </c>
      <c r="G5085" t="n">
        <v>13.6</v>
      </c>
      <c r="H5085" t="n">
        <v>0</v>
      </c>
      <c r="I5085" t="n">
        <v>0</v>
      </c>
      <c r="J5085" t="n">
        <v>0</v>
      </c>
      <c r="K5085" t="n">
        <v>0</v>
      </c>
      <c r="L5085" t="n">
        <v>0</v>
      </c>
      <c r="M5085" t="n">
        <v>0</v>
      </c>
      <c r="N5085" t="n">
        <v>0</v>
      </c>
      <c r="O5085" t="n">
        <v>0</v>
      </c>
      <c r="P5085" t="n">
        <v>0</v>
      </c>
      <c r="Q5085" t="n">
        <v>0</v>
      </c>
      <c r="R5085" s="2" t="inlineStr"/>
    </row>
    <row r="5086" ht="15" customHeight="1">
      <c r="A5086" t="inlineStr">
        <is>
          <t>A 45905-2021</t>
        </is>
      </c>
      <c r="B5086" s="1" t="n">
        <v>44441</v>
      </c>
      <c r="C5086" s="1" t="n">
        <v>45736</v>
      </c>
      <c r="D5086" t="inlineStr">
        <is>
          <t>VÄRMLANDS LÄN</t>
        </is>
      </c>
      <c r="E5086" t="inlineStr">
        <is>
          <t>KARLSTAD</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45962-2021</t>
        </is>
      </c>
      <c r="B5087" s="1" t="n">
        <v>44441</v>
      </c>
      <c r="C5087" s="1" t="n">
        <v>45736</v>
      </c>
      <c r="D5087" t="inlineStr">
        <is>
          <t>VÄRMLANDS LÄN</t>
        </is>
      </c>
      <c r="E5087" t="inlineStr">
        <is>
          <t>ÅRJÄNG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46429-2021</t>
        </is>
      </c>
      <c r="B5088" s="1" t="n">
        <v>44441</v>
      </c>
      <c r="C5088" s="1" t="n">
        <v>45736</v>
      </c>
      <c r="D5088" t="inlineStr">
        <is>
          <t>VÄRMLANDS LÄN</t>
        </is>
      </c>
      <c r="E5088" t="inlineStr">
        <is>
          <t>MUNKFORS</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46090-2021</t>
        </is>
      </c>
      <c r="B5089" s="1" t="n">
        <v>44442</v>
      </c>
      <c r="C5089" s="1" t="n">
        <v>45736</v>
      </c>
      <c r="D5089" t="inlineStr">
        <is>
          <t>VÄRMLANDS LÄN</t>
        </is>
      </c>
      <c r="E5089" t="inlineStr">
        <is>
          <t>EDA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46222-2021</t>
        </is>
      </c>
      <c r="B5090" s="1" t="n">
        <v>44442</v>
      </c>
      <c r="C5090" s="1" t="n">
        <v>45736</v>
      </c>
      <c r="D5090" t="inlineStr">
        <is>
          <t>VÄRMLANDS LÄN</t>
        </is>
      </c>
      <c r="E5090" t="inlineStr">
        <is>
          <t>KIL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46250-2021</t>
        </is>
      </c>
      <c r="B5091" s="1" t="n">
        <v>44442</v>
      </c>
      <c r="C5091" s="1" t="n">
        <v>45736</v>
      </c>
      <c r="D5091" t="inlineStr">
        <is>
          <t>VÄRMLANDS LÄN</t>
        </is>
      </c>
      <c r="E5091" t="inlineStr">
        <is>
          <t>EDA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46220-2021</t>
        </is>
      </c>
      <c r="B5092" s="1" t="n">
        <v>44442</v>
      </c>
      <c r="C5092" s="1" t="n">
        <v>45736</v>
      </c>
      <c r="D5092" t="inlineStr">
        <is>
          <t>VÄRMLANDS LÄN</t>
        </is>
      </c>
      <c r="E5092" t="inlineStr">
        <is>
          <t>KIL</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46248-2021</t>
        </is>
      </c>
      <c r="B5093" s="1" t="n">
        <v>44442</v>
      </c>
      <c r="C5093" s="1" t="n">
        <v>45736</v>
      </c>
      <c r="D5093" t="inlineStr">
        <is>
          <t>VÄRMLANDS LÄN</t>
        </is>
      </c>
      <c r="E5093" t="inlineStr">
        <is>
          <t>ÅRJÄNG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46302-2021</t>
        </is>
      </c>
      <c r="B5094" s="1" t="n">
        <v>44442</v>
      </c>
      <c r="C5094" s="1" t="n">
        <v>45736</v>
      </c>
      <c r="D5094" t="inlineStr">
        <is>
          <t>VÄRMLANDS LÄN</t>
        </is>
      </c>
      <c r="E5094" t="inlineStr">
        <is>
          <t>TORSBY</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46297-2021</t>
        </is>
      </c>
      <c r="B5095" s="1" t="n">
        <v>44442</v>
      </c>
      <c r="C5095" s="1" t="n">
        <v>45736</v>
      </c>
      <c r="D5095" t="inlineStr">
        <is>
          <t>VÄRMLANDS LÄN</t>
        </is>
      </c>
      <c r="E5095" t="inlineStr">
        <is>
          <t>ARVIKA</t>
        </is>
      </c>
      <c r="F5095" t="inlineStr">
        <is>
          <t>Bergvik skog väst AB</t>
        </is>
      </c>
      <c r="G5095" t="n">
        <v>18.1</v>
      </c>
      <c r="H5095" t="n">
        <v>0</v>
      </c>
      <c r="I5095" t="n">
        <v>0</v>
      </c>
      <c r="J5095" t="n">
        <v>0</v>
      </c>
      <c r="K5095" t="n">
        <v>0</v>
      </c>
      <c r="L5095" t="n">
        <v>0</v>
      </c>
      <c r="M5095" t="n">
        <v>0</v>
      </c>
      <c r="N5095" t="n">
        <v>0</v>
      </c>
      <c r="O5095" t="n">
        <v>0</v>
      </c>
      <c r="P5095" t="n">
        <v>0</v>
      </c>
      <c r="Q5095" t="n">
        <v>0</v>
      </c>
      <c r="R5095" s="2" t="inlineStr"/>
    </row>
    <row r="5096" ht="15" customHeight="1">
      <c r="A5096" t="inlineStr">
        <is>
          <t>A 46511-2021</t>
        </is>
      </c>
      <c r="B5096" s="1" t="n">
        <v>44442</v>
      </c>
      <c r="C5096" s="1" t="n">
        <v>45736</v>
      </c>
      <c r="D5096" t="inlineStr">
        <is>
          <t>VÄRMLANDS LÄN</t>
        </is>
      </c>
      <c r="E5096" t="inlineStr">
        <is>
          <t>GRUMS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46298-2021</t>
        </is>
      </c>
      <c r="B5097" s="1" t="n">
        <v>44442</v>
      </c>
      <c r="C5097" s="1" t="n">
        <v>45736</v>
      </c>
      <c r="D5097" t="inlineStr">
        <is>
          <t>VÄRMLANDS LÄN</t>
        </is>
      </c>
      <c r="E5097" t="inlineStr">
        <is>
          <t>SUNNE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46096-2021</t>
        </is>
      </c>
      <c r="B5098" s="1" t="n">
        <v>44442</v>
      </c>
      <c r="C5098" s="1" t="n">
        <v>45736</v>
      </c>
      <c r="D5098" t="inlineStr">
        <is>
          <t>VÄRMLANDS LÄN</t>
        </is>
      </c>
      <c r="E5098" t="inlineStr">
        <is>
          <t>ÅRJÄNG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46403-2021</t>
        </is>
      </c>
      <c r="B5099" s="1" t="n">
        <v>44443</v>
      </c>
      <c r="C5099" s="1" t="n">
        <v>45736</v>
      </c>
      <c r="D5099" t="inlineStr">
        <is>
          <t>VÄRMLANDS LÄN</t>
        </is>
      </c>
      <c r="E5099" t="inlineStr">
        <is>
          <t>SUNNE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46503-2021</t>
        </is>
      </c>
      <c r="B5100" s="1" t="n">
        <v>44445</v>
      </c>
      <c r="C5100" s="1" t="n">
        <v>45736</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46546-2021</t>
        </is>
      </c>
      <c r="B5101" s="1" t="n">
        <v>44445</v>
      </c>
      <c r="C5101" s="1" t="n">
        <v>45736</v>
      </c>
      <c r="D5101" t="inlineStr">
        <is>
          <t>VÄRMLANDS LÄN</t>
        </is>
      </c>
      <c r="E5101" t="inlineStr">
        <is>
          <t>FILIPSTAD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46610-2021</t>
        </is>
      </c>
      <c r="B5102" s="1" t="n">
        <v>44445</v>
      </c>
      <c r="C5102" s="1" t="n">
        <v>45736</v>
      </c>
      <c r="D5102" t="inlineStr">
        <is>
          <t>VÄRMLANDS LÄN</t>
        </is>
      </c>
      <c r="E5102" t="inlineStr">
        <is>
          <t>TORSBY</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46476-2021</t>
        </is>
      </c>
      <c r="B5103" s="1" t="n">
        <v>44445</v>
      </c>
      <c r="C5103" s="1" t="n">
        <v>45736</v>
      </c>
      <c r="D5103" t="inlineStr">
        <is>
          <t>VÄRMLANDS LÄN</t>
        </is>
      </c>
      <c r="E5103" t="inlineStr">
        <is>
          <t>EDA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46647-2021</t>
        </is>
      </c>
      <c r="B5104" s="1" t="n">
        <v>44445</v>
      </c>
      <c r="C5104" s="1" t="n">
        <v>45736</v>
      </c>
      <c r="D5104" t="inlineStr">
        <is>
          <t>VÄRMLANDS LÄN</t>
        </is>
      </c>
      <c r="E5104" t="inlineStr">
        <is>
          <t>ÅRJÄNG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46644-2021</t>
        </is>
      </c>
      <c r="B5105" s="1" t="n">
        <v>44445</v>
      </c>
      <c r="C5105" s="1" t="n">
        <v>45736</v>
      </c>
      <c r="D5105" t="inlineStr">
        <is>
          <t>VÄRMLANDS LÄN</t>
        </is>
      </c>
      <c r="E5105" t="inlineStr">
        <is>
          <t>ÅRJÄNG</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46759-2021</t>
        </is>
      </c>
      <c r="B5106" s="1" t="n">
        <v>44445</v>
      </c>
      <c r="C5106" s="1" t="n">
        <v>45736</v>
      </c>
      <c r="D5106" t="inlineStr">
        <is>
          <t>VÄRMLANDS LÄN</t>
        </is>
      </c>
      <c r="E5106" t="inlineStr">
        <is>
          <t>EDA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46701-2021</t>
        </is>
      </c>
      <c r="B5107" s="1" t="n">
        <v>44445</v>
      </c>
      <c r="C5107" s="1" t="n">
        <v>45736</v>
      </c>
      <c r="D5107" t="inlineStr">
        <is>
          <t>VÄRMLANDS LÄN</t>
        </is>
      </c>
      <c r="E5107" t="inlineStr">
        <is>
          <t>FORSHAGA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46742-2021</t>
        </is>
      </c>
      <c r="B5108" s="1" t="n">
        <v>44445</v>
      </c>
      <c r="C5108" s="1" t="n">
        <v>45736</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46765-2021</t>
        </is>
      </c>
      <c r="B5109" s="1" t="n">
        <v>44445</v>
      </c>
      <c r="C5109" s="1" t="n">
        <v>45736</v>
      </c>
      <c r="D5109" t="inlineStr">
        <is>
          <t>VÄRMLANDS LÄN</t>
        </is>
      </c>
      <c r="E5109" t="inlineStr">
        <is>
          <t>SÄFFLE</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46722-2021</t>
        </is>
      </c>
      <c r="B5110" s="1" t="n">
        <v>44445</v>
      </c>
      <c r="C5110" s="1" t="n">
        <v>45736</v>
      </c>
      <c r="D5110" t="inlineStr">
        <is>
          <t>VÄRMLANDS LÄN</t>
        </is>
      </c>
      <c r="E5110" t="inlineStr">
        <is>
          <t>EDA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46774-2021</t>
        </is>
      </c>
      <c r="B5111" s="1" t="n">
        <v>44445</v>
      </c>
      <c r="C5111" s="1" t="n">
        <v>45736</v>
      </c>
      <c r="D5111" t="inlineStr">
        <is>
          <t>VÄRMLANDS LÄN</t>
        </is>
      </c>
      <c r="E5111" t="inlineStr">
        <is>
          <t>HAGFORS</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46840-2021</t>
        </is>
      </c>
      <c r="B5112" s="1" t="n">
        <v>44446</v>
      </c>
      <c r="C5112" s="1" t="n">
        <v>45736</v>
      </c>
      <c r="D5112" t="inlineStr">
        <is>
          <t>VÄRMLANDS LÄN</t>
        </is>
      </c>
      <c r="E5112" t="inlineStr">
        <is>
          <t>ARVIKA</t>
        </is>
      </c>
      <c r="F5112" t="inlineStr">
        <is>
          <t>Bergvik skog väst AB</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46795-2021</t>
        </is>
      </c>
      <c r="B5113" s="1" t="n">
        <v>44446</v>
      </c>
      <c r="C5113" s="1" t="n">
        <v>45736</v>
      </c>
      <c r="D5113" t="inlineStr">
        <is>
          <t>VÄRMLANDS LÄN</t>
        </is>
      </c>
      <c r="E5113" t="inlineStr">
        <is>
          <t>TORSBY</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46808-2021</t>
        </is>
      </c>
      <c r="B5114" s="1" t="n">
        <v>44446</v>
      </c>
      <c r="C5114" s="1" t="n">
        <v>45736</v>
      </c>
      <c r="D5114" t="inlineStr">
        <is>
          <t>VÄRMLANDS LÄN</t>
        </is>
      </c>
      <c r="E5114" t="inlineStr">
        <is>
          <t>KARLSTAD</t>
        </is>
      </c>
      <c r="G5114" t="n">
        <v>15.3</v>
      </c>
      <c r="H5114" t="n">
        <v>0</v>
      </c>
      <c r="I5114" t="n">
        <v>0</v>
      </c>
      <c r="J5114" t="n">
        <v>0</v>
      </c>
      <c r="K5114" t="n">
        <v>0</v>
      </c>
      <c r="L5114" t="n">
        <v>0</v>
      </c>
      <c r="M5114" t="n">
        <v>0</v>
      </c>
      <c r="N5114" t="n">
        <v>0</v>
      </c>
      <c r="O5114" t="n">
        <v>0</v>
      </c>
      <c r="P5114" t="n">
        <v>0</v>
      </c>
      <c r="Q5114" t="n">
        <v>0</v>
      </c>
      <c r="R5114" s="2" t="inlineStr"/>
    </row>
    <row r="5115" ht="15" customHeight="1">
      <c r="A5115" t="inlineStr">
        <is>
          <t>A 46934-2021</t>
        </is>
      </c>
      <c r="B5115" s="1" t="n">
        <v>44446</v>
      </c>
      <c r="C5115" s="1" t="n">
        <v>45736</v>
      </c>
      <c r="D5115" t="inlineStr">
        <is>
          <t>VÄRMLANDS LÄN</t>
        </is>
      </c>
      <c r="E5115" t="inlineStr">
        <is>
          <t>TORSBY</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46812-2021</t>
        </is>
      </c>
      <c r="B5116" s="1" t="n">
        <v>44446</v>
      </c>
      <c r="C5116" s="1" t="n">
        <v>45736</v>
      </c>
      <c r="D5116" t="inlineStr">
        <is>
          <t>VÄRMLANDS LÄN</t>
        </is>
      </c>
      <c r="E5116" t="inlineStr">
        <is>
          <t>KARLSTAD</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46861-2021</t>
        </is>
      </c>
      <c r="B5117" s="1" t="n">
        <v>44446</v>
      </c>
      <c r="C5117" s="1" t="n">
        <v>45736</v>
      </c>
      <c r="D5117" t="inlineStr">
        <is>
          <t>VÄRMLANDS LÄN</t>
        </is>
      </c>
      <c r="E5117" t="inlineStr">
        <is>
          <t>KRISTINEHAMN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46880-2021</t>
        </is>
      </c>
      <c r="B5118" s="1" t="n">
        <v>44446</v>
      </c>
      <c r="C5118" s="1" t="n">
        <v>45736</v>
      </c>
      <c r="D5118" t="inlineStr">
        <is>
          <t>VÄRMLANDS LÄN</t>
        </is>
      </c>
      <c r="E5118" t="inlineStr">
        <is>
          <t>TORSBY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46899-2021</t>
        </is>
      </c>
      <c r="B5119" s="1" t="n">
        <v>44446</v>
      </c>
      <c r="C5119" s="1" t="n">
        <v>45736</v>
      </c>
      <c r="D5119" t="inlineStr">
        <is>
          <t>VÄRMLANDS LÄN</t>
        </is>
      </c>
      <c r="E5119" t="inlineStr">
        <is>
          <t>SÄFFLE</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46814-2021</t>
        </is>
      </c>
      <c r="B5120" s="1" t="n">
        <v>44446</v>
      </c>
      <c r="C5120" s="1" t="n">
        <v>45736</v>
      </c>
      <c r="D5120" t="inlineStr">
        <is>
          <t>VÄRMLANDS LÄN</t>
        </is>
      </c>
      <c r="E5120" t="inlineStr">
        <is>
          <t>KARLSTAD</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47005-2021</t>
        </is>
      </c>
      <c r="B5121" s="1" t="n">
        <v>44446</v>
      </c>
      <c r="C5121" s="1" t="n">
        <v>45736</v>
      </c>
      <c r="D5121" t="inlineStr">
        <is>
          <t>VÄRMLANDS LÄN</t>
        </is>
      </c>
      <c r="E5121" t="inlineStr">
        <is>
          <t>ÅRJÄNG</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47035-2021</t>
        </is>
      </c>
      <c r="B5122" s="1" t="n">
        <v>44446</v>
      </c>
      <c r="C5122" s="1" t="n">
        <v>45736</v>
      </c>
      <c r="D5122" t="inlineStr">
        <is>
          <t>VÄRMLANDS LÄN</t>
        </is>
      </c>
      <c r="E5122" t="inlineStr">
        <is>
          <t>ÅRJÄNG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46987-2021</t>
        </is>
      </c>
      <c r="B5123" s="1" t="n">
        <v>44446</v>
      </c>
      <c r="C5123" s="1" t="n">
        <v>45736</v>
      </c>
      <c r="D5123" t="inlineStr">
        <is>
          <t>VÄRMLANDS LÄN</t>
        </is>
      </c>
      <c r="E5123" t="inlineStr">
        <is>
          <t>ÅRJÄNG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47015-2021</t>
        </is>
      </c>
      <c r="B5124" s="1" t="n">
        <v>44446</v>
      </c>
      <c r="C5124" s="1" t="n">
        <v>45736</v>
      </c>
      <c r="D5124" t="inlineStr">
        <is>
          <t>VÄRMLANDS LÄN</t>
        </is>
      </c>
      <c r="E5124" t="inlineStr">
        <is>
          <t>ÅRJÄNG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47033-2021</t>
        </is>
      </c>
      <c r="B5125" s="1" t="n">
        <v>44446</v>
      </c>
      <c r="C5125" s="1" t="n">
        <v>45736</v>
      </c>
      <c r="D5125" t="inlineStr">
        <is>
          <t>VÄRMLANDS LÄN</t>
        </is>
      </c>
      <c r="E5125" t="inlineStr">
        <is>
          <t>ÅRJÄNG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47041-2021</t>
        </is>
      </c>
      <c r="B5126" s="1" t="n">
        <v>44446</v>
      </c>
      <c r="C5126" s="1" t="n">
        <v>45736</v>
      </c>
      <c r="D5126" t="inlineStr">
        <is>
          <t>VÄRMLANDS LÄN</t>
        </is>
      </c>
      <c r="E5126" t="inlineStr">
        <is>
          <t>KARLSTAD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46994-2021</t>
        </is>
      </c>
      <c r="B5127" s="1" t="n">
        <v>44446</v>
      </c>
      <c r="C5127" s="1" t="n">
        <v>45736</v>
      </c>
      <c r="D5127" t="inlineStr">
        <is>
          <t>VÄRMLANDS LÄN</t>
        </is>
      </c>
      <c r="E5127" t="inlineStr">
        <is>
          <t>ÅRJÄNG</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47011-2021</t>
        </is>
      </c>
      <c r="B5128" s="1" t="n">
        <v>44446</v>
      </c>
      <c r="C5128" s="1" t="n">
        <v>45736</v>
      </c>
      <c r="D5128" t="inlineStr">
        <is>
          <t>VÄRMLANDS LÄN</t>
        </is>
      </c>
      <c r="E5128" t="inlineStr">
        <is>
          <t>ÅRJÄNG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47026-2021</t>
        </is>
      </c>
      <c r="B5129" s="1" t="n">
        <v>44446</v>
      </c>
      <c r="C5129" s="1" t="n">
        <v>45736</v>
      </c>
      <c r="D5129" t="inlineStr">
        <is>
          <t>VÄRMLANDS LÄN</t>
        </is>
      </c>
      <c r="E5129" t="inlineStr">
        <is>
          <t>ÅRJÄNG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47055-2021</t>
        </is>
      </c>
      <c r="B5130" s="1" t="n">
        <v>44446</v>
      </c>
      <c r="C5130" s="1" t="n">
        <v>45736</v>
      </c>
      <c r="D5130" t="inlineStr">
        <is>
          <t>VÄRMLANDS LÄN</t>
        </is>
      </c>
      <c r="E5130" t="inlineStr">
        <is>
          <t>KARLSTAD</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47083-2021</t>
        </is>
      </c>
      <c r="B5131" s="1" t="n">
        <v>44446</v>
      </c>
      <c r="C5131" s="1" t="n">
        <v>45736</v>
      </c>
      <c r="D5131" t="inlineStr">
        <is>
          <t>VÄRMLANDS LÄN</t>
        </is>
      </c>
      <c r="E5131" t="inlineStr">
        <is>
          <t>TORSBY</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47134-2021</t>
        </is>
      </c>
      <c r="B5132" s="1" t="n">
        <v>44446</v>
      </c>
      <c r="C5132" s="1" t="n">
        <v>45736</v>
      </c>
      <c r="D5132" t="inlineStr">
        <is>
          <t>VÄRMLANDS LÄN</t>
        </is>
      </c>
      <c r="E5132" t="inlineStr">
        <is>
          <t>KARLSTAD</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47119-2021</t>
        </is>
      </c>
      <c r="B5133" s="1" t="n">
        <v>44446</v>
      </c>
      <c r="C5133" s="1" t="n">
        <v>45736</v>
      </c>
      <c r="D5133" t="inlineStr">
        <is>
          <t>VÄRMLANDS LÄN</t>
        </is>
      </c>
      <c r="E5133" t="inlineStr">
        <is>
          <t>ARVIKA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47223-2021</t>
        </is>
      </c>
      <c r="B5134" s="1" t="n">
        <v>44446</v>
      </c>
      <c r="C5134" s="1" t="n">
        <v>45736</v>
      </c>
      <c r="D5134" t="inlineStr">
        <is>
          <t>VÄRMLANDS LÄN</t>
        </is>
      </c>
      <c r="E5134" t="inlineStr">
        <is>
          <t>ÅRJÄNG</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47231-2021</t>
        </is>
      </c>
      <c r="B5135" s="1" t="n">
        <v>44446</v>
      </c>
      <c r="C5135" s="1" t="n">
        <v>45736</v>
      </c>
      <c r="D5135" t="inlineStr">
        <is>
          <t>VÄRMLANDS LÄN</t>
        </is>
      </c>
      <c r="E5135" t="inlineStr">
        <is>
          <t>ÅRJÄNG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47287-2021</t>
        </is>
      </c>
      <c r="B5136" s="1" t="n">
        <v>44446</v>
      </c>
      <c r="C5136" s="1" t="n">
        <v>45736</v>
      </c>
      <c r="D5136" t="inlineStr">
        <is>
          <t>VÄRMLANDS LÄN</t>
        </is>
      </c>
      <c r="E5136" t="inlineStr">
        <is>
          <t>ÅRJÄNG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47013-2021</t>
        </is>
      </c>
      <c r="B5137" s="1" t="n">
        <v>44446</v>
      </c>
      <c r="C5137" s="1" t="n">
        <v>45736</v>
      </c>
      <c r="D5137" t="inlineStr">
        <is>
          <t>VÄRMLANDS LÄN</t>
        </is>
      </c>
      <c r="E5137" t="inlineStr">
        <is>
          <t>ÅRJÄNG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47215-2021</t>
        </is>
      </c>
      <c r="B5138" s="1" t="n">
        <v>44446</v>
      </c>
      <c r="C5138" s="1" t="n">
        <v>45736</v>
      </c>
      <c r="D5138" t="inlineStr">
        <is>
          <t>VÄRMLANDS LÄN</t>
        </is>
      </c>
      <c r="E5138" t="inlineStr">
        <is>
          <t>ÅRJÄNG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47230-2021</t>
        </is>
      </c>
      <c r="B5139" s="1" t="n">
        <v>44446</v>
      </c>
      <c r="C5139" s="1" t="n">
        <v>45736</v>
      </c>
      <c r="D5139" t="inlineStr">
        <is>
          <t>VÄRMLANDS LÄN</t>
        </is>
      </c>
      <c r="E5139" t="inlineStr">
        <is>
          <t>ÅRJÄNG</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47285-2021</t>
        </is>
      </c>
      <c r="B5140" s="1" t="n">
        <v>44446</v>
      </c>
      <c r="C5140" s="1" t="n">
        <v>45736</v>
      </c>
      <c r="D5140" t="inlineStr">
        <is>
          <t>VÄRMLANDS LÄN</t>
        </is>
      </c>
      <c r="E5140" t="inlineStr">
        <is>
          <t>KARLSTAD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47235-2021</t>
        </is>
      </c>
      <c r="B5141" s="1" t="n">
        <v>44446</v>
      </c>
      <c r="C5141" s="1" t="n">
        <v>45736</v>
      </c>
      <c r="D5141" t="inlineStr">
        <is>
          <t>VÄRMLANDS LÄN</t>
        </is>
      </c>
      <c r="E5141" t="inlineStr">
        <is>
          <t>ÅRJÄNG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47293-2021</t>
        </is>
      </c>
      <c r="B5142" s="1" t="n">
        <v>44446</v>
      </c>
      <c r="C5142" s="1" t="n">
        <v>45736</v>
      </c>
      <c r="D5142" t="inlineStr">
        <is>
          <t>VÄRMLANDS LÄN</t>
        </is>
      </c>
      <c r="E5142" t="inlineStr">
        <is>
          <t>ÅRJÄNG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47098-2021</t>
        </is>
      </c>
      <c r="B5143" s="1" t="n">
        <v>44446</v>
      </c>
      <c r="C5143" s="1" t="n">
        <v>45736</v>
      </c>
      <c r="D5143" t="inlineStr">
        <is>
          <t>VÄRMLANDS LÄN</t>
        </is>
      </c>
      <c r="E5143" t="inlineStr">
        <is>
          <t>TORSBY</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47228-2021</t>
        </is>
      </c>
      <c r="B5144" s="1" t="n">
        <v>44446</v>
      </c>
      <c r="C5144" s="1" t="n">
        <v>45736</v>
      </c>
      <c r="D5144" t="inlineStr">
        <is>
          <t>VÄRMLANDS LÄN</t>
        </is>
      </c>
      <c r="E5144" t="inlineStr">
        <is>
          <t>ÅRJÄNG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47242-2021</t>
        </is>
      </c>
      <c r="B5145" s="1" t="n">
        <v>44446</v>
      </c>
      <c r="C5145" s="1" t="n">
        <v>45736</v>
      </c>
      <c r="D5145" t="inlineStr">
        <is>
          <t>VÄRMLANDS LÄN</t>
        </is>
      </c>
      <c r="E5145" t="inlineStr">
        <is>
          <t>ÅRJÄNG</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47352-2021</t>
        </is>
      </c>
      <c r="B5146" s="1" t="n">
        <v>44447</v>
      </c>
      <c r="C5146" s="1" t="n">
        <v>45736</v>
      </c>
      <c r="D5146" t="inlineStr">
        <is>
          <t>VÄRMLANDS LÄN</t>
        </is>
      </c>
      <c r="E5146" t="inlineStr">
        <is>
          <t>KARLSTAD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47271-2021</t>
        </is>
      </c>
      <c r="B5147" s="1" t="n">
        <v>44447</v>
      </c>
      <c r="C5147" s="1" t="n">
        <v>45736</v>
      </c>
      <c r="D5147" t="inlineStr">
        <is>
          <t>VÄRMLANDS LÄN</t>
        </is>
      </c>
      <c r="E5147" t="inlineStr">
        <is>
          <t>TORSBY</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47299-2021</t>
        </is>
      </c>
      <c r="B5148" s="1" t="n">
        <v>44447</v>
      </c>
      <c r="C5148" s="1" t="n">
        <v>45736</v>
      </c>
      <c r="D5148" t="inlineStr">
        <is>
          <t>VÄRMLANDS LÄN</t>
        </is>
      </c>
      <c r="E5148" t="inlineStr">
        <is>
          <t>TORSBY</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47266-2021</t>
        </is>
      </c>
      <c r="B5149" s="1" t="n">
        <v>44447</v>
      </c>
      <c r="C5149" s="1" t="n">
        <v>45736</v>
      </c>
      <c r="D5149" t="inlineStr">
        <is>
          <t>VÄRMLANDS LÄN</t>
        </is>
      </c>
      <c r="E5149" t="inlineStr">
        <is>
          <t>SUNNE</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47313-2021</t>
        </is>
      </c>
      <c r="B5150" s="1" t="n">
        <v>44447</v>
      </c>
      <c r="C5150" s="1" t="n">
        <v>45736</v>
      </c>
      <c r="D5150" t="inlineStr">
        <is>
          <t>VÄRMLANDS LÄN</t>
        </is>
      </c>
      <c r="E5150" t="inlineStr">
        <is>
          <t>SUNNE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47355-2021</t>
        </is>
      </c>
      <c r="B5151" s="1" t="n">
        <v>44447</v>
      </c>
      <c r="C5151" s="1" t="n">
        <v>45736</v>
      </c>
      <c r="D5151" t="inlineStr">
        <is>
          <t>VÄRMLANDS LÄN</t>
        </is>
      </c>
      <c r="E5151" t="inlineStr">
        <is>
          <t>SUNNE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47360-2021</t>
        </is>
      </c>
      <c r="B5152" s="1" t="n">
        <v>44447</v>
      </c>
      <c r="C5152" s="1" t="n">
        <v>45736</v>
      </c>
      <c r="D5152" t="inlineStr">
        <is>
          <t>VÄRMLANDS LÄN</t>
        </is>
      </c>
      <c r="E5152" t="inlineStr">
        <is>
          <t>ÅRJÄNG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47431-2021</t>
        </is>
      </c>
      <c r="B5153" s="1" t="n">
        <v>44447</v>
      </c>
      <c r="C5153" s="1" t="n">
        <v>45736</v>
      </c>
      <c r="D5153" t="inlineStr">
        <is>
          <t>VÄRMLANDS LÄN</t>
        </is>
      </c>
      <c r="E5153" t="inlineStr">
        <is>
          <t>FORSHAGA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47436-2021</t>
        </is>
      </c>
      <c r="B5154" s="1" t="n">
        <v>44447</v>
      </c>
      <c r="C5154" s="1" t="n">
        <v>45736</v>
      </c>
      <c r="D5154" t="inlineStr">
        <is>
          <t>VÄRMLANDS LÄN</t>
        </is>
      </c>
      <c r="E5154" t="inlineStr">
        <is>
          <t>FORSHAGA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47653-2021</t>
        </is>
      </c>
      <c r="B5155" s="1" t="n">
        <v>44448</v>
      </c>
      <c r="C5155" s="1" t="n">
        <v>45736</v>
      </c>
      <c r="D5155" t="inlineStr">
        <is>
          <t>VÄRMLANDS LÄN</t>
        </is>
      </c>
      <c r="E5155" t="inlineStr">
        <is>
          <t>ÅRJÄNG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47642-2021</t>
        </is>
      </c>
      <c r="B5156" s="1" t="n">
        <v>44448</v>
      </c>
      <c r="C5156" s="1" t="n">
        <v>45736</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47602-2021</t>
        </is>
      </c>
      <c r="B5157" s="1" t="n">
        <v>44448</v>
      </c>
      <c r="C5157" s="1" t="n">
        <v>45736</v>
      </c>
      <c r="D5157" t="inlineStr">
        <is>
          <t>VÄRMLANDS LÄN</t>
        </is>
      </c>
      <c r="E5157" t="inlineStr">
        <is>
          <t>TORSBY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47647-2021</t>
        </is>
      </c>
      <c r="B5158" s="1" t="n">
        <v>44448</v>
      </c>
      <c r="C5158" s="1" t="n">
        <v>45736</v>
      </c>
      <c r="D5158" t="inlineStr">
        <is>
          <t>VÄRMLANDS LÄN</t>
        </is>
      </c>
      <c r="E5158" t="inlineStr">
        <is>
          <t>ÅRJÄNG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47673-2021</t>
        </is>
      </c>
      <c r="B5159" s="1" t="n">
        <v>44448</v>
      </c>
      <c r="C5159" s="1" t="n">
        <v>45736</v>
      </c>
      <c r="D5159" t="inlineStr">
        <is>
          <t>VÄRMLANDS LÄN</t>
        </is>
      </c>
      <c r="E5159" t="inlineStr">
        <is>
          <t>FILIPSTAD</t>
        </is>
      </c>
      <c r="F5159" t="inlineStr">
        <is>
          <t>Bergvik skog väst AB</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47724-2021</t>
        </is>
      </c>
      <c r="B5160" s="1" t="n">
        <v>44448</v>
      </c>
      <c r="C5160" s="1" t="n">
        <v>45736</v>
      </c>
      <c r="D5160" t="inlineStr">
        <is>
          <t>VÄRMLANDS LÄN</t>
        </is>
      </c>
      <c r="E5160" t="inlineStr">
        <is>
          <t>SUNNE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47776-2021</t>
        </is>
      </c>
      <c r="B5161" s="1" t="n">
        <v>44448</v>
      </c>
      <c r="C5161" s="1" t="n">
        <v>45736</v>
      </c>
      <c r="D5161" t="inlineStr">
        <is>
          <t>VÄRMLANDS LÄN</t>
        </is>
      </c>
      <c r="E5161" t="inlineStr">
        <is>
          <t>SÄFFLE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47777-2021</t>
        </is>
      </c>
      <c r="B5162" s="1" t="n">
        <v>44448</v>
      </c>
      <c r="C5162" s="1" t="n">
        <v>45736</v>
      </c>
      <c r="D5162" t="inlineStr">
        <is>
          <t>VÄRMLANDS LÄN</t>
        </is>
      </c>
      <c r="E5162" t="inlineStr">
        <is>
          <t>SÄFFLE</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47819-2021</t>
        </is>
      </c>
      <c r="B5163" s="1" t="n">
        <v>44448</v>
      </c>
      <c r="C5163" s="1" t="n">
        <v>45736</v>
      </c>
      <c r="D5163" t="inlineStr">
        <is>
          <t>VÄRMLANDS LÄN</t>
        </is>
      </c>
      <c r="E5163" t="inlineStr">
        <is>
          <t>SÄFFLE</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47952-2021</t>
        </is>
      </c>
      <c r="B5164" s="1" t="n">
        <v>44448</v>
      </c>
      <c r="C5164" s="1" t="n">
        <v>45736</v>
      </c>
      <c r="D5164" t="inlineStr">
        <is>
          <t>VÄRMLANDS LÄN</t>
        </is>
      </c>
      <c r="E5164" t="inlineStr">
        <is>
          <t>KRISTINEHAMN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47950-2021</t>
        </is>
      </c>
      <c r="B5165" s="1" t="n">
        <v>44448</v>
      </c>
      <c r="C5165" s="1" t="n">
        <v>45736</v>
      </c>
      <c r="D5165" t="inlineStr">
        <is>
          <t>VÄRMLANDS LÄN</t>
        </is>
      </c>
      <c r="E5165" t="inlineStr">
        <is>
          <t>KRISTINEHAMN</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47951-2021</t>
        </is>
      </c>
      <c r="B5166" s="1" t="n">
        <v>44448</v>
      </c>
      <c r="C5166" s="1" t="n">
        <v>45736</v>
      </c>
      <c r="D5166" t="inlineStr">
        <is>
          <t>VÄRMLANDS LÄN</t>
        </is>
      </c>
      <c r="E5166" t="inlineStr">
        <is>
          <t>KRISTINEHAMN</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47949-2021</t>
        </is>
      </c>
      <c r="B5167" s="1" t="n">
        <v>44448</v>
      </c>
      <c r="C5167" s="1" t="n">
        <v>45736</v>
      </c>
      <c r="D5167" t="inlineStr">
        <is>
          <t>VÄRMLANDS LÄN</t>
        </is>
      </c>
      <c r="E5167" t="inlineStr">
        <is>
          <t>KRISTINEHAMN</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47959-2021</t>
        </is>
      </c>
      <c r="B5168" s="1" t="n">
        <v>44449</v>
      </c>
      <c r="C5168" s="1" t="n">
        <v>45736</v>
      </c>
      <c r="D5168" t="inlineStr">
        <is>
          <t>VÄRMLANDS LÄN</t>
        </is>
      </c>
      <c r="E5168" t="inlineStr">
        <is>
          <t>SUNNE</t>
        </is>
      </c>
      <c r="F5168" t="inlineStr">
        <is>
          <t>Kommuner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47960-2021</t>
        </is>
      </c>
      <c r="B5169" s="1" t="n">
        <v>44449</v>
      </c>
      <c r="C5169" s="1" t="n">
        <v>45736</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47958-2021</t>
        </is>
      </c>
      <c r="B5170" s="1" t="n">
        <v>44449</v>
      </c>
      <c r="C5170" s="1" t="n">
        <v>45736</v>
      </c>
      <c r="D5170" t="inlineStr">
        <is>
          <t>VÄRMLANDS LÄN</t>
        </is>
      </c>
      <c r="E5170" t="inlineStr">
        <is>
          <t>SUNNE</t>
        </is>
      </c>
      <c r="F5170" t="inlineStr">
        <is>
          <t>Kommuner</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47962-2021</t>
        </is>
      </c>
      <c r="B5171" s="1" t="n">
        <v>44449</v>
      </c>
      <c r="C5171" s="1" t="n">
        <v>45736</v>
      </c>
      <c r="D5171" t="inlineStr">
        <is>
          <t>VÄRMLANDS LÄN</t>
        </is>
      </c>
      <c r="E5171" t="inlineStr">
        <is>
          <t>SUNNE</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47956-2021</t>
        </is>
      </c>
      <c r="B5172" s="1" t="n">
        <v>44449</v>
      </c>
      <c r="C5172" s="1" t="n">
        <v>45736</v>
      </c>
      <c r="D5172" t="inlineStr">
        <is>
          <t>VÄRMLANDS LÄN</t>
        </is>
      </c>
      <c r="E5172" t="inlineStr">
        <is>
          <t>KARLSTAD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47961-2021</t>
        </is>
      </c>
      <c r="B5173" s="1" t="n">
        <v>44449</v>
      </c>
      <c r="C5173" s="1" t="n">
        <v>45736</v>
      </c>
      <c r="D5173" t="inlineStr">
        <is>
          <t>VÄRMLANDS LÄN</t>
        </is>
      </c>
      <c r="E5173" t="inlineStr">
        <is>
          <t>SUNNE</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47968-2021</t>
        </is>
      </c>
      <c r="B5174" s="1" t="n">
        <v>44449</v>
      </c>
      <c r="C5174" s="1" t="n">
        <v>45736</v>
      </c>
      <c r="D5174" t="inlineStr">
        <is>
          <t>VÄRMLANDS LÄN</t>
        </is>
      </c>
      <c r="E5174" t="inlineStr">
        <is>
          <t>HAGFORS</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48029-2021</t>
        </is>
      </c>
      <c r="B5175" s="1" t="n">
        <v>44449</v>
      </c>
      <c r="C5175" s="1" t="n">
        <v>45736</v>
      </c>
      <c r="D5175" t="inlineStr">
        <is>
          <t>VÄRMLANDS LÄN</t>
        </is>
      </c>
      <c r="E5175" t="inlineStr">
        <is>
          <t>HAGFORS</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48101-2021</t>
        </is>
      </c>
      <c r="B5176" s="1" t="n">
        <v>44449</v>
      </c>
      <c r="C5176" s="1" t="n">
        <v>45736</v>
      </c>
      <c r="D5176" t="inlineStr">
        <is>
          <t>VÄRMLANDS LÄN</t>
        </is>
      </c>
      <c r="E5176" t="inlineStr">
        <is>
          <t>FILIPSTAD</t>
        </is>
      </c>
      <c r="F5176" t="inlineStr">
        <is>
          <t>Bergvik skog väst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48159-2021</t>
        </is>
      </c>
      <c r="B5177" s="1" t="n">
        <v>44449</v>
      </c>
      <c r="C5177" s="1" t="n">
        <v>45736</v>
      </c>
      <c r="D5177" t="inlineStr">
        <is>
          <t>VÄRMLANDS LÄN</t>
        </is>
      </c>
      <c r="E5177" t="inlineStr">
        <is>
          <t>TORSBY</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48179-2021</t>
        </is>
      </c>
      <c r="B5178" s="1" t="n">
        <v>44449</v>
      </c>
      <c r="C5178" s="1" t="n">
        <v>45736</v>
      </c>
      <c r="D5178" t="inlineStr">
        <is>
          <t>VÄRMLANDS LÄN</t>
        </is>
      </c>
      <c r="E5178" t="inlineStr">
        <is>
          <t>SÄFFLE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48188-2021</t>
        </is>
      </c>
      <c r="B5179" s="1" t="n">
        <v>44449</v>
      </c>
      <c r="C5179" s="1" t="n">
        <v>45736</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48205-2021</t>
        </is>
      </c>
      <c r="B5180" s="1" t="n">
        <v>44449</v>
      </c>
      <c r="C5180" s="1" t="n">
        <v>45736</v>
      </c>
      <c r="D5180" t="inlineStr">
        <is>
          <t>VÄRMLANDS LÄN</t>
        </is>
      </c>
      <c r="E5180" t="inlineStr">
        <is>
          <t>KRISTINEHAMN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48137-2021</t>
        </is>
      </c>
      <c r="B5181" s="1" t="n">
        <v>44449</v>
      </c>
      <c r="C5181" s="1" t="n">
        <v>45736</v>
      </c>
      <c r="D5181" t="inlineStr">
        <is>
          <t>VÄRMLANDS LÄN</t>
        </is>
      </c>
      <c r="E5181" t="inlineStr">
        <is>
          <t>SÄFFLE</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48237-2021</t>
        </is>
      </c>
      <c r="B5182" s="1" t="n">
        <v>44449</v>
      </c>
      <c r="C5182" s="1" t="n">
        <v>45736</v>
      </c>
      <c r="D5182" t="inlineStr">
        <is>
          <t>VÄRMLANDS LÄN</t>
        </is>
      </c>
      <c r="E5182" t="inlineStr">
        <is>
          <t>SUNNE</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48206-2021</t>
        </is>
      </c>
      <c r="B5183" s="1" t="n">
        <v>44449</v>
      </c>
      <c r="C5183" s="1" t="n">
        <v>45736</v>
      </c>
      <c r="D5183" t="inlineStr">
        <is>
          <t>VÄRMLANDS LÄN</t>
        </is>
      </c>
      <c r="E5183" t="inlineStr">
        <is>
          <t>KRISTINEHAMN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48324-2021</t>
        </is>
      </c>
      <c r="B5184" s="1" t="n">
        <v>44450</v>
      </c>
      <c r="C5184" s="1" t="n">
        <v>45736</v>
      </c>
      <c r="D5184" t="inlineStr">
        <is>
          <t>VÄRMLANDS LÄN</t>
        </is>
      </c>
      <c r="E5184" t="inlineStr">
        <is>
          <t>TORSBY</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48309-2021</t>
        </is>
      </c>
      <c r="B5185" s="1" t="n">
        <v>44450</v>
      </c>
      <c r="C5185" s="1" t="n">
        <v>45736</v>
      </c>
      <c r="D5185" t="inlineStr">
        <is>
          <t>VÄRMLANDS LÄN</t>
        </is>
      </c>
      <c r="E5185" t="inlineStr">
        <is>
          <t>STORFORS</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48322-2021</t>
        </is>
      </c>
      <c r="B5186" s="1" t="n">
        <v>44450</v>
      </c>
      <c r="C5186" s="1" t="n">
        <v>45736</v>
      </c>
      <c r="D5186" t="inlineStr">
        <is>
          <t>VÄRMLANDS LÄN</t>
        </is>
      </c>
      <c r="E5186" t="inlineStr">
        <is>
          <t>SÄFFLE</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48334-2021</t>
        </is>
      </c>
      <c r="B5187" s="1" t="n">
        <v>44451</v>
      </c>
      <c r="C5187" s="1" t="n">
        <v>45736</v>
      </c>
      <c r="D5187" t="inlineStr">
        <is>
          <t>VÄRMLANDS LÄN</t>
        </is>
      </c>
      <c r="E5187" t="inlineStr">
        <is>
          <t>EDA</t>
        </is>
      </c>
      <c r="G5187" t="n">
        <v>12.4</v>
      </c>
      <c r="H5187" t="n">
        <v>0</v>
      </c>
      <c r="I5187" t="n">
        <v>0</v>
      </c>
      <c r="J5187" t="n">
        <v>0</v>
      </c>
      <c r="K5187" t="n">
        <v>0</v>
      </c>
      <c r="L5187" t="n">
        <v>0</v>
      </c>
      <c r="M5187" t="n">
        <v>0</v>
      </c>
      <c r="N5187" t="n">
        <v>0</v>
      </c>
      <c r="O5187" t="n">
        <v>0</v>
      </c>
      <c r="P5187" t="n">
        <v>0</v>
      </c>
      <c r="Q5187" t="n">
        <v>0</v>
      </c>
      <c r="R5187" s="2" t="inlineStr"/>
    </row>
    <row r="5188" ht="15" customHeight="1">
      <c r="A5188" t="inlineStr">
        <is>
          <t>A 48391-2021</t>
        </is>
      </c>
      <c r="B5188" s="1" t="n">
        <v>44452</v>
      </c>
      <c r="C5188" s="1" t="n">
        <v>45736</v>
      </c>
      <c r="D5188" t="inlineStr">
        <is>
          <t>VÄRMLANDS LÄN</t>
        </is>
      </c>
      <c r="E5188" t="inlineStr">
        <is>
          <t>ÅRJÄNG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48389-2021</t>
        </is>
      </c>
      <c r="B5189" s="1" t="n">
        <v>44452</v>
      </c>
      <c r="C5189" s="1" t="n">
        <v>45736</v>
      </c>
      <c r="D5189" t="inlineStr">
        <is>
          <t>VÄRMLANDS LÄN</t>
        </is>
      </c>
      <c r="E5189" t="inlineStr">
        <is>
          <t>ÅRJÄNG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48416-2021</t>
        </is>
      </c>
      <c r="B5190" s="1" t="n">
        <v>44452</v>
      </c>
      <c r="C5190" s="1" t="n">
        <v>45736</v>
      </c>
      <c r="D5190" t="inlineStr">
        <is>
          <t>VÄRMLANDS LÄN</t>
        </is>
      </c>
      <c r="E5190" t="inlineStr">
        <is>
          <t>KRISTINEHAMN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48413-2021</t>
        </is>
      </c>
      <c r="B5191" s="1" t="n">
        <v>44452</v>
      </c>
      <c r="C5191" s="1" t="n">
        <v>45736</v>
      </c>
      <c r="D5191" t="inlineStr">
        <is>
          <t>VÄRMLANDS LÄN</t>
        </is>
      </c>
      <c r="E5191" t="inlineStr">
        <is>
          <t>EDA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48422-2021</t>
        </is>
      </c>
      <c r="B5192" s="1" t="n">
        <v>44452</v>
      </c>
      <c r="C5192" s="1" t="n">
        <v>45736</v>
      </c>
      <c r="D5192" t="inlineStr">
        <is>
          <t>VÄRMLANDS LÄN</t>
        </is>
      </c>
      <c r="E5192" t="inlineStr">
        <is>
          <t>SUNNE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48465-2021</t>
        </is>
      </c>
      <c r="B5193" s="1" t="n">
        <v>44452</v>
      </c>
      <c r="C5193" s="1" t="n">
        <v>45736</v>
      </c>
      <c r="D5193" t="inlineStr">
        <is>
          <t>VÄRMLANDS LÄN</t>
        </is>
      </c>
      <c r="E5193" t="inlineStr">
        <is>
          <t>FORSHAGA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48588-2021</t>
        </is>
      </c>
      <c r="B5194" s="1" t="n">
        <v>44452</v>
      </c>
      <c r="C5194" s="1" t="n">
        <v>45736</v>
      </c>
      <c r="D5194" t="inlineStr">
        <is>
          <t>VÄRMLANDS LÄN</t>
        </is>
      </c>
      <c r="E5194" t="inlineStr">
        <is>
          <t>KARLSTAD</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48517-2021</t>
        </is>
      </c>
      <c r="B5195" s="1" t="n">
        <v>44452</v>
      </c>
      <c r="C5195" s="1" t="n">
        <v>45736</v>
      </c>
      <c r="D5195" t="inlineStr">
        <is>
          <t>VÄRMLANDS LÄN</t>
        </is>
      </c>
      <c r="E5195" t="inlineStr">
        <is>
          <t>GRUMS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48577-2021</t>
        </is>
      </c>
      <c r="B5196" s="1" t="n">
        <v>44452</v>
      </c>
      <c r="C5196" s="1" t="n">
        <v>45736</v>
      </c>
      <c r="D5196" t="inlineStr">
        <is>
          <t>VÄRMLANDS LÄN</t>
        </is>
      </c>
      <c r="E5196" t="inlineStr">
        <is>
          <t>KARLSTAD</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48597-2021</t>
        </is>
      </c>
      <c r="B5197" s="1" t="n">
        <v>44452</v>
      </c>
      <c r="C5197" s="1" t="n">
        <v>45736</v>
      </c>
      <c r="D5197" t="inlineStr">
        <is>
          <t>VÄRMLANDS LÄN</t>
        </is>
      </c>
      <c r="E5197" t="inlineStr">
        <is>
          <t>KARLSTAD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48635-2021</t>
        </is>
      </c>
      <c r="B5198" s="1" t="n">
        <v>44452</v>
      </c>
      <c r="C5198" s="1" t="n">
        <v>45736</v>
      </c>
      <c r="D5198" t="inlineStr">
        <is>
          <t>VÄRMLANDS LÄN</t>
        </is>
      </c>
      <c r="E5198" t="inlineStr">
        <is>
          <t>HAGFORS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48712-2021</t>
        </is>
      </c>
      <c r="B5199" s="1" t="n">
        <v>44452</v>
      </c>
      <c r="C5199" s="1" t="n">
        <v>45736</v>
      </c>
      <c r="D5199" t="inlineStr">
        <is>
          <t>VÄRMLANDS LÄN</t>
        </is>
      </c>
      <c r="E5199" t="inlineStr">
        <is>
          <t>SUNNE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48620-2021</t>
        </is>
      </c>
      <c r="B5200" s="1" t="n">
        <v>44452</v>
      </c>
      <c r="C5200" s="1" t="n">
        <v>45736</v>
      </c>
      <c r="D5200" t="inlineStr">
        <is>
          <t>VÄRMLANDS LÄN</t>
        </is>
      </c>
      <c r="E5200" t="inlineStr">
        <is>
          <t>KARLSTAD</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48657-2021</t>
        </is>
      </c>
      <c r="B5201" s="1" t="n">
        <v>44452</v>
      </c>
      <c r="C5201" s="1" t="n">
        <v>45736</v>
      </c>
      <c r="D5201" t="inlineStr">
        <is>
          <t>VÄRMLANDS LÄN</t>
        </is>
      </c>
      <c r="E5201" t="inlineStr">
        <is>
          <t>TORSBY</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48727-2021</t>
        </is>
      </c>
      <c r="B5202" s="1" t="n">
        <v>44452</v>
      </c>
      <c r="C5202" s="1" t="n">
        <v>45736</v>
      </c>
      <c r="D5202" t="inlineStr">
        <is>
          <t>VÄRMLANDS LÄN</t>
        </is>
      </c>
      <c r="E5202" t="inlineStr">
        <is>
          <t>ARVIKA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48771-2021</t>
        </is>
      </c>
      <c r="B5203" s="1" t="n">
        <v>44452</v>
      </c>
      <c r="C5203" s="1" t="n">
        <v>45736</v>
      </c>
      <c r="D5203" t="inlineStr">
        <is>
          <t>VÄRMLANDS LÄN</t>
        </is>
      </c>
      <c r="E5203" t="inlineStr">
        <is>
          <t>TORSBY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48604-2021</t>
        </is>
      </c>
      <c r="B5204" s="1" t="n">
        <v>44452</v>
      </c>
      <c r="C5204" s="1" t="n">
        <v>45736</v>
      </c>
      <c r="D5204" t="inlineStr">
        <is>
          <t>VÄRMLANDS LÄN</t>
        </is>
      </c>
      <c r="E5204" t="inlineStr">
        <is>
          <t>HAGFORS</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48633-2021</t>
        </is>
      </c>
      <c r="B5205" s="1" t="n">
        <v>44452</v>
      </c>
      <c r="C5205" s="1" t="n">
        <v>45736</v>
      </c>
      <c r="D5205" t="inlineStr">
        <is>
          <t>VÄRMLANDS LÄN</t>
        </is>
      </c>
      <c r="E5205" t="inlineStr">
        <is>
          <t>KARLSTAD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48647-2021</t>
        </is>
      </c>
      <c r="B5206" s="1" t="n">
        <v>44452</v>
      </c>
      <c r="C5206" s="1" t="n">
        <v>45736</v>
      </c>
      <c r="D5206" t="inlineStr">
        <is>
          <t>VÄRMLANDS LÄN</t>
        </is>
      </c>
      <c r="E5206" t="inlineStr">
        <is>
          <t>SUNNE</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48742-2021</t>
        </is>
      </c>
      <c r="B5207" s="1" t="n">
        <v>44452</v>
      </c>
      <c r="C5207" s="1" t="n">
        <v>45736</v>
      </c>
      <c r="D5207" t="inlineStr">
        <is>
          <t>VÄRMLANDS LÄN</t>
        </is>
      </c>
      <c r="E5207" t="inlineStr">
        <is>
          <t>KIL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48945-2021</t>
        </is>
      </c>
      <c r="B5208" s="1" t="n">
        <v>44453</v>
      </c>
      <c r="C5208" s="1" t="n">
        <v>45736</v>
      </c>
      <c r="D5208" t="inlineStr">
        <is>
          <t>VÄRMLANDS LÄN</t>
        </is>
      </c>
      <c r="E5208" t="inlineStr">
        <is>
          <t>SUNNE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48995-2021</t>
        </is>
      </c>
      <c r="B5209" s="1" t="n">
        <v>44453</v>
      </c>
      <c r="C5209" s="1" t="n">
        <v>45736</v>
      </c>
      <c r="D5209" t="inlineStr">
        <is>
          <t>VÄRMLANDS LÄN</t>
        </is>
      </c>
      <c r="E5209" t="inlineStr">
        <is>
          <t>ARVIKA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49008-2021</t>
        </is>
      </c>
      <c r="B5210" s="1" t="n">
        <v>44453</v>
      </c>
      <c r="C5210" s="1" t="n">
        <v>45736</v>
      </c>
      <c r="D5210" t="inlineStr">
        <is>
          <t>VÄRMLANDS LÄN</t>
        </is>
      </c>
      <c r="E5210" t="inlineStr">
        <is>
          <t>SUNNE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49020-2021</t>
        </is>
      </c>
      <c r="B5211" s="1" t="n">
        <v>44453</v>
      </c>
      <c r="C5211" s="1" t="n">
        <v>45736</v>
      </c>
      <c r="D5211" t="inlineStr">
        <is>
          <t>VÄRMLANDS LÄN</t>
        </is>
      </c>
      <c r="E5211" t="inlineStr">
        <is>
          <t>SUNNE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49015-2021</t>
        </is>
      </c>
      <c r="B5212" s="1" t="n">
        <v>44453</v>
      </c>
      <c r="C5212" s="1" t="n">
        <v>45736</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48938-2021</t>
        </is>
      </c>
      <c r="B5213" s="1" t="n">
        <v>44453</v>
      </c>
      <c r="C5213" s="1" t="n">
        <v>45736</v>
      </c>
      <c r="D5213" t="inlineStr">
        <is>
          <t>VÄRMLANDS LÄN</t>
        </is>
      </c>
      <c r="E5213" t="inlineStr">
        <is>
          <t>KIL</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48946-2021</t>
        </is>
      </c>
      <c r="B5214" s="1" t="n">
        <v>44453</v>
      </c>
      <c r="C5214" s="1" t="n">
        <v>45736</v>
      </c>
      <c r="D5214" t="inlineStr">
        <is>
          <t>VÄRMLANDS LÄN</t>
        </is>
      </c>
      <c r="E5214" t="inlineStr">
        <is>
          <t>SÄFFLE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48967-2021</t>
        </is>
      </c>
      <c r="B5215" s="1" t="n">
        <v>44453</v>
      </c>
      <c r="C5215" s="1" t="n">
        <v>45736</v>
      </c>
      <c r="D5215" t="inlineStr">
        <is>
          <t>VÄRMLANDS LÄN</t>
        </is>
      </c>
      <c r="E5215" t="inlineStr">
        <is>
          <t>STORFORS</t>
        </is>
      </c>
      <c r="F5215" t="inlineStr">
        <is>
          <t>Bergvik skog väst AB</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48994-2021</t>
        </is>
      </c>
      <c r="B5216" s="1" t="n">
        <v>44453</v>
      </c>
      <c r="C5216" s="1" t="n">
        <v>45736</v>
      </c>
      <c r="D5216" t="inlineStr">
        <is>
          <t>VÄRMLANDS LÄN</t>
        </is>
      </c>
      <c r="E5216" t="inlineStr">
        <is>
          <t>SUNNE</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49736-2021</t>
        </is>
      </c>
      <c r="B5217" s="1" t="n">
        <v>44453</v>
      </c>
      <c r="C5217" s="1" t="n">
        <v>45736</v>
      </c>
      <c r="D5217" t="inlineStr">
        <is>
          <t>VÄRMLANDS LÄN</t>
        </is>
      </c>
      <c r="E5217" t="inlineStr">
        <is>
          <t>FILIPSTAD</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49180-2021</t>
        </is>
      </c>
      <c r="B5218" s="1" t="n">
        <v>44454</v>
      </c>
      <c r="C5218" s="1" t="n">
        <v>45736</v>
      </c>
      <c r="D5218" t="inlineStr">
        <is>
          <t>VÄRMLANDS LÄN</t>
        </is>
      </c>
      <c r="E5218" t="inlineStr">
        <is>
          <t>ÅRJÄNG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49338-2021</t>
        </is>
      </c>
      <c r="B5219" s="1" t="n">
        <v>44454</v>
      </c>
      <c r="C5219" s="1" t="n">
        <v>45736</v>
      </c>
      <c r="D5219" t="inlineStr">
        <is>
          <t>VÄRMLANDS LÄN</t>
        </is>
      </c>
      <c r="E5219" t="inlineStr">
        <is>
          <t>KRISTINEHAMN</t>
        </is>
      </c>
      <c r="G5219" t="n">
        <v>8.800000000000001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49192-2021</t>
        </is>
      </c>
      <c r="B5220" s="1" t="n">
        <v>44454</v>
      </c>
      <c r="C5220" s="1" t="n">
        <v>45736</v>
      </c>
      <c r="D5220" t="inlineStr">
        <is>
          <t>VÄRMLANDS LÄN</t>
        </is>
      </c>
      <c r="E5220" t="inlineStr">
        <is>
          <t>TORSBY</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49335-2021</t>
        </is>
      </c>
      <c r="B5221" s="1" t="n">
        <v>44454</v>
      </c>
      <c r="C5221" s="1" t="n">
        <v>45736</v>
      </c>
      <c r="D5221" t="inlineStr">
        <is>
          <t>VÄRMLANDS LÄN</t>
        </is>
      </c>
      <c r="E5221" t="inlineStr">
        <is>
          <t>KRISTINEHAMN</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49334-2021</t>
        </is>
      </c>
      <c r="B5222" s="1" t="n">
        <v>44454</v>
      </c>
      <c r="C5222" s="1" t="n">
        <v>45736</v>
      </c>
      <c r="D5222" t="inlineStr">
        <is>
          <t>VÄRMLANDS LÄN</t>
        </is>
      </c>
      <c r="E5222" t="inlineStr">
        <is>
          <t>SUNNE</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49348-2021</t>
        </is>
      </c>
      <c r="B5223" s="1" t="n">
        <v>44454</v>
      </c>
      <c r="C5223" s="1" t="n">
        <v>45736</v>
      </c>
      <c r="D5223" t="inlineStr">
        <is>
          <t>VÄRMLANDS LÄN</t>
        </is>
      </c>
      <c r="E5223" t="inlineStr">
        <is>
          <t>KRISTINEHAMN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49364-2021</t>
        </is>
      </c>
      <c r="B5224" s="1" t="n">
        <v>44454</v>
      </c>
      <c r="C5224" s="1" t="n">
        <v>45736</v>
      </c>
      <c r="D5224" t="inlineStr">
        <is>
          <t>VÄRMLANDS LÄN</t>
        </is>
      </c>
      <c r="E5224" t="inlineStr">
        <is>
          <t>SUNNE</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49343-2021</t>
        </is>
      </c>
      <c r="B5225" s="1" t="n">
        <v>44454</v>
      </c>
      <c r="C5225" s="1" t="n">
        <v>45736</v>
      </c>
      <c r="D5225" t="inlineStr">
        <is>
          <t>VÄRMLANDS LÄN</t>
        </is>
      </c>
      <c r="E5225" t="inlineStr">
        <is>
          <t>KARLSTAD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49460-2021</t>
        </is>
      </c>
      <c r="B5226" s="1" t="n">
        <v>44454</v>
      </c>
      <c r="C5226" s="1" t="n">
        <v>45736</v>
      </c>
      <c r="D5226" t="inlineStr">
        <is>
          <t>VÄRMLANDS LÄN</t>
        </is>
      </c>
      <c r="E5226" t="inlineStr">
        <is>
          <t>SÄFFLE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49617-2021</t>
        </is>
      </c>
      <c r="B5227" s="1" t="n">
        <v>44454</v>
      </c>
      <c r="C5227" s="1" t="n">
        <v>45736</v>
      </c>
      <c r="D5227" t="inlineStr">
        <is>
          <t>VÄRMLANDS LÄN</t>
        </is>
      </c>
      <c r="E5227" t="inlineStr">
        <is>
          <t>FORSHAGA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50009-2021</t>
        </is>
      </c>
      <c r="B5228" s="1" t="n">
        <v>44454</v>
      </c>
      <c r="C5228" s="1" t="n">
        <v>45736</v>
      </c>
      <c r="D5228" t="inlineStr">
        <is>
          <t>VÄRMLANDS LÄN</t>
        </is>
      </c>
      <c r="E5228" t="inlineStr">
        <is>
          <t>FILIPSTAD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49999-2021</t>
        </is>
      </c>
      <c r="B5229" s="1" t="n">
        <v>44454</v>
      </c>
      <c r="C5229" s="1" t="n">
        <v>45736</v>
      </c>
      <c r="D5229" t="inlineStr">
        <is>
          <t>VÄRMLANDS LÄN</t>
        </is>
      </c>
      <c r="E5229" t="inlineStr">
        <is>
          <t>FILIPSTAD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49714-2021</t>
        </is>
      </c>
      <c r="B5230" s="1" t="n">
        <v>44455</v>
      </c>
      <c r="C5230" s="1" t="n">
        <v>45736</v>
      </c>
      <c r="D5230" t="inlineStr">
        <is>
          <t>VÄRMLANDS LÄN</t>
        </is>
      </c>
      <c r="E5230" t="inlineStr">
        <is>
          <t>KRISTINEHAMN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49744-2021</t>
        </is>
      </c>
      <c r="B5231" s="1" t="n">
        <v>44455</v>
      </c>
      <c r="C5231" s="1" t="n">
        <v>45736</v>
      </c>
      <c r="D5231" t="inlineStr">
        <is>
          <t>VÄRMLANDS LÄN</t>
        </is>
      </c>
      <c r="E5231" t="inlineStr">
        <is>
          <t>ARVIKA</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49546-2021</t>
        </is>
      </c>
      <c r="B5232" s="1" t="n">
        <v>44455</v>
      </c>
      <c r="C5232" s="1" t="n">
        <v>45736</v>
      </c>
      <c r="D5232" t="inlineStr">
        <is>
          <t>VÄRMLANDS LÄN</t>
        </is>
      </c>
      <c r="E5232" t="inlineStr">
        <is>
          <t>HAGFORS</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49641-2021</t>
        </is>
      </c>
      <c r="B5233" s="1" t="n">
        <v>44455</v>
      </c>
      <c r="C5233" s="1" t="n">
        <v>45736</v>
      </c>
      <c r="D5233" t="inlineStr">
        <is>
          <t>VÄRMLANDS LÄN</t>
        </is>
      </c>
      <c r="E5233" t="inlineStr">
        <is>
          <t>ÅRJÄNG</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49680-2021</t>
        </is>
      </c>
      <c r="B5234" s="1" t="n">
        <v>44455</v>
      </c>
      <c r="C5234" s="1" t="n">
        <v>45736</v>
      </c>
      <c r="D5234" t="inlineStr">
        <is>
          <t>VÄRMLANDS LÄN</t>
        </is>
      </c>
      <c r="E5234" t="inlineStr">
        <is>
          <t>ÅRJÄNG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49759-2021</t>
        </is>
      </c>
      <c r="B5235" s="1" t="n">
        <v>44455</v>
      </c>
      <c r="C5235" s="1" t="n">
        <v>45736</v>
      </c>
      <c r="D5235" t="inlineStr">
        <is>
          <t>VÄRMLANDS LÄN</t>
        </is>
      </c>
      <c r="E5235" t="inlineStr">
        <is>
          <t>ARVIKA</t>
        </is>
      </c>
      <c r="F5235" t="inlineStr">
        <is>
          <t>Bergvik skog väst AB</t>
        </is>
      </c>
      <c r="G5235" t="n">
        <v>12.5</v>
      </c>
      <c r="H5235" t="n">
        <v>0</v>
      </c>
      <c r="I5235" t="n">
        <v>0</v>
      </c>
      <c r="J5235" t="n">
        <v>0</v>
      </c>
      <c r="K5235" t="n">
        <v>0</v>
      </c>
      <c r="L5235" t="n">
        <v>0</v>
      </c>
      <c r="M5235" t="n">
        <v>0</v>
      </c>
      <c r="N5235" t="n">
        <v>0</v>
      </c>
      <c r="O5235" t="n">
        <v>0</v>
      </c>
      <c r="P5235" t="n">
        <v>0</v>
      </c>
      <c r="Q5235" t="n">
        <v>0</v>
      </c>
      <c r="R5235" s="2" t="inlineStr"/>
    </row>
    <row r="5236" ht="15" customHeight="1">
      <c r="A5236" t="inlineStr">
        <is>
          <t>A 49673-2021</t>
        </is>
      </c>
      <c r="B5236" s="1" t="n">
        <v>44455</v>
      </c>
      <c r="C5236" s="1" t="n">
        <v>45736</v>
      </c>
      <c r="D5236" t="inlineStr">
        <is>
          <t>VÄRMLANDS LÄN</t>
        </is>
      </c>
      <c r="E5236" t="inlineStr">
        <is>
          <t>ARVIKA</t>
        </is>
      </c>
      <c r="F5236" t="inlineStr">
        <is>
          <t>Bergvik skog väst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49713-2021</t>
        </is>
      </c>
      <c r="B5237" s="1" t="n">
        <v>44455</v>
      </c>
      <c r="C5237" s="1" t="n">
        <v>45736</v>
      </c>
      <c r="D5237" t="inlineStr">
        <is>
          <t>VÄRMLANDS LÄN</t>
        </is>
      </c>
      <c r="E5237" t="inlineStr">
        <is>
          <t>ARVIKA</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49887-2021</t>
        </is>
      </c>
      <c r="B5238" s="1" t="n">
        <v>44455</v>
      </c>
      <c r="C5238" s="1" t="n">
        <v>45736</v>
      </c>
      <c r="D5238" t="inlineStr">
        <is>
          <t>VÄRMLANDS LÄN</t>
        </is>
      </c>
      <c r="E5238" t="inlineStr">
        <is>
          <t>SUNNE</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49785-2021</t>
        </is>
      </c>
      <c r="B5239" s="1" t="n">
        <v>44455</v>
      </c>
      <c r="C5239" s="1" t="n">
        <v>45736</v>
      </c>
      <c r="D5239" t="inlineStr">
        <is>
          <t>VÄRMLANDS LÄN</t>
        </is>
      </c>
      <c r="E5239" t="inlineStr">
        <is>
          <t>ARVIKA</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50065-2021</t>
        </is>
      </c>
      <c r="B5240" s="1" t="n">
        <v>44455</v>
      </c>
      <c r="C5240" s="1" t="n">
        <v>45736</v>
      </c>
      <c r="D5240" t="inlineStr">
        <is>
          <t>VÄRMLANDS LÄN</t>
        </is>
      </c>
      <c r="E5240" t="inlineStr">
        <is>
          <t>SUNNE</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49829-2021</t>
        </is>
      </c>
      <c r="B5241" s="1" t="n">
        <v>44455</v>
      </c>
      <c r="C5241" s="1" t="n">
        <v>45736</v>
      </c>
      <c r="D5241" t="inlineStr">
        <is>
          <t>VÄRMLANDS LÄN</t>
        </is>
      </c>
      <c r="E5241" t="inlineStr">
        <is>
          <t>KIL</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49900-2021</t>
        </is>
      </c>
      <c r="B5242" s="1" t="n">
        <v>44455</v>
      </c>
      <c r="C5242" s="1" t="n">
        <v>45736</v>
      </c>
      <c r="D5242" t="inlineStr">
        <is>
          <t>VÄRMLANDS LÄN</t>
        </is>
      </c>
      <c r="E5242" t="inlineStr">
        <is>
          <t>TORSBY</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49932-2021</t>
        </is>
      </c>
      <c r="B5243" s="1" t="n">
        <v>44455</v>
      </c>
      <c r="C5243" s="1" t="n">
        <v>45736</v>
      </c>
      <c r="D5243" t="inlineStr">
        <is>
          <t>VÄRMLANDS LÄN</t>
        </is>
      </c>
      <c r="E5243" t="inlineStr">
        <is>
          <t>ÅRJÄNG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49978-2021</t>
        </is>
      </c>
      <c r="B5244" s="1" t="n">
        <v>44456</v>
      </c>
      <c r="C5244" s="1" t="n">
        <v>45736</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50063-2021</t>
        </is>
      </c>
      <c r="B5245" s="1" t="n">
        <v>44456</v>
      </c>
      <c r="C5245" s="1" t="n">
        <v>45736</v>
      </c>
      <c r="D5245" t="inlineStr">
        <is>
          <t>VÄRMLANDS LÄN</t>
        </is>
      </c>
      <c r="E5245" t="inlineStr">
        <is>
          <t>FILIPSTAD</t>
        </is>
      </c>
      <c r="F5245" t="inlineStr">
        <is>
          <t>Bergvik skog väst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50100-2021</t>
        </is>
      </c>
      <c r="B5246" s="1" t="n">
        <v>44456</v>
      </c>
      <c r="C5246" s="1" t="n">
        <v>45736</v>
      </c>
      <c r="D5246" t="inlineStr">
        <is>
          <t>VÄRMLANDS LÄN</t>
        </is>
      </c>
      <c r="E5246" t="inlineStr">
        <is>
          <t>TORSBY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50584-2021</t>
        </is>
      </c>
      <c r="B5247" s="1" t="n">
        <v>44456</v>
      </c>
      <c r="C5247" s="1" t="n">
        <v>45736</v>
      </c>
      <c r="D5247" t="inlineStr">
        <is>
          <t>VÄRMLANDS LÄN</t>
        </is>
      </c>
      <c r="E5247" t="inlineStr">
        <is>
          <t>SÄFFLE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50350-2021</t>
        </is>
      </c>
      <c r="B5248" s="1" t="n">
        <v>44456</v>
      </c>
      <c r="C5248" s="1" t="n">
        <v>45736</v>
      </c>
      <c r="D5248" t="inlineStr">
        <is>
          <t>VÄRMLANDS LÄN</t>
        </is>
      </c>
      <c r="E5248" t="inlineStr">
        <is>
          <t>SUNNE</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50219-2021</t>
        </is>
      </c>
      <c r="B5249" s="1" t="n">
        <v>44457</v>
      </c>
      <c r="C5249" s="1" t="n">
        <v>45736</v>
      </c>
      <c r="D5249" t="inlineStr">
        <is>
          <t>VÄRMLANDS LÄN</t>
        </is>
      </c>
      <c r="E5249" t="inlineStr">
        <is>
          <t>ÅRJÄNG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50229-2021</t>
        </is>
      </c>
      <c r="B5250" s="1" t="n">
        <v>44457</v>
      </c>
      <c r="C5250" s="1" t="n">
        <v>45736</v>
      </c>
      <c r="D5250" t="inlineStr">
        <is>
          <t>VÄRMLANDS LÄN</t>
        </is>
      </c>
      <c r="E5250" t="inlineStr">
        <is>
          <t>ARVIKA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50223-2021</t>
        </is>
      </c>
      <c r="B5251" s="1" t="n">
        <v>44457</v>
      </c>
      <c r="C5251" s="1" t="n">
        <v>45736</v>
      </c>
      <c r="D5251" t="inlineStr">
        <is>
          <t>VÄRMLANDS LÄN</t>
        </is>
      </c>
      <c r="E5251" t="inlineStr">
        <is>
          <t>ÅRJÄNG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50241-2021</t>
        </is>
      </c>
      <c r="B5252" s="1" t="n">
        <v>44458</v>
      </c>
      <c r="C5252" s="1" t="n">
        <v>45736</v>
      </c>
      <c r="D5252" t="inlineStr">
        <is>
          <t>VÄRMLANDS LÄN</t>
        </is>
      </c>
      <c r="E5252" t="inlineStr">
        <is>
          <t>SUNNE</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50254-2021</t>
        </is>
      </c>
      <c r="B5253" s="1" t="n">
        <v>44458</v>
      </c>
      <c r="C5253" s="1" t="n">
        <v>45736</v>
      </c>
      <c r="D5253" t="inlineStr">
        <is>
          <t>VÄRMLANDS LÄN</t>
        </is>
      </c>
      <c r="E5253" t="inlineStr">
        <is>
          <t>STORFORS</t>
        </is>
      </c>
      <c r="F5253" t="inlineStr">
        <is>
          <t>Bergvik skog väst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50520-2021</t>
        </is>
      </c>
      <c r="B5254" s="1" t="n">
        <v>44458</v>
      </c>
      <c r="C5254" s="1" t="n">
        <v>45736</v>
      </c>
      <c r="D5254" t="inlineStr">
        <is>
          <t>VÄRMLANDS LÄN</t>
        </is>
      </c>
      <c r="E5254" t="inlineStr">
        <is>
          <t>ARVIKA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50272-2021</t>
        </is>
      </c>
      <c r="B5255" s="1" t="n">
        <v>44459</v>
      </c>
      <c r="C5255" s="1" t="n">
        <v>45736</v>
      </c>
      <c r="D5255" t="inlineStr">
        <is>
          <t>VÄRMLANDS LÄN</t>
        </is>
      </c>
      <c r="E5255" t="inlineStr">
        <is>
          <t>HAGFORS</t>
        </is>
      </c>
      <c r="F5255" t="inlineStr">
        <is>
          <t>Bergvik skog väst AB</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50387-2021</t>
        </is>
      </c>
      <c r="B5256" s="1" t="n">
        <v>44459</v>
      </c>
      <c r="C5256" s="1" t="n">
        <v>45736</v>
      </c>
      <c r="D5256" t="inlineStr">
        <is>
          <t>VÄRMLANDS LÄN</t>
        </is>
      </c>
      <c r="E5256" t="inlineStr">
        <is>
          <t>ARVIKA</t>
        </is>
      </c>
      <c r="F5256" t="inlineStr">
        <is>
          <t>Bergvik skog väst AB</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50400-2021</t>
        </is>
      </c>
      <c r="B5257" s="1" t="n">
        <v>44459</v>
      </c>
      <c r="C5257" s="1" t="n">
        <v>45736</v>
      </c>
      <c r="D5257" t="inlineStr">
        <is>
          <t>VÄRMLANDS LÄN</t>
        </is>
      </c>
      <c r="E5257" t="inlineStr">
        <is>
          <t>KARLSTAD</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50557-2021</t>
        </is>
      </c>
      <c r="B5258" s="1" t="n">
        <v>44459</v>
      </c>
      <c r="C5258" s="1" t="n">
        <v>45736</v>
      </c>
      <c r="D5258" t="inlineStr">
        <is>
          <t>VÄRMLANDS LÄN</t>
        </is>
      </c>
      <c r="E5258" t="inlineStr">
        <is>
          <t>SUNNE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50596-2021</t>
        </is>
      </c>
      <c r="B5259" s="1" t="n">
        <v>44459</v>
      </c>
      <c r="C5259" s="1" t="n">
        <v>45736</v>
      </c>
      <c r="D5259" t="inlineStr">
        <is>
          <t>VÄRMLANDS LÄN</t>
        </is>
      </c>
      <c r="E5259" t="inlineStr">
        <is>
          <t>TORSBY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50549-2021</t>
        </is>
      </c>
      <c r="B5260" s="1" t="n">
        <v>44459</v>
      </c>
      <c r="C5260" s="1" t="n">
        <v>45736</v>
      </c>
      <c r="D5260" t="inlineStr">
        <is>
          <t>VÄRMLANDS LÄN</t>
        </is>
      </c>
      <c r="E5260" t="inlineStr">
        <is>
          <t>TORSBY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50569-2021</t>
        </is>
      </c>
      <c r="B5261" s="1" t="n">
        <v>44459</v>
      </c>
      <c r="C5261" s="1" t="n">
        <v>45736</v>
      </c>
      <c r="D5261" t="inlineStr">
        <is>
          <t>VÄRMLANDS LÄN</t>
        </is>
      </c>
      <c r="E5261" t="inlineStr">
        <is>
          <t>ÅRJÄNG</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50553-2021</t>
        </is>
      </c>
      <c r="B5262" s="1" t="n">
        <v>44459</v>
      </c>
      <c r="C5262" s="1" t="n">
        <v>45736</v>
      </c>
      <c r="D5262" t="inlineStr">
        <is>
          <t>VÄRMLANDS LÄN</t>
        </is>
      </c>
      <c r="E5262" t="inlineStr">
        <is>
          <t>SUNNE</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50767-2021</t>
        </is>
      </c>
      <c r="B5263" s="1" t="n">
        <v>44459</v>
      </c>
      <c r="C5263" s="1" t="n">
        <v>45736</v>
      </c>
      <c r="D5263" t="inlineStr">
        <is>
          <t>VÄRMLANDS LÄN</t>
        </is>
      </c>
      <c r="E5263" t="inlineStr">
        <is>
          <t>ÅRJÄNG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50858-2021</t>
        </is>
      </c>
      <c r="B5264" s="1" t="n">
        <v>44459</v>
      </c>
      <c r="C5264" s="1" t="n">
        <v>45736</v>
      </c>
      <c r="D5264" t="inlineStr">
        <is>
          <t>VÄRMLANDS LÄN</t>
        </is>
      </c>
      <c r="E5264" t="inlineStr">
        <is>
          <t>ÅRJÄNG</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51096-2021</t>
        </is>
      </c>
      <c r="B5265" s="1" t="n">
        <v>44459</v>
      </c>
      <c r="C5265" s="1" t="n">
        <v>45736</v>
      </c>
      <c r="D5265" t="inlineStr">
        <is>
          <t>VÄRMLANDS LÄN</t>
        </is>
      </c>
      <c r="E5265" t="inlineStr">
        <is>
          <t>KARLSTAD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54425-2021</t>
        </is>
      </c>
      <c r="B5266" s="1" t="n">
        <v>44459</v>
      </c>
      <c r="C5266" s="1" t="n">
        <v>45736</v>
      </c>
      <c r="D5266" t="inlineStr">
        <is>
          <t>VÄRMLANDS LÄN</t>
        </is>
      </c>
      <c r="E5266" t="inlineStr">
        <is>
          <t>ÅRJÄNG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54437-2021</t>
        </is>
      </c>
      <c r="B5267" s="1" t="n">
        <v>44459</v>
      </c>
      <c r="C5267" s="1" t="n">
        <v>45736</v>
      </c>
      <c r="D5267" t="inlineStr">
        <is>
          <t>VÄRMLANDS LÄN</t>
        </is>
      </c>
      <c r="E5267" t="inlineStr">
        <is>
          <t>ÅRJÄNG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50829-2021</t>
        </is>
      </c>
      <c r="B5268" s="1" t="n">
        <v>44460</v>
      </c>
      <c r="C5268" s="1" t="n">
        <v>45736</v>
      </c>
      <c r="D5268" t="inlineStr">
        <is>
          <t>VÄRMLANDS LÄN</t>
        </is>
      </c>
      <c r="E5268" t="inlineStr">
        <is>
          <t>SUNNE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50827-2021</t>
        </is>
      </c>
      <c r="B5269" s="1" t="n">
        <v>44460</v>
      </c>
      <c r="C5269" s="1" t="n">
        <v>45736</v>
      </c>
      <c r="D5269" t="inlineStr">
        <is>
          <t>VÄRMLANDS LÄN</t>
        </is>
      </c>
      <c r="E5269" t="inlineStr">
        <is>
          <t>SUNNE</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50954-2021</t>
        </is>
      </c>
      <c r="B5270" s="1" t="n">
        <v>44460</v>
      </c>
      <c r="C5270" s="1" t="n">
        <v>45736</v>
      </c>
      <c r="D5270" t="inlineStr">
        <is>
          <t>VÄRMLANDS LÄN</t>
        </is>
      </c>
      <c r="E5270" t="inlineStr">
        <is>
          <t>ARVIKA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50988-2021</t>
        </is>
      </c>
      <c r="B5271" s="1" t="n">
        <v>44460</v>
      </c>
      <c r="C5271" s="1" t="n">
        <v>45736</v>
      </c>
      <c r="D5271" t="inlineStr">
        <is>
          <t>VÄRMLANDS LÄN</t>
        </is>
      </c>
      <c r="E5271" t="inlineStr">
        <is>
          <t>TORSBY</t>
        </is>
      </c>
      <c r="G5271" t="n">
        <v>14.3</v>
      </c>
      <c r="H5271" t="n">
        <v>0</v>
      </c>
      <c r="I5271" t="n">
        <v>0</v>
      </c>
      <c r="J5271" t="n">
        <v>0</v>
      </c>
      <c r="K5271" t="n">
        <v>0</v>
      </c>
      <c r="L5271" t="n">
        <v>0</v>
      </c>
      <c r="M5271" t="n">
        <v>0</v>
      </c>
      <c r="N5271" t="n">
        <v>0</v>
      </c>
      <c r="O5271" t="n">
        <v>0</v>
      </c>
      <c r="P5271" t="n">
        <v>0</v>
      </c>
      <c r="Q5271" t="n">
        <v>0</v>
      </c>
      <c r="R5271" s="2" t="inlineStr"/>
    </row>
    <row r="5272" ht="15" customHeight="1">
      <c r="A5272" t="inlineStr">
        <is>
          <t>A 50914-2021</t>
        </is>
      </c>
      <c r="B5272" s="1" t="n">
        <v>44460</v>
      </c>
      <c r="C5272" s="1" t="n">
        <v>45736</v>
      </c>
      <c r="D5272" t="inlineStr">
        <is>
          <t>VÄRMLANDS LÄN</t>
        </is>
      </c>
      <c r="E5272" t="inlineStr">
        <is>
          <t>FILIPSTAD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51203-2021</t>
        </is>
      </c>
      <c r="B5273" s="1" t="n">
        <v>44460</v>
      </c>
      <c r="C5273" s="1" t="n">
        <v>45736</v>
      </c>
      <c r="D5273" t="inlineStr">
        <is>
          <t>VÄRMLANDS LÄN</t>
        </is>
      </c>
      <c r="E5273" t="inlineStr">
        <is>
          <t>GRUMS</t>
        </is>
      </c>
      <c r="F5273" t="inlineStr">
        <is>
          <t>Bergvik skog väst AB</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51505-2021</t>
        </is>
      </c>
      <c r="B5274" s="1" t="n">
        <v>44460</v>
      </c>
      <c r="C5274" s="1" t="n">
        <v>45736</v>
      </c>
      <c r="D5274" t="inlineStr">
        <is>
          <t>VÄRMLANDS LÄN</t>
        </is>
      </c>
      <c r="E5274" t="inlineStr">
        <is>
          <t>TORSBY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51494-2021</t>
        </is>
      </c>
      <c r="B5275" s="1" t="n">
        <v>44460</v>
      </c>
      <c r="C5275" s="1" t="n">
        <v>45736</v>
      </c>
      <c r="D5275" t="inlineStr">
        <is>
          <t>VÄRMLANDS LÄN</t>
        </is>
      </c>
      <c r="E5275" t="inlineStr">
        <is>
          <t>TORSBY</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51510-2021</t>
        </is>
      </c>
      <c r="B5276" s="1" t="n">
        <v>44460</v>
      </c>
      <c r="C5276" s="1" t="n">
        <v>45736</v>
      </c>
      <c r="D5276" t="inlineStr">
        <is>
          <t>VÄRMLANDS LÄN</t>
        </is>
      </c>
      <c r="E5276" t="inlineStr">
        <is>
          <t>TORSBY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51099-2021</t>
        </is>
      </c>
      <c r="B5277" s="1" t="n">
        <v>44461</v>
      </c>
      <c r="C5277" s="1" t="n">
        <v>45736</v>
      </c>
      <c r="D5277" t="inlineStr">
        <is>
          <t>VÄRMLANDS LÄN</t>
        </is>
      </c>
      <c r="E5277" t="inlineStr">
        <is>
          <t>TORSBY</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51194-2021</t>
        </is>
      </c>
      <c r="B5278" s="1" t="n">
        <v>44461</v>
      </c>
      <c r="C5278" s="1" t="n">
        <v>45736</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51247-2021</t>
        </is>
      </c>
      <c r="B5279" s="1" t="n">
        <v>44461</v>
      </c>
      <c r="C5279" s="1" t="n">
        <v>45736</v>
      </c>
      <c r="D5279" t="inlineStr">
        <is>
          <t>VÄRMLANDS LÄN</t>
        </is>
      </c>
      <c r="E5279" t="inlineStr">
        <is>
          <t>TORSBY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51174-2021</t>
        </is>
      </c>
      <c r="B5280" s="1" t="n">
        <v>44461</v>
      </c>
      <c r="C5280" s="1" t="n">
        <v>45736</v>
      </c>
      <c r="D5280" t="inlineStr">
        <is>
          <t>VÄRMLANDS LÄN</t>
        </is>
      </c>
      <c r="E5280" t="inlineStr">
        <is>
          <t>KIL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51086-2021</t>
        </is>
      </c>
      <c r="B5281" s="1" t="n">
        <v>44461</v>
      </c>
      <c r="C5281" s="1" t="n">
        <v>45736</v>
      </c>
      <c r="D5281" t="inlineStr">
        <is>
          <t>VÄRMLANDS LÄN</t>
        </is>
      </c>
      <c r="E5281" t="inlineStr">
        <is>
          <t>KARLSTAD</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51105-2021</t>
        </is>
      </c>
      <c r="B5282" s="1" t="n">
        <v>44461</v>
      </c>
      <c r="C5282" s="1" t="n">
        <v>45736</v>
      </c>
      <c r="D5282" t="inlineStr">
        <is>
          <t>VÄRMLANDS LÄN</t>
        </is>
      </c>
      <c r="E5282" t="inlineStr">
        <is>
          <t>EDA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51124-2021</t>
        </is>
      </c>
      <c r="B5283" s="1" t="n">
        <v>44461</v>
      </c>
      <c r="C5283" s="1" t="n">
        <v>45736</v>
      </c>
      <c r="D5283" t="inlineStr">
        <is>
          <t>VÄRMLANDS LÄN</t>
        </is>
      </c>
      <c r="E5283" t="inlineStr">
        <is>
          <t>FORSHAGA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51266-2021</t>
        </is>
      </c>
      <c r="B5284" s="1" t="n">
        <v>44461</v>
      </c>
      <c r="C5284" s="1" t="n">
        <v>45736</v>
      </c>
      <c r="D5284" t="inlineStr">
        <is>
          <t>VÄRMLANDS LÄN</t>
        </is>
      </c>
      <c r="E5284" t="inlineStr">
        <is>
          <t>FILIPSTAD</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51314-2021</t>
        </is>
      </c>
      <c r="B5285" s="1" t="n">
        <v>44461</v>
      </c>
      <c r="C5285" s="1" t="n">
        <v>45736</v>
      </c>
      <c r="D5285" t="inlineStr">
        <is>
          <t>VÄRMLANDS LÄN</t>
        </is>
      </c>
      <c r="E5285" t="inlineStr">
        <is>
          <t>ARVIKA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51420-2021</t>
        </is>
      </c>
      <c r="B5286" s="1" t="n">
        <v>44461</v>
      </c>
      <c r="C5286" s="1" t="n">
        <v>45736</v>
      </c>
      <c r="D5286" t="inlineStr">
        <is>
          <t>VÄRMLANDS LÄN</t>
        </is>
      </c>
      <c r="E5286" t="inlineStr">
        <is>
          <t>SUNNE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51405-2021</t>
        </is>
      </c>
      <c r="B5287" s="1" t="n">
        <v>44461</v>
      </c>
      <c r="C5287" s="1" t="n">
        <v>45736</v>
      </c>
      <c r="D5287" t="inlineStr">
        <is>
          <t>VÄRMLANDS LÄN</t>
        </is>
      </c>
      <c r="E5287" t="inlineStr">
        <is>
          <t>SUNNE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51372-2021</t>
        </is>
      </c>
      <c r="B5288" s="1" t="n">
        <v>44461</v>
      </c>
      <c r="C5288" s="1" t="n">
        <v>45736</v>
      </c>
      <c r="D5288" t="inlineStr">
        <is>
          <t>VÄRMLANDS LÄN</t>
        </is>
      </c>
      <c r="E5288" t="inlineStr">
        <is>
          <t>TORSBY</t>
        </is>
      </c>
      <c r="F5288" t="inlineStr">
        <is>
          <t>Bergvik skog väst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51401-2021</t>
        </is>
      </c>
      <c r="B5289" s="1" t="n">
        <v>44461</v>
      </c>
      <c r="C5289" s="1" t="n">
        <v>45736</v>
      </c>
      <c r="D5289" t="inlineStr">
        <is>
          <t>VÄRMLANDS LÄN</t>
        </is>
      </c>
      <c r="E5289" t="inlineStr">
        <is>
          <t>SUNNE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51608-2021</t>
        </is>
      </c>
      <c r="B5290" s="1" t="n">
        <v>44461</v>
      </c>
      <c r="C5290" s="1" t="n">
        <v>45736</v>
      </c>
      <c r="D5290" t="inlineStr">
        <is>
          <t>VÄRMLANDS LÄN</t>
        </is>
      </c>
      <c r="E5290" t="inlineStr">
        <is>
          <t>ARVIKA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51514-2021</t>
        </is>
      </c>
      <c r="B5291" s="1" t="n">
        <v>44462</v>
      </c>
      <c r="C5291" s="1" t="n">
        <v>45736</v>
      </c>
      <c r="D5291" t="inlineStr">
        <is>
          <t>VÄRMLANDS LÄN</t>
        </is>
      </c>
      <c r="E5291" t="inlineStr">
        <is>
          <t>ARVIKA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51790-2021</t>
        </is>
      </c>
      <c r="B5292" s="1" t="n">
        <v>44462</v>
      </c>
      <c r="C5292" s="1" t="n">
        <v>45736</v>
      </c>
      <c r="D5292" t="inlineStr">
        <is>
          <t>VÄRMLANDS LÄN</t>
        </is>
      </c>
      <c r="E5292" t="inlineStr">
        <is>
          <t>SUNNE</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51819-2021</t>
        </is>
      </c>
      <c r="B5293" s="1" t="n">
        <v>44462</v>
      </c>
      <c r="C5293" s="1" t="n">
        <v>45736</v>
      </c>
      <c r="D5293" t="inlineStr">
        <is>
          <t>VÄRMLANDS LÄN</t>
        </is>
      </c>
      <c r="E5293" t="inlineStr">
        <is>
          <t>TORSBY</t>
        </is>
      </c>
      <c r="F5293" t="inlineStr">
        <is>
          <t>Bergvik skog väst AB</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51849-2021</t>
        </is>
      </c>
      <c r="B5294" s="1" t="n">
        <v>44462</v>
      </c>
      <c r="C5294" s="1" t="n">
        <v>45736</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51522-2021</t>
        </is>
      </c>
      <c r="B5295" s="1" t="n">
        <v>44462</v>
      </c>
      <c r="C5295" s="1" t="n">
        <v>45736</v>
      </c>
      <c r="D5295" t="inlineStr">
        <is>
          <t>VÄRMLANDS LÄN</t>
        </is>
      </c>
      <c r="E5295" t="inlineStr">
        <is>
          <t>TORSBY</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51786-2021</t>
        </is>
      </c>
      <c r="B5296" s="1" t="n">
        <v>44462</v>
      </c>
      <c r="C5296" s="1" t="n">
        <v>45736</v>
      </c>
      <c r="D5296" t="inlineStr">
        <is>
          <t>VÄRMLANDS LÄN</t>
        </is>
      </c>
      <c r="E5296" t="inlineStr">
        <is>
          <t>SUNNE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51553-2021</t>
        </is>
      </c>
      <c r="B5297" s="1" t="n">
        <v>44462</v>
      </c>
      <c r="C5297" s="1" t="n">
        <v>45736</v>
      </c>
      <c r="D5297" t="inlineStr">
        <is>
          <t>VÄRMLANDS LÄN</t>
        </is>
      </c>
      <c r="E5297" t="inlineStr">
        <is>
          <t>ARVIKA</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51958-2021</t>
        </is>
      </c>
      <c r="B5298" s="1" t="n">
        <v>44462</v>
      </c>
      <c r="C5298" s="1" t="n">
        <v>45736</v>
      </c>
      <c r="D5298" t="inlineStr">
        <is>
          <t>VÄRMLANDS LÄN</t>
        </is>
      </c>
      <c r="E5298" t="inlineStr">
        <is>
          <t>KRISTINEHAMN</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52151-2021</t>
        </is>
      </c>
      <c r="B5299" s="1" t="n">
        <v>44462</v>
      </c>
      <c r="C5299" s="1" t="n">
        <v>45736</v>
      </c>
      <c r="D5299" t="inlineStr">
        <is>
          <t>VÄRMLANDS LÄN</t>
        </is>
      </c>
      <c r="E5299" t="inlineStr">
        <is>
          <t>SÄFFLE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51875-2021</t>
        </is>
      </c>
      <c r="B5300" s="1" t="n">
        <v>44462</v>
      </c>
      <c r="C5300" s="1" t="n">
        <v>45736</v>
      </c>
      <c r="D5300" t="inlineStr">
        <is>
          <t>VÄRMLANDS LÄN</t>
        </is>
      </c>
      <c r="E5300" t="inlineStr">
        <is>
          <t>SUNNE</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52072-2021</t>
        </is>
      </c>
      <c r="B5301" s="1" t="n">
        <v>44463</v>
      </c>
      <c r="C5301" s="1" t="n">
        <v>45736</v>
      </c>
      <c r="D5301" t="inlineStr">
        <is>
          <t>VÄRMLANDS LÄN</t>
        </is>
      </c>
      <c r="E5301" t="inlineStr">
        <is>
          <t>HAGFORS</t>
        </is>
      </c>
      <c r="F5301" t="inlineStr">
        <is>
          <t>Bergvik skog väst AB</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52099-2021</t>
        </is>
      </c>
      <c r="B5302" s="1" t="n">
        <v>44463</v>
      </c>
      <c r="C5302" s="1" t="n">
        <v>45736</v>
      </c>
      <c r="D5302" t="inlineStr">
        <is>
          <t>VÄRMLANDS LÄN</t>
        </is>
      </c>
      <c r="E5302" t="inlineStr">
        <is>
          <t>SÄFFLE</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52149-2021</t>
        </is>
      </c>
      <c r="B5303" s="1" t="n">
        <v>44463</v>
      </c>
      <c r="C5303" s="1" t="n">
        <v>45736</v>
      </c>
      <c r="D5303" t="inlineStr">
        <is>
          <t>VÄRMLANDS LÄN</t>
        </is>
      </c>
      <c r="E5303" t="inlineStr">
        <is>
          <t>SUNNE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52242-2021</t>
        </is>
      </c>
      <c r="B5304" s="1" t="n">
        <v>44463</v>
      </c>
      <c r="C5304" s="1" t="n">
        <v>45736</v>
      </c>
      <c r="D5304" t="inlineStr">
        <is>
          <t>VÄRMLANDS LÄN</t>
        </is>
      </c>
      <c r="E5304" t="inlineStr">
        <is>
          <t>ÅRJÄNG</t>
        </is>
      </c>
      <c r="F5304" t="inlineStr">
        <is>
          <t>Övriga Aktiebolag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52121-2021</t>
        </is>
      </c>
      <c r="B5305" s="1" t="n">
        <v>44463</v>
      </c>
      <c r="C5305" s="1" t="n">
        <v>45736</v>
      </c>
      <c r="D5305" t="inlineStr">
        <is>
          <t>VÄRMLANDS LÄN</t>
        </is>
      </c>
      <c r="E5305" t="inlineStr">
        <is>
          <t>TORSBY</t>
        </is>
      </c>
      <c r="G5305" t="n">
        <v>0</v>
      </c>
      <c r="H5305" t="n">
        <v>0</v>
      </c>
      <c r="I5305" t="n">
        <v>0</v>
      </c>
      <c r="J5305" t="n">
        <v>0</v>
      </c>
      <c r="K5305" t="n">
        <v>0</v>
      </c>
      <c r="L5305" t="n">
        <v>0</v>
      </c>
      <c r="M5305" t="n">
        <v>0</v>
      </c>
      <c r="N5305" t="n">
        <v>0</v>
      </c>
      <c r="O5305" t="n">
        <v>0</v>
      </c>
      <c r="P5305" t="n">
        <v>0</v>
      </c>
      <c r="Q5305" t="n">
        <v>0</v>
      </c>
      <c r="R5305" s="2" t="inlineStr"/>
    </row>
    <row r="5306" ht="15" customHeight="1">
      <c r="A5306" t="inlineStr">
        <is>
          <t>A 52146-2021</t>
        </is>
      </c>
      <c r="B5306" s="1" t="n">
        <v>44463</v>
      </c>
      <c r="C5306" s="1" t="n">
        <v>45736</v>
      </c>
      <c r="D5306" t="inlineStr">
        <is>
          <t>VÄRMLANDS LÄN</t>
        </is>
      </c>
      <c r="E5306" t="inlineStr">
        <is>
          <t>SUNNE</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52257-2021</t>
        </is>
      </c>
      <c r="B5307" s="1" t="n">
        <v>44463</v>
      </c>
      <c r="C5307" s="1" t="n">
        <v>45736</v>
      </c>
      <c r="D5307" t="inlineStr">
        <is>
          <t>VÄRMLANDS LÄN</t>
        </is>
      </c>
      <c r="E5307" t="inlineStr">
        <is>
          <t>EDA</t>
        </is>
      </c>
      <c r="F5307" t="inlineStr">
        <is>
          <t>Bergvik skog väst AB</t>
        </is>
      </c>
      <c r="G5307" t="n">
        <v>9.6</v>
      </c>
      <c r="H5307" t="n">
        <v>0</v>
      </c>
      <c r="I5307" t="n">
        <v>0</v>
      </c>
      <c r="J5307" t="n">
        <v>0</v>
      </c>
      <c r="K5307" t="n">
        <v>0</v>
      </c>
      <c r="L5307" t="n">
        <v>0</v>
      </c>
      <c r="M5307" t="n">
        <v>0</v>
      </c>
      <c r="N5307" t="n">
        <v>0</v>
      </c>
      <c r="O5307" t="n">
        <v>0</v>
      </c>
      <c r="P5307" t="n">
        <v>0</v>
      </c>
      <c r="Q5307" t="n">
        <v>0</v>
      </c>
      <c r="R5307" s="2" t="inlineStr"/>
    </row>
    <row r="5308" ht="15" customHeight="1">
      <c r="A5308" t="inlineStr">
        <is>
          <t>A 52228-2021</t>
        </is>
      </c>
      <c r="B5308" s="1" t="n">
        <v>44463</v>
      </c>
      <c r="C5308" s="1" t="n">
        <v>45736</v>
      </c>
      <c r="D5308" t="inlineStr">
        <is>
          <t>VÄRMLANDS LÄN</t>
        </is>
      </c>
      <c r="E5308" t="inlineStr">
        <is>
          <t>HAGFORS</t>
        </is>
      </c>
      <c r="F5308" t="inlineStr">
        <is>
          <t>Bergvik skog väst AB</t>
        </is>
      </c>
      <c r="G5308" t="n">
        <v>36.9</v>
      </c>
      <c r="H5308" t="n">
        <v>0</v>
      </c>
      <c r="I5308" t="n">
        <v>0</v>
      </c>
      <c r="J5308" t="n">
        <v>0</v>
      </c>
      <c r="K5308" t="n">
        <v>0</v>
      </c>
      <c r="L5308" t="n">
        <v>0</v>
      </c>
      <c r="M5308" t="n">
        <v>0</v>
      </c>
      <c r="N5308" t="n">
        <v>0</v>
      </c>
      <c r="O5308" t="n">
        <v>0</v>
      </c>
      <c r="P5308" t="n">
        <v>0</v>
      </c>
      <c r="Q5308" t="n">
        <v>0</v>
      </c>
      <c r="R5308" s="2" t="inlineStr"/>
    </row>
    <row r="5309" ht="15" customHeight="1">
      <c r="A5309" t="inlineStr">
        <is>
          <t>A 52225-2021</t>
        </is>
      </c>
      <c r="B5309" s="1" t="n">
        <v>44463</v>
      </c>
      <c r="C5309" s="1" t="n">
        <v>45736</v>
      </c>
      <c r="D5309" t="inlineStr">
        <is>
          <t>VÄRMLANDS LÄN</t>
        </is>
      </c>
      <c r="E5309" t="inlineStr">
        <is>
          <t>SÄFFLE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52357-2021</t>
        </is>
      </c>
      <c r="B5310" s="1" t="n">
        <v>44464</v>
      </c>
      <c r="C5310" s="1" t="n">
        <v>45736</v>
      </c>
      <c r="D5310" t="inlineStr">
        <is>
          <t>VÄRMLANDS LÄN</t>
        </is>
      </c>
      <c r="E5310" t="inlineStr">
        <is>
          <t>ARVIKA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52371-2021</t>
        </is>
      </c>
      <c r="B5311" s="1" t="n">
        <v>44465</v>
      </c>
      <c r="C5311" s="1" t="n">
        <v>45736</v>
      </c>
      <c r="D5311" t="inlineStr">
        <is>
          <t>VÄRMLANDS LÄN</t>
        </is>
      </c>
      <c r="E5311" t="inlineStr">
        <is>
          <t>HAGFORS</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52378-2021</t>
        </is>
      </c>
      <c r="B5312" s="1" t="n">
        <v>44465</v>
      </c>
      <c r="C5312" s="1" t="n">
        <v>45736</v>
      </c>
      <c r="D5312" t="inlineStr">
        <is>
          <t>VÄRMLANDS LÄN</t>
        </is>
      </c>
      <c r="E5312" t="inlineStr">
        <is>
          <t>HAGFORS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52384-2021</t>
        </is>
      </c>
      <c r="B5313" s="1" t="n">
        <v>44465</v>
      </c>
      <c r="C5313" s="1" t="n">
        <v>45736</v>
      </c>
      <c r="D5313" t="inlineStr">
        <is>
          <t>VÄRMLANDS LÄN</t>
        </is>
      </c>
      <c r="E5313" t="inlineStr">
        <is>
          <t>FILIPSTAD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52624-2021</t>
        </is>
      </c>
      <c r="B5314" s="1" t="n">
        <v>44465</v>
      </c>
      <c r="C5314" s="1" t="n">
        <v>45736</v>
      </c>
      <c r="D5314" t="inlineStr">
        <is>
          <t>VÄRMLANDS LÄN</t>
        </is>
      </c>
      <c r="E5314" t="inlineStr">
        <is>
          <t>ARVIKA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52373-2021</t>
        </is>
      </c>
      <c r="B5315" s="1" t="n">
        <v>44465</v>
      </c>
      <c r="C5315" s="1" t="n">
        <v>45736</v>
      </c>
      <c r="D5315" t="inlineStr">
        <is>
          <t>VÄRMLANDS LÄN</t>
        </is>
      </c>
      <c r="E5315" t="inlineStr">
        <is>
          <t>HAGFORS</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52379-2021</t>
        </is>
      </c>
      <c r="B5316" s="1" t="n">
        <v>44465</v>
      </c>
      <c r="C5316" s="1" t="n">
        <v>45736</v>
      </c>
      <c r="D5316" t="inlineStr">
        <is>
          <t>VÄRMLANDS LÄN</t>
        </is>
      </c>
      <c r="E5316" t="inlineStr">
        <is>
          <t>HAGFORS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52520-2021</t>
        </is>
      </c>
      <c r="B5317" s="1" t="n">
        <v>44466</v>
      </c>
      <c r="C5317" s="1" t="n">
        <v>45736</v>
      </c>
      <c r="D5317" t="inlineStr">
        <is>
          <t>VÄRMLANDS LÄN</t>
        </is>
      </c>
      <c r="E5317" t="inlineStr">
        <is>
          <t>TORSBY</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52526-2021</t>
        </is>
      </c>
      <c r="B5318" s="1" t="n">
        <v>44466</v>
      </c>
      <c r="C5318" s="1" t="n">
        <v>45736</v>
      </c>
      <c r="D5318" t="inlineStr">
        <is>
          <t>VÄRMLANDS LÄN</t>
        </is>
      </c>
      <c r="E5318" t="inlineStr">
        <is>
          <t>KIL</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52677-2021</t>
        </is>
      </c>
      <c r="B5319" s="1" t="n">
        <v>44466</v>
      </c>
      <c r="C5319" s="1" t="n">
        <v>45736</v>
      </c>
      <c r="D5319" t="inlineStr">
        <is>
          <t>VÄRMLANDS LÄN</t>
        </is>
      </c>
      <c r="E5319" t="inlineStr">
        <is>
          <t>SUNNE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52750-2021</t>
        </is>
      </c>
      <c r="B5320" s="1" t="n">
        <v>44466</v>
      </c>
      <c r="C5320" s="1" t="n">
        <v>45736</v>
      </c>
      <c r="D5320" t="inlineStr">
        <is>
          <t>VÄRMLANDS LÄN</t>
        </is>
      </c>
      <c r="E5320" t="inlineStr">
        <is>
          <t>KRISTINEHAMN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53038-2021</t>
        </is>
      </c>
      <c r="B5321" s="1" t="n">
        <v>44466</v>
      </c>
      <c r="C5321" s="1" t="n">
        <v>45736</v>
      </c>
      <c r="D5321" t="inlineStr">
        <is>
          <t>VÄRMLANDS LÄN</t>
        </is>
      </c>
      <c r="E5321" t="inlineStr">
        <is>
          <t>SUNNE</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53143-2021</t>
        </is>
      </c>
      <c r="B5322" s="1" t="n">
        <v>44466</v>
      </c>
      <c r="C5322" s="1" t="n">
        <v>45736</v>
      </c>
      <c r="D5322" t="inlineStr">
        <is>
          <t>VÄRMLANDS LÄN</t>
        </is>
      </c>
      <c r="E5322" t="inlineStr">
        <is>
          <t>SÄFFLE</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52836-2021</t>
        </is>
      </c>
      <c r="B5323" s="1" t="n">
        <v>44466</v>
      </c>
      <c r="C5323" s="1" t="n">
        <v>45736</v>
      </c>
      <c r="D5323" t="inlineStr">
        <is>
          <t>VÄRMLANDS LÄN</t>
        </is>
      </c>
      <c r="E5323" t="inlineStr">
        <is>
          <t>KRISTINEHAMN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52853-2021</t>
        </is>
      </c>
      <c r="B5324" s="1" t="n">
        <v>44466</v>
      </c>
      <c r="C5324" s="1" t="n">
        <v>45736</v>
      </c>
      <c r="D5324" t="inlineStr">
        <is>
          <t>VÄRMLANDS LÄN</t>
        </is>
      </c>
      <c r="E5324" t="inlineStr">
        <is>
          <t>KRISTINEHAMN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52728-2021</t>
        </is>
      </c>
      <c r="B5325" s="1" t="n">
        <v>44467</v>
      </c>
      <c r="C5325" s="1" t="n">
        <v>45736</v>
      </c>
      <c r="D5325" t="inlineStr">
        <is>
          <t>VÄRMLANDS LÄN</t>
        </is>
      </c>
      <c r="E5325" t="inlineStr">
        <is>
          <t>TORSBY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52809-2021</t>
        </is>
      </c>
      <c r="B5326" s="1" t="n">
        <v>44467</v>
      </c>
      <c r="C5326" s="1" t="n">
        <v>45736</v>
      </c>
      <c r="D5326" t="inlineStr">
        <is>
          <t>VÄRMLANDS LÄN</t>
        </is>
      </c>
      <c r="E5326" t="inlineStr">
        <is>
          <t>EDA</t>
        </is>
      </c>
      <c r="F5326" t="inlineStr">
        <is>
          <t>Övriga Aktiebolag</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52848-2021</t>
        </is>
      </c>
      <c r="B5327" s="1" t="n">
        <v>44467</v>
      </c>
      <c r="C5327" s="1" t="n">
        <v>45736</v>
      </c>
      <c r="D5327" t="inlineStr">
        <is>
          <t>VÄRMLANDS LÄN</t>
        </is>
      </c>
      <c r="E5327" t="inlineStr">
        <is>
          <t>GRUMS</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52789-2021</t>
        </is>
      </c>
      <c r="B5328" s="1" t="n">
        <v>44467</v>
      </c>
      <c r="C5328" s="1" t="n">
        <v>45736</v>
      </c>
      <c r="D5328" t="inlineStr">
        <is>
          <t>VÄRMLANDS LÄN</t>
        </is>
      </c>
      <c r="E5328" t="inlineStr">
        <is>
          <t>KARLSTAD</t>
        </is>
      </c>
      <c r="F5328" t="inlineStr">
        <is>
          <t>Övriga statliga verk och myndigheter</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52800-2021</t>
        </is>
      </c>
      <c r="B5329" s="1" t="n">
        <v>44467</v>
      </c>
      <c r="C5329" s="1" t="n">
        <v>45736</v>
      </c>
      <c r="D5329" t="inlineStr">
        <is>
          <t>VÄRMLANDS LÄN</t>
        </is>
      </c>
      <c r="E5329" t="inlineStr">
        <is>
          <t>ARVIKA</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52842-2021</t>
        </is>
      </c>
      <c r="B5330" s="1" t="n">
        <v>44467</v>
      </c>
      <c r="C5330" s="1" t="n">
        <v>45736</v>
      </c>
      <c r="D5330" t="inlineStr">
        <is>
          <t>VÄRMLANDS LÄN</t>
        </is>
      </c>
      <c r="E5330" t="inlineStr">
        <is>
          <t>GRUMS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52900-2021</t>
        </is>
      </c>
      <c r="B5331" s="1" t="n">
        <v>44467</v>
      </c>
      <c r="C5331" s="1" t="n">
        <v>45736</v>
      </c>
      <c r="D5331" t="inlineStr">
        <is>
          <t>VÄRMLANDS LÄN</t>
        </is>
      </c>
      <c r="E5331" t="inlineStr">
        <is>
          <t>TORSBY</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52977-2021</t>
        </is>
      </c>
      <c r="B5332" s="1" t="n">
        <v>44467</v>
      </c>
      <c r="C5332" s="1" t="n">
        <v>45736</v>
      </c>
      <c r="D5332" t="inlineStr">
        <is>
          <t>VÄRMLANDS LÄN</t>
        </is>
      </c>
      <c r="E5332" t="inlineStr">
        <is>
          <t>FILIPSTAD</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52875-2021</t>
        </is>
      </c>
      <c r="B5333" s="1" t="n">
        <v>44467</v>
      </c>
      <c r="C5333" s="1" t="n">
        <v>45736</v>
      </c>
      <c r="D5333" t="inlineStr">
        <is>
          <t>VÄRMLANDS LÄN</t>
        </is>
      </c>
      <c r="E5333" t="inlineStr">
        <is>
          <t>GRUMS</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52986-2021</t>
        </is>
      </c>
      <c r="B5334" s="1" t="n">
        <v>44467</v>
      </c>
      <c r="C5334" s="1" t="n">
        <v>45736</v>
      </c>
      <c r="D5334" t="inlineStr">
        <is>
          <t>VÄRMLANDS LÄN</t>
        </is>
      </c>
      <c r="E5334" t="inlineStr">
        <is>
          <t>FILIPSTAD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53093-2021</t>
        </is>
      </c>
      <c r="B5335" s="1" t="n">
        <v>44467</v>
      </c>
      <c r="C5335" s="1" t="n">
        <v>45736</v>
      </c>
      <c r="D5335" t="inlineStr">
        <is>
          <t>VÄRMLANDS LÄN</t>
        </is>
      </c>
      <c r="E5335" t="inlineStr">
        <is>
          <t>SUNNE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52992-2021</t>
        </is>
      </c>
      <c r="B5336" s="1" t="n">
        <v>44467</v>
      </c>
      <c r="C5336" s="1" t="n">
        <v>45736</v>
      </c>
      <c r="D5336" t="inlineStr">
        <is>
          <t>VÄRMLANDS LÄN</t>
        </is>
      </c>
      <c r="E5336" t="inlineStr">
        <is>
          <t>FILIPSTAD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53052-2021</t>
        </is>
      </c>
      <c r="B5337" s="1" t="n">
        <v>44467</v>
      </c>
      <c r="C5337" s="1" t="n">
        <v>45736</v>
      </c>
      <c r="D5337" t="inlineStr">
        <is>
          <t>VÄRMLANDS LÄN</t>
        </is>
      </c>
      <c r="E5337" t="inlineStr">
        <is>
          <t>ÅRJÄNG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52730-2021</t>
        </is>
      </c>
      <c r="B5338" s="1" t="n">
        <v>44467</v>
      </c>
      <c r="C5338" s="1" t="n">
        <v>45736</v>
      </c>
      <c r="D5338" t="inlineStr">
        <is>
          <t>VÄRMLANDS LÄN</t>
        </is>
      </c>
      <c r="E5338" t="inlineStr">
        <is>
          <t>ÅRJÄNG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53096-2021</t>
        </is>
      </c>
      <c r="B5339" s="1" t="n">
        <v>44467</v>
      </c>
      <c r="C5339" s="1" t="n">
        <v>45736</v>
      </c>
      <c r="D5339" t="inlineStr">
        <is>
          <t>VÄRMLANDS LÄN</t>
        </is>
      </c>
      <c r="E5339" t="inlineStr">
        <is>
          <t>SÄFFLE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52981-2021</t>
        </is>
      </c>
      <c r="B5340" s="1" t="n">
        <v>44467</v>
      </c>
      <c r="C5340" s="1" t="n">
        <v>45736</v>
      </c>
      <c r="D5340" t="inlineStr">
        <is>
          <t>VÄRMLANDS LÄN</t>
        </is>
      </c>
      <c r="E5340" t="inlineStr">
        <is>
          <t>FILIPSTAD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52994-2021</t>
        </is>
      </c>
      <c r="B5341" s="1" t="n">
        <v>44467</v>
      </c>
      <c r="C5341" s="1" t="n">
        <v>45736</v>
      </c>
      <c r="D5341" t="inlineStr">
        <is>
          <t>VÄRMLANDS LÄN</t>
        </is>
      </c>
      <c r="E5341" t="inlineStr">
        <is>
          <t>SUNNE</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53100-2021</t>
        </is>
      </c>
      <c r="B5342" s="1" t="n">
        <v>44467</v>
      </c>
      <c r="C5342" s="1" t="n">
        <v>45736</v>
      </c>
      <c r="D5342" t="inlineStr">
        <is>
          <t>VÄRMLANDS LÄN</t>
        </is>
      </c>
      <c r="E5342" t="inlineStr">
        <is>
          <t>KIL</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53303-2021</t>
        </is>
      </c>
      <c r="B5343" s="1" t="n">
        <v>44467</v>
      </c>
      <c r="C5343" s="1" t="n">
        <v>45736</v>
      </c>
      <c r="D5343" t="inlineStr">
        <is>
          <t>VÄRMLANDS LÄN</t>
        </is>
      </c>
      <c r="E5343" t="inlineStr">
        <is>
          <t>SÄFFLE</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53174-2021</t>
        </is>
      </c>
      <c r="B5344" s="1" t="n">
        <v>44468</v>
      </c>
      <c r="C5344" s="1" t="n">
        <v>45736</v>
      </c>
      <c r="D5344" t="inlineStr">
        <is>
          <t>VÄRMLANDS LÄN</t>
        </is>
      </c>
      <c r="E5344" t="inlineStr">
        <is>
          <t>SÄFFLE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53209-2021</t>
        </is>
      </c>
      <c r="B5345" s="1" t="n">
        <v>44468</v>
      </c>
      <c r="C5345" s="1" t="n">
        <v>45736</v>
      </c>
      <c r="D5345" t="inlineStr">
        <is>
          <t>VÄRMLANDS LÄN</t>
        </is>
      </c>
      <c r="E5345" t="inlineStr">
        <is>
          <t>GRUMS</t>
        </is>
      </c>
      <c r="G5345" t="n">
        <v>11.6</v>
      </c>
      <c r="H5345" t="n">
        <v>0</v>
      </c>
      <c r="I5345" t="n">
        <v>0</v>
      </c>
      <c r="J5345" t="n">
        <v>0</v>
      </c>
      <c r="K5345" t="n">
        <v>0</v>
      </c>
      <c r="L5345" t="n">
        <v>0</v>
      </c>
      <c r="M5345" t="n">
        <v>0</v>
      </c>
      <c r="N5345" t="n">
        <v>0</v>
      </c>
      <c r="O5345" t="n">
        <v>0</v>
      </c>
      <c r="P5345" t="n">
        <v>0</v>
      </c>
      <c r="Q5345" t="n">
        <v>0</v>
      </c>
      <c r="R5345" s="2" t="inlineStr"/>
    </row>
    <row r="5346" ht="15" customHeight="1">
      <c r="A5346" t="inlineStr">
        <is>
          <t>A 53300-2021</t>
        </is>
      </c>
      <c r="B5346" s="1" t="n">
        <v>44468</v>
      </c>
      <c r="C5346" s="1" t="n">
        <v>45736</v>
      </c>
      <c r="D5346" t="inlineStr">
        <is>
          <t>VÄRMLANDS LÄN</t>
        </is>
      </c>
      <c r="E5346" t="inlineStr">
        <is>
          <t>KRISTINEHAMN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53239-2021</t>
        </is>
      </c>
      <c r="B5347" s="1" t="n">
        <v>44468</v>
      </c>
      <c r="C5347" s="1" t="n">
        <v>45736</v>
      </c>
      <c r="D5347" t="inlineStr">
        <is>
          <t>VÄRMLANDS LÄN</t>
        </is>
      </c>
      <c r="E5347" t="inlineStr">
        <is>
          <t>SÄFFLE</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53387-2021</t>
        </is>
      </c>
      <c r="B5348" s="1" t="n">
        <v>44468</v>
      </c>
      <c r="C5348" s="1" t="n">
        <v>45736</v>
      </c>
      <c r="D5348" t="inlineStr">
        <is>
          <t>VÄRMLANDS LÄN</t>
        </is>
      </c>
      <c r="E5348" t="inlineStr">
        <is>
          <t>SUNNE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53390-2021</t>
        </is>
      </c>
      <c r="B5349" s="1" t="n">
        <v>44468</v>
      </c>
      <c r="C5349" s="1" t="n">
        <v>45736</v>
      </c>
      <c r="D5349" t="inlineStr">
        <is>
          <t>VÄRMLANDS LÄN</t>
        </is>
      </c>
      <c r="E5349" t="inlineStr">
        <is>
          <t>ARVIKA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53486-2021</t>
        </is>
      </c>
      <c r="B5350" s="1" t="n">
        <v>44468</v>
      </c>
      <c r="C5350" s="1" t="n">
        <v>45736</v>
      </c>
      <c r="D5350" t="inlineStr">
        <is>
          <t>VÄRMLANDS LÄN</t>
        </is>
      </c>
      <c r="E5350" t="inlineStr">
        <is>
          <t>KARLSTAD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53495-2021</t>
        </is>
      </c>
      <c r="B5351" s="1" t="n">
        <v>44468</v>
      </c>
      <c r="C5351" s="1" t="n">
        <v>45736</v>
      </c>
      <c r="D5351" t="inlineStr">
        <is>
          <t>VÄRMLANDS LÄN</t>
        </is>
      </c>
      <c r="E5351" t="inlineStr">
        <is>
          <t>SUNNE</t>
        </is>
      </c>
      <c r="F5351" t="inlineStr">
        <is>
          <t>Övriga statliga verk och myndigheter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53398-2021</t>
        </is>
      </c>
      <c r="B5352" s="1" t="n">
        <v>44468</v>
      </c>
      <c r="C5352" s="1" t="n">
        <v>45736</v>
      </c>
      <c r="D5352" t="inlineStr">
        <is>
          <t>VÄRMLANDS LÄN</t>
        </is>
      </c>
      <c r="E5352" t="inlineStr">
        <is>
          <t>STORFORS</t>
        </is>
      </c>
      <c r="F5352" t="inlineStr">
        <is>
          <t>Naturvårdsverket</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53416-2021</t>
        </is>
      </c>
      <c r="B5353" s="1" t="n">
        <v>44468</v>
      </c>
      <c r="C5353" s="1" t="n">
        <v>45736</v>
      </c>
      <c r="D5353" t="inlineStr">
        <is>
          <t>VÄRMLANDS LÄN</t>
        </is>
      </c>
      <c r="E5353" t="inlineStr">
        <is>
          <t>ÅRJÄNG</t>
        </is>
      </c>
      <c r="G5353" t="n">
        <v>18.8</v>
      </c>
      <c r="H5353" t="n">
        <v>0</v>
      </c>
      <c r="I5353" t="n">
        <v>0</v>
      </c>
      <c r="J5353" t="n">
        <v>0</v>
      </c>
      <c r="K5353" t="n">
        <v>0</v>
      </c>
      <c r="L5353" t="n">
        <v>0</v>
      </c>
      <c r="M5353" t="n">
        <v>0</v>
      </c>
      <c r="N5353" t="n">
        <v>0</v>
      </c>
      <c r="O5353" t="n">
        <v>0</v>
      </c>
      <c r="P5353" t="n">
        <v>0</v>
      </c>
      <c r="Q5353" t="n">
        <v>0</v>
      </c>
      <c r="R5353" s="2" t="inlineStr"/>
    </row>
    <row r="5354" ht="15" customHeight="1">
      <c r="A5354" t="inlineStr">
        <is>
          <t>A 53468-2021</t>
        </is>
      </c>
      <c r="B5354" s="1" t="n">
        <v>44468</v>
      </c>
      <c r="C5354" s="1" t="n">
        <v>45736</v>
      </c>
      <c r="D5354" t="inlineStr">
        <is>
          <t>VÄRMLANDS LÄN</t>
        </is>
      </c>
      <c r="E5354" t="inlineStr">
        <is>
          <t>ÅRJÄNG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53629-2021</t>
        </is>
      </c>
      <c r="B5355" s="1" t="n">
        <v>44469</v>
      </c>
      <c r="C5355" s="1" t="n">
        <v>45736</v>
      </c>
      <c r="D5355" t="inlineStr">
        <is>
          <t>VÄRMLANDS LÄN</t>
        </is>
      </c>
      <c r="E5355" t="inlineStr">
        <is>
          <t>SUNNE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53705-2021</t>
        </is>
      </c>
      <c r="B5356" s="1" t="n">
        <v>44469</v>
      </c>
      <c r="C5356" s="1" t="n">
        <v>45736</v>
      </c>
      <c r="D5356" t="inlineStr">
        <is>
          <t>VÄRMLANDS LÄN</t>
        </is>
      </c>
      <c r="E5356" t="inlineStr">
        <is>
          <t>TORSBY</t>
        </is>
      </c>
      <c r="F5356" t="inlineStr">
        <is>
          <t>Kyrkan</t>
        </is>
      </c>
      <c r="G5356" t="n">
        <v>12.4</v>
      </c>
      <c r="H5356" t="n">
        <v>0</v>
      </c>
      <c r="I5356" t="n">
        <v>0</v>
      </c>
      <c r="J5356" t="n">
        <v>0</v>
      </c>
      <c r="K5356" t="n">
        <v>0</v>
      </c>
      <c r="L5356" t="n">
        <v>0</v>
      </c>
      <c r="M5356" t="n">
        <v>0</v>
      </c>
      <c r="N5356" t="n">
        <v>0</v>
      </c>
      <c r="O5356" t="n">
        <v>0</v>
      </c>
      <c r="P5356" t="n">
        <v>0</v>
      </c>
      <c r="Q5356" t="n">
        <v>0</v>
      </c>
      <c r="R5356" s="2" t="inlineStr"/>
    </row>
    <row r="5357" ht="15" customHeight="1">
      <c r="A5357" t="inlineStr">
        <is>
          <t>A 53726-2021</t>
        </is>
      </c>
      <c r="B5357" s="1" t="n">
        <v>44469</v>
      </c>
      <c r="C5357" s="1" t="n">
        <v>45736</v>
      </c>
      <c r="D5357" t="inlineStr">
        <is>
          <t>VÄRMLANDS LÄN</t>
        </is>
      </c>
      <c r="E5357" t="inlineStr">
        <is>
          <t>ÅRJÄNG</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53749-2021</t>
        </is>
      </c>
      <c r="B5358" s="1" t="n">
        <v>44469</v>
      </c>
      <c r="C5358" s="1" t="n">
        <v>45736</v>
      </c>
      <c r="D5358" t="inlineStr">
        <is>
          <t>VÄRMLANDS LÄN</t>
        </is>
      </c>
      <c r="E5358" t="inlineStr">
        <is>
          <t>SUNNE</t>
        </is>
      </c>
      <c r="F5358" t="inlineStr">
        <is>
          <t>Kyrkan</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53722-2021</t>
        </is>
      </c>
      <c r="B5359" s="1" t="n">
        <v>44469</v>
      </c>
      <c r="C5359" s="1" t="n">
        <v>45736</v>
      </c>
      <c r="D5359" t="inlineStr">
        <is>
          <t>VÄRMLANDS LÄN</t>
        </is>
      </c>
      <c r="E5359" t="inlineStr">
        <is>
          <t>ÅRJÄNG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53637-2021</t>
        </is>
      </c>
      <c r="B5360" s="1" t="n">
        <v>44469</v>
      </c>
      <c r="C5360" s="1" t="n">
        <v>45736</v>
      </c>
      <c r="D5360" t="inlineStr">
        <is>
          <t>VÄRMLANDS LÄN</t>
        </is>
      </c>
      <c r="E5360" t="inlineStr">
        <is>
          <t>ÅRJÄNG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53747-2021</t>
        </is>
      </c>
      <c r="B5361" s="1" t="n">
        <v>44469</v>
      </c>
      <c r="C5361" s="1" t="n">
        <v>45736</v>
      </c>
      <c r="D5361" t="inlineStr">
        <is>
          <t>VÄRMLANDS LÄN</t>
        </is>
      </c>
      <c r="E5361" t="inlineStr">
        <is>
          <t>ÅRJÄNG</t>
        </is>
      </c>
      <c r="G5361" t="n">
        <v>11.3</v>
      </c>
      <c r="H5361" t="n">
        <v>0</v>
      </c>
      <c r="I5361" t="n">
        <v>0</v>
      </c>
      <c r="J5361" t="n">
        <v>0</v>
      </c>
      <c r="K5361" t="n">
        <v>0</v>
      </c>
      <c r="L5361" t="n">
        <v>0</v>
      </c>
      <c r="M5361" t="n">
        <v>0</v>
      </c>
      <c r="N5361" t="n">
        <v>0</v>
      </c>
      <c r="O5361" t="n">
        <v>0</v>
      </c>
      <c r="P5361" t="n">
        <v>0</v>
      </c>
      <c r="Q5361" t="n">
        <v>0</v>
      </c>
      <c r="R5361" s="2" t="inlineStr"/>
    </row>
    <row r="5362" ht="15" customHeight="1">
      <c r="A5362" t="inlineStr">
        <is>
          <t>A 53757-2021</t>
        </is>
      </c>
      <c r="B5362" s="1" t="n">
        <v>44469</v>
      </c>
      <c r="C5362" s="1" t="n">
        <v>45736</v>
      </c>
      <c r="D5362" t="inlineStr">
        <is>
          <t>VÄRMLANDS LÄN</t>
        </is>
      </c>
      <c r="E5362" t="inlineStr">
        <is>
          <t>HAGFORS</t>
        </is>
      </c>
      <c r="F5362" t="inlineStr">
        <is>
          <t>Kyrkan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53739-2021</t>
        </is>
      </c>
      <c r="B5363" s="1" t="n">
        <v>44469</v>
      </c>
      <c r="C5363" s="1" t="n">
        <v>45736</v>
      </c>
      <c r="D5363" t="inlineStr">
        <is>
          <t>VÄRMLANDS LÄN</t>
        </is>
      </c>
      <c r="E5363" t="inlineStr">
        <is>
          <t>ÅRJÄNG</t>
        </is>
      </c>
      <c r="G5363" t="n">
        <v>15.9</v>
      </c>
      <c r="H5363" t="n">
        <v>0</v>
      </c>
      <c r="I5363" t="n">
        <v>0</v>
      </c>
      <c r="J5363" t="n">
        <v>0</v>
      </c>
      <c r="K5363" t="n">
        <v>0</v>
      </c>
      <c r="L5363" t="n">
        <v>0</v>
      </c>
      <c r="M5363" t="n">
        <v>0</v>
      </c>
      <c r="N5363" t="n">
        <v>0</v>
      </c>
      <c r="O5363" t="n">
        <v>0</v>
      </c>
      <c r="P5363" t="n">
        <v>0</v>
      </c>
      <c r="Q5363" t="n">
        <v>0</v>
      </c>
      <c r="R5363" s="2" t="inlineStr"/>
    </row>
    <row r="5364" ht="15" customHeight="1">
      <c r="A5364" t="inlineStr">
        <is>
          <t>A 53753-2021</t>
        </is>
      </c>
      <c r="B5364" s="1" t="n">
        <v>44469</v>
      </c>
      <c r="C5364" s="1" t="n">
        <v>45736</v>
      </c>
      <c r="D5364" t="inlineStr">
        <is>
          <t>VÄRMLANDS LÄN</t>
        </is>
      </c>
      <c r="E5364" t="inlineStr">
        <is>
          <t>ÅRJÄNG</t>
        </is>
      </c>
      <c r="G5364" t="n">
        <v>17.2</v>
      </c>
      <c r="H5364" t="n">
        <v>0</v>
      </c>
      <c r="I5364" t="n">
        <v>0</v>
      </c>
      <c r="J5364" t="n">
        <v>0</v>
      </c>
      <c r="K5364" t="n">
        <v>0</v>
      </c>
      <c r="L5364" t="n">
        <v>0</v>
      </c>
      <c r="M5364" t="n">
        <v>0</v>
      </c>
      <c r="N5364" t="n">
        <v>0</v>
      </c>
      <c r="O5364" t="n">
        <v>0</v>
      </c>
      <c r="P5364" t="n">
        <v>0</v>
      </c>
      <c r="Q5364" t="n">
        <v>0</v>
      </c>
      <c r="R5364" s="2" t="inlineStr"/>
    </row>
    <row r="5365" ht="15" customHeight="1">
      <c r="A5365" t="inlineStr">
        <is>
          <t>A 53765-2021</t>
        </is>
      </c>
      <c r="B5365" s="1" t="n">
        <v>44469</v>
      </c>
      <c r="C5365" s="1" t="n">
        <v>45736</v>
      </c>
      <c r="D5365" t="inlineStr">
        <is>
          <t>VÄRMLANDS LÄN</t>
        </is>
      </c>
      <c r="E5365" t="inlineStr">
        <is>
          <t>EDA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53824-2021</t>
        </is>
      </c>
      <c r="B5366" s="1" t="n">
        <v>44469</v>
      </c>
      <c r="C5366" s="1" t="n">
        <v>45736</v>
      </c>
      <c r="D5366" t="inlineStr">
        <is>
          <t>VÄRMLANDS LÄN</t>
        </is>
      </c>
      <c r="E5366" t="inlineStr">
        <is>
          <t>HAGFORS</t>
        </is>
      </c>
      <c r="F5366" t="inlineStr">
        <is>
          <t>Bergvik skog väst AB</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53978-2021</t>
        </is>
      </c>
      <c r="B5367" s="1" t="n">
        <v>44470</v>
      </c>
      <c r="C5367" s="1" t="n">
        <v>45736</v>
      </c>
      <c r="D5367" t="inlineStr">
        <is>
          <t>VÄRMLANDS LÄN</t>
        </is>
      </c>
      <c r="E5367" t="inlineStr">
        <is>
          <t>EDA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54073-2021</t>
        </is>
      </c>
      <c r="B5368" s="1" t="n">
        <v>44470</v>
      </c>
      <c r="C5368" s="1" t="n">
        <v>45736</v>
      </c>
      <c r="D5368" t="inlineStr">
        <is>
          <t>VÄRMLANDS LÄN</t>
        </is>
      </c>
      <c r="E5368" t="inlineStr">
        <is>
          <t>GRUMS</t>
        </is>
      </c>
      <c r="G5368" t="n">
        <v>20.6</v>
      </c>
      <c r="H5368" t="n">
        <v>0</v>
      </c>
      <c r="I5368" t="n">
        <v>0</v>
      </c>
      <c r="J5368" t="n">
        <v>0</v>
      </c>
      <c r="K5368" t="n">
        <v>0</v>
      </c>
      <c r="L5368" t="n">
        <v>0</v>
      </c>
      <c r="M5368" t="n">
        <v>0</v>
      </c>
      <c r="N5368" t="n">
        <v>0</v>
      </c>
      <c r="O5368" t="n">
        <v>0</v>
      </c>
      <c r="P5368" t="n">
        <v>0</v>
      </c>
      <c r="Q5368" t="n">
        <v>0</v>
      </c>
      <c r="R5368" s="2" t="inlineStr"/>
    </row>
    <row r="5369" ht="15" customHeight="1">
      <c r="A5369" t="inlineStr">
        <is>
          <t>A 53972-2021</t>
        </is>
      </c>
      <c r="B5369" s="1" t="n">
        <v>44470</v>
      </c>
      <c r="C5369" s="1" t="n">
        <v>45736</v>
      </c>
      <c r="D5369" t="inlineStr">
        <is>
          <t>VÄRMLANDS LÄN</t>
        </is>
      </c>
      <c r="E5369" t="inlineStr">
        <is>
          <t>EDA</t>
        </is>
      </c>
      <c r="G5369" t="n">
        <v>10.5</v>
      </c>
      <c r="H5369" t="n">
        <v>0</v>
      </c>
      <c r="I5369" t="n">
        <v>0</v>
      </c>
      <c r="J5369" t="n">
        <v>0</v>
      </c>
      <c r="K5369" t="n">
        <v>0</v>
      </c>
      <c r="L5369" t="n">
        <v>0</v>
      </c>
      <c r="M5369" t="n">
        <v>0</v>
      </c>
      <c r="N5369" t="n">
        <v>0</v>
      </c>
      <c r="O5369" t="n">
        <v>0</v>
      </c>
      <c r="P5369" t="n">
        <v>0</v>
      </c>
      <c r="Q5369" t="n">
        <v>0</v>
      </c>
      <c r="R5369" s="2" t="inlineStr"/>
    </row>
    <row r="5370" ht="15" customHeight="1">
      <c r="A5370" t="inlineStr">
        <is>
          <t>A 54029-2021</t>
        </is>
      </c>
      <c r="B5370" s="1" t="n">
        <v>44470</v>
      </c>
      <c r="C5370" s="1" t="n">
        <v>45736</v>
      </c>
      <c r="D5370" t="inlineStr">
        <is>
          <t>VÄRMLANDS LÄN</t>
        </is>
      </c>
      <c r="E5370" t="inlineStr">
        <is>
          <t>TORSBY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54008-2021</t>
        </is>
      </c>
      <c r="B5371" s="1" t="n">
        <v>44470</v>
      </c>
      <c r="C5371" s="1" t="n">
        <v>45736</v>
      </c>
      <c r="D5371" t="inlineStr">
        <is>
          <t>VÄRMLANDS LÄN</t>
        </is>
      </c>
      <c r="E5371" t="inlineStr">
        <is>
          <t>FILIPSTAD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54033-2021</t>
        </is>
      </c>
      <c r="B5372" s="1" t="n">
        <v>44470</v>
      </c>
      <c r="C5372" s="1" t="n">
        <v>45736</v>
      </c>
      <c r="D5372" t="inlineStr">
        <is>
          <t>VÄRMLANDS LÄN</t>
        </is>
      </c>
      <c r="E5372" t="inlineStr">
        <is>
          <t>TORSBY</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54140-2021</t>
        </is>
      </c>
      <c r="B5373" s="1" t="n">
        <v>44470</v>
      </c>
      <c r="C5373" s="1" t="n">
        <v>45736</v>
      </c>
      <c r="D5373" t="inlineStr">
        <is>
          <t>VÄRMLANDS LÄN</t>
        </is>
      </c>
      <c r="E5373" t="inlineStr">
        <is>
          <t>KRISTINEHAMN</t>
        </is>
      </c>
      <c r="F5373" t="inlineStr">
        <is>
          <t>Sveaskog</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54189-2021</t>
        </is>
      </c>
      <c r="B5374" s="1" t="n">
        <v>44470</v>
      </c>
      <c r="C5374" s="1" t="n">
        <v>45736</v>
      </c>
      <c r="D5374" t="inlineStr">
        <is>
          <t>VÄRMLANDS LÄN</t>
        </is>
      </c>
      <c r="E5374" t="inlineStr">
        <is>
          <t>FORSHAGA</t>
        </is>
      </c>
      <c r="F5374" t="inlineStr">
        <is>
          <t>Bergvik skog väst AB</t>
        </is>
      </c>
      <c r="G5374" t="n">
        <v>24.8</v>
      </c>
      <c r="H5374" t="n">
        <v>0</v>
      </c>
      <c r="I5374" t="n">
        <v>0</v>
      </c>
      <c r="J5374" t="n">
        <v>0</v>
      </c>
      <c r="K5374" t="n">
        <v>0</v>
      </c>
      <c r="L5374" t="n">
        <v>0</v>
      </c>
      <c r="M5374" t="n">
        <v>0</v>
      </c>
      <c r="N5374" t="n">
        <v>0</v>
      </c>
      <c r="O5374" t="n">
        <v>0</v>
      </c>
      <c r="P5374" t="n">
        <v>0</v>
      </c>
      <c r="Q5374" t="n">
        <v>0</v>
      </c>
      <c r="R5374" s="2" t="inlineStr"/>
    </row>
    <row r="5375" ht="15" customHeight="1">
      <c r="A5375" t="inlineStr">
        <is>
          <t>A 54261-2021</t>
        </is>
      </c>
      <c r="B5375" s="1" t="n">
        <v>44470</v>
      </c>
      <c r="C5375" s="1" t="n">
        <v>45736</v>
      </c>
      <c r="D5375" t="inlineStr">
        <is>
          <t>VÄRMLANDS LÄN</t>
        </is>
      </c>
      <c r="E5375" t="inlineStr">
        <is>
          <t>ARVIKA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54186-2021</t>
        </is>
      </c>
      <c r="B5376" s="1" t="n">
        <v>44470</v>
      </c>
      <c r="C5376" s="1" t="n">
        <v>45736</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54211-2021</t>
        </is>
      </c>
      <c r="B5377" s="1" t="n">
        <v>44470</v>
      </c>
      <c r="C5377" s="1" t="n">
        <v>45736</v>
      </c>
      <c r="D5377" t="inlineStr">
        <is>
          <t>VÄRMLANDS LÄN</t>
        </is>
      </c>
      <c r="E5377" t="inlineStr">
        <is>
          <t>ARVIKA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54247-2021</t>
        </is>
      </c>
      <c r="B5378" s="1" t="n">
        <v>44470</v>
      </c>
      <c r="C5378" s="1" t="n">
        <v>45736</v>
      </c>
      <c r="D5378" t="inlineStr">
        <is>
          <t>VÄRMLANDS LÄN</t>
        </is>
      </c>
      <c r="E5378" t="inlineStr">
        <is>
          <t>FILIPSTAD</t>
        </is>
      </c>
      <c r="F5378" t="inlineStr">
        <is>
          <t>Bergvik skog väst AB</t>
        </is>
      </c>
      <c r="G5378" t="n">
        <v>7</v>
      </c>
      <c r="H5378" t="n">
        <v>0</v>
      </c>
      <c r="I5378" t="n">
        <v>0</v>
      </c>
      <c r="J5378" t="n">
        <v>0</v>
      </c>
      <c r="K5378" t="n">
        <v>0</v>
      </c>
      <c r="L5378" t="n">
        <v>0</v>
      </c>
      <c r="M5378" t="n">
        <v>0</v>
      </c>
      <c r="N5378" t="n">
        <v>0</v>
      </c>
      <c r="O5378" t="n">
        <v>0</v>
      </c>
      <c r="P5378" t="n">
        <v>0</v>
      </c>
      <c r="Q5378" t="n">
        <v>0</v>
      </c>
      <c r="R5378" s="2" t="inlineStr"/>
    </row>
    <row r="5379" ht="15" customHeight="1">
      <c r="A5379" t="inlineStr">
        <is>
          <t>A 54335-2021</t>
        </is>
      </c>
      <c r="B5379" s="1" t="n">
        <v>44473</v>
      </c>
      <c r="C5379" s="1" t="n">
        <v>45736</v>
      </c>
      <c r="D5379" t="inlineStr">
        <is>
          <t>VÄRMLANDS LÄN</t>
        </is>
      </c>
      <c r="E5379" t="inlineStr">
        <is>
          <t>ÅRJÄNG</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54430-2021</t>
        </is>
      </c>
      <c r="B5380" s="1" t="n">
        <v>44473</v>
      </c>
      <c r="C5380" s="1" t="n">
        <v>45736</v>
      </c>
      <c r="D5380" t="inlineStr">
        <is>
          <t>VÄRMLANDS LÄN</t>
        </is>
      </c>
      <c r="E5380" t="inlineStr">
        <is>
          <t>SÄFFLE</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54581-2021</t>
        </is>
      </c>
      <c r="B5381" s="1" t="n">
        <v>44473</v>
      </c>
      <c r="C5381" s="1" t="n">
        <v>45736</v>
      </c>
      <c r="D5381" t="inlineStr">
        <is>
          <t>VÄRMLANDS LÄN</t>
        </is>
      </c>
      <c r="E5381" t="inlineStr">
        <is>
          <t>ÅRJÄNG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54603-2021</t>
        </is>
      </c>
      <c r="B5382" s="1" t="n">
        <v>44473</v>
      </c>
      <c r="C5382" s="1" t="n">
        <v>45736</v>
      </c>
      <c r="D5382" t="inlineStr">
        <is>
          <t>VÄRMLANDS LÄN</t>
        </is>
      </c>
      <c r="E5382" t="inlineStr">
        <is>
          <t>KRISTINEHAMN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54606-2021</t>
        </is>
      </c>
      <c r="B5383" s="1" t="n">
        <v>44473</v>
      </c>
      <c r="C5383" s="1" t="n">
        <v>45736</v>
      </c>
      <c r="D5383" t="inlineStr">
        <is>
          <t>VÄRMLANDS LÄN</t>
        </is>
      </c>
      <c r="E5383" t="inlineStr">
        <is>
          <t>KRISTINEHAMN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54677-2021</t>
        </is>
      </c>
      <c r="B5384" s="1" t="n">
        <v>44473</v>
      </c>
      <c r="C5384" s="1" t="n">
        <v>45736</v>
      </c>
      <c r="D5384" t="inlineStr">
        <is>
          <t>VÄRMLANDS LÄN</t>
        </is>
      </c>
      <c r="E5384" t="inlineStr">
        <is>
          <t>ARVIKA</t>
        </is>
      </c>
      <c r="F5384" t="inlineStr">
        <is>
          <t>Bergvik skog väst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54692-2021</t>
        </is>
      </c>
      <c r="B5385" s="1" t="n">
        <v>44473</v>
      </c>
      <c r="C5385" s="1" t="n">
        <v>45736</v>
      </c>
      <c r="D5385" t="inlineStr">
        <is>
          <t>VÄRMLANDS LÄN</t>
        </is>
      </c>
      <c r="E5385" t="inlineStr">
        <is>
          <t>SÄFFLE</t>
        </is>
      </c>
      <c r="F5385" t="inlineStr">
        <is>
          <t>Bergvik skog väst AB</t>
        </is>
      </c>
      <c r="G5385" t="n">
        <v>30.3</v>
      </c>
      <c r="H5385" t="n">
        <v>0</v>
      </c>
      <c r="I5385" t="n">
        <v>0</v>
      </c>
      <c r="J5385" t="n">
        <v>0</v>
      </c>
      <c r="K5385" t="n">
        <v>0</v>
      </c>
      <c r="L5385" t="n">
        <v>0</v>
      </c>
      <c r="M5385" t="n">
        <v>0</v>
      </c>
      <c r="N5385" t="n">
        <v>0</v>
      </c>
      <c r="O5385" t="n">
        <v>0</v>
      </c>
      <c r="P5385" t="n">
        <v>0</v>
      </c>
      <c r="Q5385" t="n">
        <v>0</v>
      </c>
      <c r="R5385" s="2" t="inlineStr"/>
    </row>
    <row r="5386" ht="15" customHeight="1">
      <c r="A5386" t="inlineStr">
        <is>
          <t>A 54999-2021</t>
        </is>
      </c>
      <c r="B5386" s="1" t="n">
        <v>44473</v>
      </c>
      <c r="C5386" s="1" t="n">
        <v>45736</v>
      </c>
      <c r="D5386" t="inlineStr">
        <is>
          <t>VÄRMLANDS LÄN</t>
        </is>
      </c>
      <c r="E5386" t="inlineStr">
        <is>
          <t>SUNNE</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55011-2021</t>
        </is>
      </c>
      <c r="B5387" s="1" t="n">
        <v>44474</v>
      </c>
      <c r="C5387" s="1" t="n">
        <v>45736</v>
      </c>
      <c r="D5387" t="inlineStr">
        <is>
          <t>VÄRMLANDS LÄN</t>
        </is>
      </c>
      <c r="E5387" t="inlineStr">
        <is>
          <t>EDA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55059-2021</t>
        </is>
      </c>
      <c r="B5388" s="1" t="n">
        <v>44474</v>
      </c>
      <c r="C5388" s="1" t="n">
        <v>45736</v>
      </c>
      <c r="D5388" t="inlineStr">
        <is>
          <t>VÄRMLANDS LÄN</t>
        </is>
      </c>
      <c r="E5388" t="inlineStr">
        <is>
          <t>KIL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55003-2021</t>
        </is>
      </c>
      <c r="B5389" s="1" t="n">
        <v>44474</v>
      </c>
      <c r="C5389" s="1" t="n">
        <v>45736</v>
      </c>
      <c r="D5389" t="inlineStr">
        <is>
          <t>VÄRMLANDS LÄN</t>
        </is>
      </c>
      <c r="E5389" t="inlineStr">
        <is>
          <t>KRISTINEHAMN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55070-2021</t>
        </is>
      </c>
      <c r="B5390" s="1" t="n">
        <v>44474</v>
      </c>
      <c r="C5390" s="1" t="n">
        <v>45736</v>
      </c>
      <c r="D5390" t="inlineStr">
        <is>
          <t>VÄRMLANDS LÄN</t>
        </is>
      </c>
      <c r="E5390" t="inlineStr">
        <is>
          <t>KIL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55111-2021</t>
        </is>
      </c>
      <c r="B5391" s="1" t="n">
        <v>44474</v>
      </c>
      <c r="C5391" s="1" t="n">
        <v>45736</v>
      </c>
      <c r="D5391" t="inlineStr">
        <is>
          <t>VÄRMLANDS LÄN</t>
        </is>
      </c>
      <c r="E5391" t="inlineStr">
        <is>
          <t>KARLSTAD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54849-2021</t>
        </is>
      </c>
      <c r="B5392" s="1" t="n">
        <v>44474</v>
      </c>
      <c r="C5392" s="1" t="n">
        <v>45736</v>
      </c>
      <c r="D5392" t="inlineStr">
        <is>
          <t>VÄRMLANDS LÄN</t>
        </is>
      </c>
      <c r="E5392" t="inlineStr">
        <is>
          <t>EDA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54865-2021</t>
        </is>
      </c>
      <c r="B5393" s="1" t="n">
        <v>44474</v>
      </c>
      <c r="C5393" s="1" t="n">
        <v>45736</v>
      </c>
      <c r="D5393" t="inlineStr">
        <is>
          <t>VÄRMLANDS LÄN</t>
        </is>
      </c>
      <c r="E5393" t="inlineStr">
        <is>
          <t>SUNNE</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55110-2021</t>
        </is>
      </c>
      <c r="B5394" s="1" t="n">
        <v>44474</v>
      </c>
      <c r="C5394" s="1" t="n">
        <v>45736</v>
      </c>
      <c r="D5394" t="inlineStr">
        <is>
          <t>VÄRMLANDS LÄN</t>
        </is>
      </c>
      <c r="E5394" t="inlineStr">
        <is>
          <t>KARLSTAD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54905-2021</t>
        </is>
      </c>
      <c r="B5395" s="1" t="n">
        <v>44474</v>
      </c>
      <c r="C5395" s="1" t="n">
        <v>45736</v>
      </c>
      <c r="D5395" t="inlineStr">
        <is>
          <t>VÄRMLANDS LÄN</t>
        </is>
      </c>
      <c r="E5395" t="inlineStr">
        <is>
          <t>SUNNE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55256-2021</t>
        </is>
      </c>
      <c r="B5396" s="1" t="n">
        <v>44475</v>
      </c>
      <c r="C5396" s="1" t="n">
        <v>45736</v>
      </c>
      <c r="D5396" t="inlineStr">
        <is>
          <t>VÄRMLANDS LÄN</t>
        </is>
      </c>
      <c r="E5396" t="inlineStr">
        <is>
          <t>KARLSTAD</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55277-2021</t>
        </is>
      </c>
      <c r="B5397" s="1" t="n">
        <v>44475</v>
      </c>
      <c r="C5397" s="1" t="n">
        <v>45736</v>
      </c>
      <c r="D5397" t="inlineStr">
        <is>
          <t>VÄRMLANDS LÄN</t>
        </is>
      </c>
      <c r="E5397" t="inlineStr">
        <is>
          <t>KARLSTAD</t>
        </is>
      </c>
      <c r="F5397" t="inlineStr">
        <is>
          <t>Kommuner</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55423-2021</t>
        </is>
      </c>
      <c r="B5398" s="1" t="n">
        <v>44475</v>
      </c>
      <c r="C5398" s="1" t="n">
        <v>45736</v>
      </c>
      <c r="D5398" t="inlineStr">
        <is>
          <t>VÄRMLANDS LÄN</t>
        </is>
      </c>
      <c r="E5398" t="inlineStr">
        <is>
          <t>SUNNE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55430-2021</t>
        </is>
      </c>
      <c r="B5399" s="1" t="n">
        <v>44475</v>
      </c>
      <c r="C5399" s="1" t="n">
        <v>45736</v>
      </c>
      <c r="D5399" t="inlineStr">
        <is>
          <t>VÄRMLANDS LÄN</t>
        </is>
      </c>
      <c r="E5399" t="inlineStr">
        <is>
          <t>SUNNE</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55515-2021</t>
        </is>
      </c>
      <c r="B5400" s="1" t="n">
        <v>44475</v>
      </c>
      <c r="C5400" s="1" t="n">
        <v>45736</v>
      </c>
      <c r="D5400" t="inlineStr">
        <is>
          <t>VÄRMLANDS LÄN</t>
        </is>
      </c>
      <c r="E5400" t="inlineStr">
        <is>
          <t>ARVIKA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55548-2021</t>
        </is>
      </c>
      <c r="B5401" s="1" t="n">
        <v>44475</v>
      </c>
      <c r="C5401" s="1" t="n">
        <v>45736</v>
      </c>
      <c r="D5401" t="inlineStr">
        <is>
          <t>VÄRMLANDS LÄN</t>
        </is>
      </c>
      <c r="E5401" t="inlineStr">
        <is>
          <t>FILIPSTAD</t>
        </is>
      </c>
      <c r="F5401" t="inlineStr">
        <is>
          <t>Bergvik skog väst AB</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55518-2021</t>
        </is>
      </c>
      <c r="B5402" s="1" t="n">
        <v>44475</v>
      </c>
      <c r="C5402" s="1" t="n">
        <v>45736</v>
      </c>
      <c r="D5402" t="inlineStr">
        <is>
          <t>VÄRMLANDS LÄN</t>
        </is>
      </c>
      <c r="E5402" t="inlineStr">
        <is>
          <t>ARVIKA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55564-2021</t>
        </is>
      </c>
      <c r="B5403" s="1" t="n">
        <v>44475</v>
      </c>
      <c r="C5403" s="1" t="n">
        <v>45736</v>
      </c>
      <c r="D5403" t="inlineStr">
        <is>
          <t>VÄRMLANDS LÄN</t>
        </is>
      </c>
      <c r="E5403" t="inlineStr">
        <is>
          <t>KARLSTAD</t>
        </is>
      </c>
      <c r="F5403" t="inlineStr">
        <is>
          <t>Övriga statliga verk och myndigheter</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57431-2021</t>
        </is>
      </c>
      <c r="B5404" s="1" t="n">
        <v>44475</v>
      </c>
      <c r="C5404" s="1" t="n">
        <v>45736</v>
      </c>
      <c r="D5404" t="inlineStr">
        <is>
          <t>VÄRMLANDS LÄN</t>
        </is>
      </c>
      <c r="E5404" t="inlineStr">
        <is>
          <t>SÄFFLE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55642-2021</t>
        </is>
      </c>
      <c r="B5405" s="1" t="n">
        <v>44476</v>
      </c>
      <c r="C5405" s="1" t="n">
        <v>45736</v>
      </c>
      <c r="D5405" t="inlineStr">
        <is>
          <t>VÄRMLANDS LÄN</t>
        </is>
      </c>
      <c r="E5405" t="inlineStr">
        <is>
          <t>EDA</t>
        </is>
      </c>
      <c r="F5405" t="inlineStr">
        <is>
          <t>Kommuner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55668-2021</t>
        </is>
      </c>
      <c r="B5406" s="1" t="n">
        <v>44476</v>
      </c>
      <c r="C5406" s="1" t="n">
        <v>45736</v>
      </c>
      <c r="D5406" t="inlineStr">
        <is>
          <t>VÄRMLANDS LÄN</t>
        </is>
      </c>
      <c r="E5406" t="inlineStr">
        <is>
          <t>EDA</t>
        </is>
      </c>
      <c r="F5406" t="inlineStr">
        <is>
          <t>Kommuner</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55651-2021</t>
        </is>
      </c>
      <c r="B5407" s="1" t="n">
        <v>44476</v>
      </c>
      <c r="C5407" s="1" t="n">
        <v>45736</v>
      </c>
      <c r="D5407" t="inlineStr">
        <is>
          <t>VÄRMLANDS LÄN</t>
        </is>
      </c>
      <c r="E5407" t="inlineStr">
        <is>
          <t>EDA</t>
        </is>
      </c>
      <c r="F5407" t="inlineStr">
        <is>
          <t>Kommuner</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55664-2021</t>
        </is>
      </c>
      <c r="B5408" s="1" t="n">
        <v>44476</v>
      </c>
      <c r="C5408" s="1" t="n">
        <v>45736</v>
      </c>
      <c r="D5408" t="inlineStr">
        <is>
          <t>VÄRMLANDS LÄN</t>
        </is>
      </c>
      <c r="E5408" t="inlineStr">
        <is>
          <t>MUNKFORS</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55784-2021</t>
        </is>
      </c>
      <c r="B5409" s="1" t="n">
        <v>44476</v>
      </c>
      <c r="C5409" s="1" t="n">
        <v>45736</v>
      </c>
      <c r="D5409" t="inlineStr">
        <is>
          <t>VÄRMLANDS LÄN</t>
        </is>
      </c>
      <c r="E5409" t="inlineStr">
        <is>
          <t>ÅRJÄNG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55791-2021</t>
        </is>
      </c>
      <c r="B5410" s="1" t="n">
        <v>44476</v>
      </c>
      <c r="C5410" s="1" t="n">
        <v>45736</v>
      </c>
      <c r="D5410" t="inlineStr">
        <is>
          <t>VÄRMLANDS LÄN</t>
        </is>
      </c>
      <c r="E5410" t="inlineStr">
        <is>
          <t>ARVIKA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55794-2021</t>
        </is>
      </c>
      <c r="B5411" s="1" t="n">
        <v>44476</v>
      </c>
      <c r="C5411" s="1" t="n">
        <v>45736</v>
      </c>
      <c r="D5411" t="inlineStr">
        <is>
          <t>VÄRMLANDS LÄN</t>
        </is>
      </c>
      <c r="E5411" t="inlineStr">
        <is>
          <t>TORSBY</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55811-2021</t>
        </is>
      </c>
      <c r="B5412" s="1" t="n">
        <v>44476</v>
      </c>
      <c r="C5412" s="1" t="n">
        <v>45736</v>
      </c>
      <c r="D5412" t="inlineStr">
        <is>
          <t>VÄRMLANDS LÄN</t>
        </is>
      </c>
      <c r="E5412" t="inlineStr">
        <is>
          <t>TORSBY</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55902-2021</t>
        </is>
      </c>
      <c r="B5413" s="1" t="n">
        <v>44476</v>
      </c>
      <c r="C5413" s="1" t="n">
        <v>45736</v>
      </c>
      <c r="D5413" t="inlineStr">
        <is>
          <t>VÄRMLANDS LÄN</t>
        </is>
      </c>
      <c r="E5413" t="inlineStr">
        <is>
          <t>ARVIKA</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55989-2021</t>
        </is>
      </c>
      <c r="B5414" s="1" t="n">
        <v>44477</v>
      </c>
      <c r="C5414" s="1" t="n">
        <v>45736</v>
      </c>
      <c r="D5414" t="inlineStr">
        <is>
          <t>VÄRMLANDS LÄN</t>
        </is>
      </c>
      <c r="E5414" t="inlineStr">
        <is>
          <t>EDA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56102-2021</t>
        </is>
      </c>
      <c r="B5415" s="1" t="n">
        <v>44477</v>
      </c>
      <c r="C5415" s="1" t="n">
        <v>45736</v>
      </c>
      <c r="D5415" t="inlineStr">
        <is>
          <t>VÄRMLANDS LÄN</t>
        </is>
      </c>
      <c r="E5415" t="inlineStr">
        <is>
          <t>TORSBY</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56037-2021</t>
        </is>
      </c>
      <c r="B5416" s="1" t="n">
        <v>44477</v>
      </c>
      <c r="C5416" s="1" t="n">
        <v>45736</v>
      </c>
      <c r="D5416" t="inlineStr">
        <is>
          <t>VÄRMLANDS LÄN</t>
        </is>
      </c>
      <c r="E5416" t="inlineStr">
        <is>
          <t>TORSBY</t>
        </is>
      </c>
      <c r="F5416" t="inlineStr">
        <is>
          <t>Bergvik skog väst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56062-2021</t>
        </is>
      </c>
      <c r="B5417" s="1" t="n">
        <v>44477</v>
      </c>
      <c r="C5417" s="1" t="n">
        <v>45736</v>
      </c>
      <c r="D5417" t="inlineStr">
        <is>
          <t>VÄRMLANDS LÄN</t>
        </is>
      </c>
      <c r="E5417" t="inlineStr">
        <is>
          <t>TORSBY</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56254-2021</t>
        </is>
      </c>
      <c r="B5418" s="1" t="n">
        <v>44479</v>
      </c>
      <c r="C5418" s="1" t="n">
        <v>45736</v>
      </c>
      <c r="D5418" t="inlineStr">
        <is>
          <t>VÄRMLANDS LÄN</t>
        </is>
      </c>
      <c r="E5418" t="inlineStr">
        <is>
          <t>HAGFORS</t>
        </is>
      </c>
      <c r="F5418" t="inlineStr">
        <is>
          <t>Bergvik skog väst AB</t>
        </is>
      </c>
      <c r="G5418" t="n">
        <v>16.1</v>
      </c>
      <c r="H5418" t="n">
        <v>0</v>
      </c>
      <c r="I5418" t="n">
        <v>0</v>
      </c>
      <c r="J5418" t="n">
        <v>0</v>
      </c>
      <c r="K5418" t="n">
        <v>0</v>
      </c>
      <c r="L5418" t="n">
        <v>0</v>
      </c>
      <c r="M5418" t="n">
        <v>0</v>
      </c>
      <c r="N5418" t="n">
        <v>0</v>
      </c>
      <c r="O5418" t="n">
        <v>0</v>
      </c>
      <c r="P5418" t="n">
        <v>0</v>
      </c>
      <c r="Q5418" t="n">
        <v>0</v>
      </c>
      <c r="R5418" s="2" t="inlineStr"/>
    </row>
    <row r="5419" ht="15" customHeight="1">
      <c r="A5419" t="inlineStr">
        <is>
          <t>A 56272-2021</t>
        </is>
      </c>
      <c r="B5419" s="1" t="n">
        <v>44479</v>
      </c>
      <c r="C5419" s="1" t="n">
        <v>45736</v>
      </c>
      <c r="D5419" t="inlineStr">
        <is>
          <t>VÄRMLANDS LÄN</t>
        </is>
      </c>
      <c r="E5419" t="inlineStr">
        <is>
          <t>EDA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56273-2021</t>
        </is>
      </c>
      <c r="B5420" s="1" t="n">
        <v>44479</v>
      </c>
      <c r="C5420" s="1" t="n">
        <v>45736</v>
      </c>
      <c r="D5420" t="inlineStr">
        <is>
          <t>VÄRMLANDS LÄN</t>
        </is>
      </c>
      <c r="E5420" t="inlineStr">
        <is>
          <t>EDA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56522-2021</t>
        </is>
      </c>
      <c r="B5421" s="1" t="n">
        <v>44480</v>
      </c>
      <c r="C5421" s="1" t="n">
        <v>45736</v>
      </c>
      <c r="D5421" t="inlineStr">
        <is>
          <t>VÄRMLANDS LÄN</t>
        </is>
      </c>
      <c r="E5421" t="inlineStr">
        <is>
          <t>KRISTINEHAMN</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56311-2021</t>
        </is>
      </c>
      <c r="B5422" s="1" t="n">
        <v>44480</v>
      </c>
      <c r="C5422" s="1" t="n">
        <v>45736</v>
      </c>
      <c r="D5422" t="inlineStr">
        <is>
          <t>VÄRMLANDS LÄN</t>
        </is>
      </c>
      <c r="E5422" t="inlineStr">
        <is>
          <t>ÅRJÄNG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56532-2021</t>
        </is>
      </c>
      <c r="B5423" s="1" t="n">
        <v>44480</v>
      </c>
      <c r="C5423" s="1" t="n">
        <v>45736</v>
      </c>
      <c r="D5423" t="inlineStr">
        <is>
          <t>VÄRMLANDS LÄN</t>
        </is>
      </c>
      <c r="E5423" t="inlineStr">
        <is>
          <t>FORSHAGA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56559-2021</t>
        </is>
      </c>
      <c r="B5424" s="1" t="n">
        <v>44480</v>
      </c>
      <c r="C5424" s="1" t="n">
        <v>45736</v>
      </c>
      <c r="D5424" t="inlineStr">
        <is>
          <t>VÄRMLANDS LÄN</t>
        </is>
      </c>
      <c r="E5424" t="inlineStr">
        <is>
          <t>ÅRJÄNG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56583-2021</t>
        </is>
      </c>
      <c r="B5425" s="1" t="n">
        <v>44480</v>
      </c>
      <c r="C5425" s="1" t="n">
        <v>45736</v>
      </c>
      <c r="D5425" t="inlineStr">
        <is>
          <t>VÄRMLANDS LÄN</t>
        </is>
      </c>
      <c r="E5425" t="inlineStr">
        <is>
          <t>ÅRJÄNG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56697-2021</t>
        </is>
      </c>
      <c r="B5426" s="1" t="n">
        <v>44480</v>
      </c>
      <c r="C5426" s="1" t="n">
        <v>45736</v>
      </c>
      <c r="D5426" t="inlineStr">
        <is>
          <t>VÄRMLANDS LÄN</t>
        </is>
      </c>
      <c r="E5426" t="inlineStr">
        <is>
          <t>SÄFFLE</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56765-2021</t>
        </is>
      </c>
      <c r="B5427" s="1" t="n">
        <v>44481</v>
      </c>
      <c r="C5427" s="1" t="n">
        <v>45736</v>
      </c>
      <c r="D5427" t="inlineStr">
        <is>
          <t>VÄRMLANDS LÄN</t>
        </is>
      </c>
      <c r="E5427" t="inlineStr">
        <is>
          <t>KIL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56682-2021</t>
        </is>
      </c>
      <c r="B5428" s="1" t="n">
        <v>44481</v>
      </c>
      <c r="C5428" s="1" t="n">
        <v>45736</v>
      </c>
      <c r="D5428" t="inlineStr">
        <is>
          <t>VÄRMLANDS LÄN</t>
        </is>
      </c>
      <c r="E5428" t="inlineStr">
        <is>
          <t>ÅRJÄNG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56835-2021</t>
        </is>
      </c>
      <c r="B5429" s="1" t="n">
        <v>44481</v>
      </c>
      <c r="C5429" s="1" t="n">
        <v>45736</v>
      </c>
      <c r="D5429" t="inlineStr">
        <is>
          <t>VÄRMLANDS LÄN</t>
        </is>
      </c>
      <c r="E5429" t="inlineStr">
        <is>
          <t>HAMMARÖ</t>
        </is>
      </c>
      <c r="F5429" t="inlineStr">
        <is>
          <t>Kommuner</t>
        </is>
      </c>
      <c r="G5429" t="n">
        <v>18.8</v>
      </c>
      <c r="H5429" t="n">
        <v>0</v>
      </c>
      <c r="I5429" t="n">
        <v>0</v>
      </c>
      <c r="J5429" t="n">
        <v>0</v>
      </c>
      <c r="K5429" t="n">
        <v>0</v>
      </c>
      <c r="L5429" t="n">
        <v>0</v>
      </c>
      <c r="M5429" t="n">
        <v>0</v>
      </c>
      <c r="N5429" t="n">
        <v>0</v>
      </c>
      <c r="O5429" t="n">
        <v>0</v>
      </c>
      <c r="P5429" t="n">
        <v>0</v>
      </c>
      <c r="Q5429" t="n">
        <v>0</v>
      </c>
      <c r="R5429" s="2" t="inlineStr"/>
    </row>
    <row r="5430" ht="15" customHeight="1">
      <c r="A5430" t="inlineStr">
        <is>
          <t>A 56762-2021</t>
        </is>
      </c>
      <c r="B5430" s="1" t="n">
        <v>44481</v>
      </c>
      <c r="C5430" s="1" t="n">
        <v>45736</v>
      </c>
      <c r="D5430" t="inlineStr">
        <is>
          <t>VÄRMLANDS LÄN</t>
        </is>
      </c>
      <c r="E5430" t="inlineStr">
        <is>
          <t>KIL</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56886-2021</t>
        </is>
      </c>
      <c r="B5431" s="1" t="n">
        <v>44481</v>
      </c>
      <c r="C5431" s="1" t="n">
        <v>45736</v>
      </c>
      <c r="D5431" t="inlineStr">
        <is>
          <t>VÄRMLANDS LÄN</t>
        </is>
      </c>
      <c r="E5431" t="inlineStr">
        <is>
          <t>SUNNE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56928-2021</t>
        </is>
      </c>
      <c r="B5432" s="1" t="n">
        <v>44482</v>
      </c>
      <c r="C5432" s="1" t="n">
        <v>45736</v>
      </c>
      <c r="D5432" t="inlineStr">
        <is>
          <t>VÄRMLANDS LÄN</t>
        </is>
      </c>
      <c r="E5432" t="inlineStr">
        <is>
          <t>KARLSTAD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57065-2021</t>
        </is>
      </c>
      <c r="B5433" s="1" t="n">
        <v>44482</v>
      </c>
      <c r="C5433" s="1" t="n">
        <v>45736</v>
      </c>
      <c r="D5433" t="inlineStr">
        <is>
          <t>VÄRMLANDS LÄN</t>
        </is>
      </c>
      <c r="E5433" t="inlineStr">
        <is>
          <t>KIL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57090-2021</t>
        </is>
      </c>
      <c r="B5434" s="1" t="n">
        <v>44482</v>
      </c>
      <c r="C5434" s="1" t="n">
        <v>45736</v>
      </c>
      <c r="D5434" t="inlineStr">
        <is>
          <t>VÄRMLANDS LÄN</t>
        </is>
      </c>
      <c r="E5434" t="inlineStr">
        <is>
          <t>FILIPSTAD</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56981-2021</t>
        </is>
      </c>
      <c r="B5435" s="1" t="n">
        <v>44482</v>
      </c>
      <c r="C5435" s="1" t="n">
        <v>45736</v>
      </c>
      <c r="D5435" t="inlineStr">
        <is>
          <t>VÄRMLANDS LÄN</t>
        </is>
      </c>
      <c r="E5435" t="inlineStr">
        <is>
          <t>TORSBY</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56993-2021</t>
        </is>
      </c>
      <c r="B5436" s="1" t="n">
        <v>44482</v>
      </c>
      <c r="C5436" s="1" t="n">
        <v>45736</v>
      </c>
      <c r="D5436" t="inlineStr">
        <is>
          <t>VÄRMLANDS LÄN</t>
        </is>
      </c>
      <c r="E5436" t="inlineStr">
        <is>
          <t>ÅRJÄNG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57069-2021</t>
        </is>
      </c>
      <c r="B5437" s="1" t="n">
        <v>44482</v>
      </c>
      <c r="C5437" s="1" t="n">
        <v>45736</v>
      </c>
      <c r="D5437" t="inlineStr">
        <is>
          <t>VÄRMLANDS LÄN</t>
        </is>
      </c>
      <c r="E5437" t="inlineStr">
        <is>
          <t>KIL</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57087-2021</t>
        </is>
      </c>
      <c r="B5438" s="1" t="n">
        <v>44482</v>
      </c>
      <c r="C5438" s="1" t="n">
        <v>45736</v>
      </c>
      <c r="D5438" t="inlineStr">
        <is>
          <t>VÄRMLANDS LÄN</t>
        </is>
      </c>
      <c r="E5438" t="inlineStr">
        <is>
          <t>FILIPSTAD</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57253-2021</t>
        </is>
      </c>
      <c r="B5439" s="1" t="n">
        <v>44482</v>
      </c>
      <c r="C5439" s="1" t="n">
        <v>45736</v>
      </c>
      <c r="D5439" t="inlineStr">
        <is>
          <t>VÄRMLANDS LÄN</t>
        </is>
      </c>
      <c r="E5439" t="inlineStr">
        <is>
          <t>EDA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57287-2021</t>
        </is>
      </c>
      <c r="B5440" s="1" t="n">
        <v>44482</v>
      </c>
      <c r="C5440" s="1" t="n">
        <v>45736</v>
      </c>
      <c r="D5440" t="inlineStr">
        <is>
          <t>VÄRMLANDS LÄN</t>
        </is>
      </c>
      <c r="E5440" t="inlineStr">
        <is>
          <t>TORSBY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57237-2021</t>
        </is>
      </c>
      <c r="B5441" s="1" t="n">
        <v>44482</v>
      </c>
      <c r="C5441" s="1" t="n">
        <v>45736</v>
      </c>
      <c r="D5441" t="inlineStr">
        <is>
          <t>VÄRMLANDS LÄN</t>
        </is>
      </c>
      <c r="E5441" t="inlineStr">
        <is>
          <t>KARLSTAD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57316-2021</t>
        </is>
      </c>
      <c r="B5442" s="1" t="n">
        <v>44483</v>
      </c>
      <c r="C5442" s="1" t="n">
        <v>45736</v>
      </c>
      <c r="D5442" t="inlineStr">
        <is>
          <t>VÄRMLANDS LÄN</t>
        </is>
      </c>
      <c r="E5442" t="inlineStr">
        <is>
          <t>SUNNE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57356-2021</t>
        </is>
      </c>
      <c r="B5443" s="1" t="n">
        <v>44483</v>
      </c>
      <c r="C5443" s="1" t="n">
        <v>45736</v>
      </c>
      <c r="D5443" t="inlineStr">
        <is>
          <t>VÄRMLANDS LÄN</t>
        </is>
      </c>
      <c r="E5443" t="inlineStr">
        <is>
          <t>EDA</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57391-2021</t>
        </is>
      </c>
      <c r="B5444" s="1" t="n">
        <v>44483</v>
      </c>
      <c r="C5444" s="1" t="n">
        <v>45736</v>
      </c>
      <c r="D5444" t="inlineStr">
        <is>
          <t>VÄRMLANDS LÄN</t>
        </is>
      </c>
      <c r="E5444" t="inlineStr">
        <is>
          <t>KARLSTAD</t>
        </is>
      </c>
      <c r="F5444" t="inlineStr">
        <is>
          <t>Kommuner</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57314-2021</t>
        </is>
      </c>
      <c r="B5445" s="1" t="n">
        <v>44483</v>
      </c>
      <c r="C5445" s="1" t="n">
        <v>45736</v>
      </c>
      <c r="D5445" t="inlineStr">
        <is>
          <t>VÄRMLANDS LÄN</t>
        </is>
      </c>
      <c r="E5445" t="inlineStr">
        <is>
          <t>KIL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57382-2021</t>
        </is>
      </c>
      <c r="B5446" s="1" t="n">
        <v>44483</v>
      </c>
      <c r="C5446" s="1" t="n">
        <v>45736</v>
      </c>
      <c r="D5446" t="inlineStr">
        <is>
          <t>VÄRMLANDS LÄN</t>
        </is>
      </c>
      <c r="E5446" t="inlineStr">
        <is>
          <t>SUNNE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57469-2021</t>
        </is>
      </c>
      <c r="B5447" s="1" t="n">
        <v>44483</v>
      </c>
      <c r="C5447" s="1" t="n">
        <v>45736</v>
      </c>
      <c r="D5447" t="inlineStr">
        <is>
          <t>VÄRMLANDS LÄN</t>
        </is>
      </c>
      <c r="E5447" t="inlineStr">
        <is>
          <t>KARLSTAD</t>
        </is>
      </c>
      <c r="F5447" t="inlineStr">
        <is>
          <t>Kommuner</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57476-2021</t>
        </is>
      </c>
      <c r="B5448" s="1" t="n">
        <v>44483</v>
      </c>
      <c r="C5448" s="1" t="n">
        <v>45736</v>
      </c>
      <c r="D5448" t="inlineStr">
        <is>
          <t>VÄRMLANDS LÄN</t>
        </is>
      </c>
      <c r="E5448" t="inlineStr">
        <is>
          <t>KARLSTAD</t>
        </is>
      </c>
      <c r="F5448" t="inlineStr">
        <is>
          <t>Kommuner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57453-2021</t>
        </is>
      </c>
      <c r="B5449" s="1" t="n">
        <v>44483</v>
      </c>
      <c r="C5449" s="1" t="n">
        <v>45736</v>
      </c>
      <c r="D5449" t="inlineStr">
        <is>
          <t>VÄRMLANDS LÄN</t>
        </is>
      </c>
      <c r="E5449" t="inlineStr">
        <is>
          <t>KARLSTAD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57506-2021</t>
        </is>
      </c>
      <c r="B5450" s="1" t="n">
        <v>44483</v>
      </c>
      <c r="C5450" s="1" t="n">
        <v>45736</v>
      </c>
      <c r="D5450" t="inlineStr">
        <is>
          <t>VÄRMLANDS LÄN</t>
        </is>
      </c>
      <c r="E5450" t="inlineStr">
        <is>
          <t>FORSHAGA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57833-2021</t>
        </is>
      </c>
      <c r="B5451" s="1" t="n">
        <v>44484</v>
      </c>
      <c r="C5451" s="1" t="n">
        <v>45736</v>
      </c>
      <c r="D5451" t="inlineStr">
        <is>
          <t>VÄRMLANDS LÄN</t>
        </is>
      </c>
      <c r="E5451" t="inlineStr">
        <is>
          <t>ÅRJÄNG</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57743-2021</t>
        </is>
      </c>
      <c r="B5452" s="1" t="n">
        <v>44484</v>
      </c>
      <c r="C5452" s="1" t="n">
        <v>45736</v>
      </c>
      <c r="D5452" t="inlineStr">
        <is>
          <t>VÄRMLANDS LÄN</t>
        </is>
      </c>
      <c r="E5452" t="inlineStr">
        <is>
          <t>KIL</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57734-2021</t>
        </is>
      </c>
      <c r="B5453" s="1" t="n">
        <v>44484</v>
      </c>
      <c r="C5453" s="1" t="n">
        <v>45736</v>
      </c>
      <c r="D5453" t="inlineStr">
        <is>
          <t>VÄRMLANDS LÄN</t>
        </is>
      </c>
      <c r="E5453" t="inlineStr">
        <is>
          <t>STORFORS</t>
        </is>
      </c>
      <c r="F5453" t="inlineStr">
        <is>
          <t>Naturvårdsverket</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57780-2021</t>
        </is>
      </c>
      <c r="B5454" s="1" t="n">
        <v>44484</v>
      </c>
      <c r="C5454" s="1" t="n">
        <v>45736</v>
      </c>
      <c r="D5454" t="inlineStr">
        <is>
          <t>VÄRMLANDS LÄN</t>
        </is>
      </c>
      <c r="E5454" t="inlineStr">
        <is>
          <t>KARLSTAD</t>
        </is>
      </c>
      <c r="F5454" t="inlineStr">
        <is>
          <t>Kommuner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58070-2021</t>
        </is>
      </c>
      <c r="B5455" s="1" t="n">
        <v>44487</v>
      </c>
      <c r="C5455" s="1" t="n">
        <v>45736</v>
      </c>
      <c r="D5455" t="inlineStr">
        <is>
          <t>VÄRMLANDS LÄN</t>
        </is>
      </c>
      <c r="E5455" t="inlineStr">
        <is>
          <t>SÄFFLE</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58091-2021</t>
        </is>
      </c>
      <c r="B5456" s="1" t="n">
        <v>44487</v>
      </c>
      <c r="C5456" s="1" t="n">
        <v>45736</v>
      </c>
      <c r="D5456" t="inlineStr">
        <is>
          <t>VÄRMLANDS LÄN</t>
        </is>
      </c>
      <c r="E5456" t="inlineStr">
        <is>
          <t>SÄFFLE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57967-2021</t>
        </is>
      </c>
      <c r="B5457" s="1" t="n">
        <v>44487</v>
      </c>
      <c r="C5457" s="1" t="n">
        <v>45736</v>
      </c>
      <c r="D5457" t="inlineStr">
        <is>
          <t>VÄRMLANDS LÄN</t>
        </is>
      </c>
      <c r="E5457" t="inlineStr">
        <is>
          <t>KIL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58105-2021</t>
        </is>
      </c>
      <c r="B5458" s="1" t="n">
        <v>44487</v>
      </c>
      <c r="C5458" s="1" t="n">
        <v>45736</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58152-2021</t>
        </is>
      </c>
      <c r="B5459" s="1" t="n">
        <v>44487</v>
      </c>
      <c r="C5459" s="1" t="n">
        <v>45736</v>
      </c>
      <c r="D5459" t="inlineStr">
        <is>
          <t>VÄRMLANDS LÄN</t>
        </is>
      </c>
      <c r="E5459" t="inlineStr">
        <is>
          <t>ARVIKA</t>
        </is>
      </c>
      <c r="F5459" t="inlineStr">
        <is>
          <t>Bergvik skog väst AB</t>
        </is>
      </c>
      <c r="G5459" t="n">
        <v>8.1</v>
      </c>
      <c r="H5459" t="n">
        <v>0</v>
      </c>
      <c r="I5459" t="n">
        <v>0</v>
      </c>
      <c r="J5459" t="n">
        <v>0</v>
      </c>
      <c r="K5459" t="n">
        <v>0</v>
      </c>
      <c r="L5459" t="n">
        <v>0</v>
      </c>
      <c r="M5459" t="n">
        <v>0</v>
      </c>
      <c r="N5459" t="n">
        <v>0</v>
      </c>
      <c r="O5459" t="n">
        <v>0</v>
      </c>
      <c r="P5459" t="n">
        <v>0</v>
      </c>
      <c r="Q5459" t="n">
        <v>0</v>
      </c>
      <c r="R5459" s="2" t="inlineStr"/>
    </row>
    <row r="5460" ht="15" customHeight="1">
      <c r="A5460" t="inlineStr">
        <is>
          <t>A 58062-2021</t>
        </is>
      </c>
      <c r="B5460" s="1" t="n">
        <v>44487</v>
      </c>
      <c r="C5460" s="1" t="n">
        <v>45736</v>
      </c>
      <c r="D5460" t="inlineStr">
        <is>
          <t>VÄRMLANDS LÄN</t>
        </is>
      </c>
      <c r="E5460" t="inlineStr">
        <is>
          <t>TORSBY</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58460-2021</t>
        </is>
      </c>
      <c r="B5461" s="1" t="n">
        <v>44488</v>
      </c>
      <c r="C5461" s="1" t="n">
        <v>45736</v>
      </c>
      <c r="D5461" t="inlineStr">
        <is>
          <t>VÄRMLANDS LÄN</t>
        </is>
      </c>
      <c r="E5461" t="inlineStr">
        <is>
          <t>SÄFFLE</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58292-2021</t>
        </is>
      </c>
      <c r="B5462" s="1" t="n">
        <v>44488</v>
      </c>
      <c r="C5462" s="1" t="n">
        <v>45736</v>
      </c>
      <c r="D5462" t="inlineStr">
        <is>
          <t>VÄRMLANDS LÄN</t>
        </is>
      </c>
      <c r="E5462" t="inlineStr">
        <is>
          <t>FORSHAGA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58367-2021</t>
        </is>
      </c>
      <c r="B5463" s="1" t="n">
        <v>44488</v>
      </c>
      <c r="C5463" s="1" t="n">
        <v>45736</v>
      </c>
      <c r="D5463" t="inlineStr">
        <is>
          <t>VÄRMLANDS LÄN</t>
        </is>
      </c>
      <c r="E5463" t="inlineStr">
        <is>
          <t>SUNNE</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58288-2021</t>
        </is>
      </c>
      <c r="B5464" s="1" t="n">
        <v>44488</v>
      </c>
      <c r="C5464" s="1" t="n">
        <v>45736</v>
      </c>
      <c r="D5464" t="inlineStr">
        <is>
          <t>VÄRMLANDS LÄN</t>
        </is>
      </c>
      <c r="E5464" t="inlineStr">
        <is>
          <t>ARVIKA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58383-2021</t>
        </is>
      </c>
      <c r="B5465" s="1" t="n">
        <v>44488</v>
      </c>
      <c r="C5465" s="1" t="n">
        <v>45736</v>
      </c>
      <c r="D5465" t="inlineStr">
        <is>
          <t>VÄRMLANDS LÄN</t>
        </is>
      </c>
      <c r="E5465" t="inlineStr">
        <is>
          <t>SÄFFLE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58479-2021</t>
        </is>
      </c>
      <c r="B5466" s="1" t="n">
        <v>44488</v>
      </c>
      <c r="C5466" s="1" t="n">
        <v>45736</v>
      </c>
      <c r="D5466" t="inlineStr">
        <is>
          <t>VÄRMLANDS LÄN</t>
        </is>
      </c>
      <c r="E5466" t="inlineStr">
        <is>
          <t>TORSBY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58493-2021</t>
        </is>
      </c>
      <c r="B5467" s="1" t="n">
        <v>44488</v>
      </c>
      <c r="C5467" s="1" t="n">
        <v>45736</v>
      </c>
      <c r="D5467" t="inlineStr">
        <is>
          <t>VÄRMLANDS LÄN</t>
        </is>
      </c>
      <c r="E5467" t="inlineStr">
        <is>
          <t>HAGFORS</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58501-2021</t>
        </is>
      </c>
      <c r="B5468" s="1" t="n">
        <v>44488</v>
      </c>
      <c r="C5468" s="1" t="n">
        <v>45736</v>
      </c>
      <c r="D5468" t="inlineStr">
        <is>
          <t>VÄRMLANDS LÄN</t>
        </is>
      </c>
      <c r="E5468" t="inlineStr">
        <is>
          <t>KARLSTAD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58507-2021</t>
        </is>
      </c>
      <c r="B5469" s="1" t="n">
        <v>44488</v>
      </c>
      <c r="C5469" s="1" t="n">
        <v>45736</v>
      </c>
      <c r="D5469" t="inlineStr">
        <is>
          <t>VÄRMLANDS LÄN</t>
        </is>
      </c>
      <c r="E5469" t="inlineStr">
        <is>
          <t>KARLSTAD</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58476-2021</t>
        </is>
      </c>
      <c r="B5470" s="1" t="n">
        <v>44488</v>
      </c>
      <c r="C5470" s="1" t="n">
        <v>45736</v>
      </c>
      <c r="D5470" t="inlineStr">
        <is>
          <t>VÄRMLANDS LÄN</t>
        </is>
      </c>
      <c r="E5470" t="inlineStr">
        <is>
          <t>TORSBY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58543-2021</t>
        </is>
      </c>
      <c r="B5471" s="1" t="n">
        <v>44488</v>
      </c>
      <c r="C5471" s="1" t="n">
        <v>45736</v>
      </c>
      <c r="D5471" t="inlineStr">
        <is>
          <t>VÄRMLANDS LÄN</t>
        </is>
      </c>
      <c r="E5471" t="inlineStr">
        <is>
          <t>TORSBY</t>
        </is>
      </c>
      <c r="F5471" t="inlineStr">
        <is>
          <t>Bergvik skog väst AB</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58627-2021</t>
        </is>
      </c>
      <c r="B5472" s="1" t="n">
        <v>44489</v>
      </c>
      <c r="C5472" s="1" t="n">
        <v>45736</v>
      </c>
      <c r="D5472" t="inlineStr">
        <is>
          <t>VÄRMLANDS LÄN</t>
        </is>
      </c>
      <c r="E5472" t="inlineStr">
        <is>
          <t>SUNNE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58630-2021</t>
        </is>
      </c>
      <c r="B5473" s="1" t="n">
        <v>44489</v>
      </c>
      <c r="C5473" s="1" t="n">
        <v>45736</v>
      </c>
      <c r="D5473" t="inlineStr">
        <is>
          <t>VÄRMLANDS LÄN</t>
        </is>
      </c>
      <c r="E5473" t="inlineStr">
        <is>
          <t>SUNNE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58714-2021</t>
        </is>
      </c>
      <c r="B5474" s="1" t="n">
        <v>44489</v>
      </c>
      <c r="C5474" s="1" t="n">
        <v>45736</v>
      </c>
      <c r="D5474" t="inlineStr">
        <is>
          <t>VÄRMLANDS LÄN</t>
        </is>
      </c>
      <c r="E5474" t="inlineStr">
        <is>
          <t>FORSHAGA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58679-2021</t>
        </is>
      </c>
      <c r="B5475" s="1" t="n">
        <v>44489</v>
      </c>
      <c r="C5475" s="1" t="n">
        <v>45736</v>
      </c>
      <c r="D5475" t="inlineStr">
        <is>
          <t>VÄRMLANDS LÄN</t>
        </is>
      </c>
      <c r="E5475" t="inlineStr">
        <is>
          <t>KIL</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58616-2021</t>
        </is>
      </c>
      <c r="B5476" s="1" t="n">
        <v>44489</v>
      </c>
      <c r="C5476" s="1" t="n">
        <v>45736</v>
      </c>
      <c r="D5476" t="inlineStr">
        <is>
          <t>VÄRMLANDS LÄN</t>
        </is>
      </c>
      <c r="E5476" t="inlineStr">
        <is>
          <t>KRISTINEHAMN</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58878-2021</t>
        </is>
      </c>
      <c r="B5477" s="1" t="n">
        <v>44489</v>
      </c>
      <c r="C5477" s="1" t="n">
        <v>45736</v>
      </c>
      <c r="D5477" t="inlineStr">
        <is>
          <t>VÄRMLANDS LÄN</t>
        </is>
      </c>
      <c r="E5477" t="inlineStr">
        <is>
          <t>SÄFFLE</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58728-2021</t>
        </is>
      </c>
      <c r="B5478" s="1" t="n">
        <v>44489</v>
      </c>
      <c r="C5478" s="1" t="n">
        <v>45736</v>
      </c>
      <c r="D5478" t="inlineStr">
        <is>
          <t>VÄRMLANDS LÄN</t>
        </is>
      </c>
      <c r="E5478" t="inlineStr">
        <is>
          <t>TORSBY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58757-2021</t>
        </is>
      </c>
      <c r="B5479" s="1" t="n">
        <v>44489</v>
      </c>
      <c r="C5479" s="1" t="n">
        <v>45736</v>
      </c>
      <c r="D5479" t="inlineStr">
        <is>
          <t>VÄRMLANDS LÄN</t>
        </is>
      </c>
      <c r="E5479" t="inlineStr">
        <is>
          <t>SUNNE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59084-2021</t>
        </is>
      </c>
      <c r="B5480" s="1" t="n">
        <v>44490</v>
      </c>
      <c r="C5480" s="1" t="n">
        <v>45736</v>
      </c>
      <c r="D5480" t="inlineStr">
        <is>
          <t>VÄRMLANDS LÄN</t>
        </is>
      </c>
      <c r="E5480" t="inlineStr">
        <is>
          <t>STORFORS</t>
        </is>
      </c>
      <c r="F5480" t="inlineStr">
        <is>
          <t>Naturvårdsverket</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59009-2021</t>
        </is>
      </c>
      <c r="B5481" s="1" t="n">
        <v>44490</v>
      </c>
      <c r="C5481" s="1" t="n">
        <v>45736</v>
      </c>
      <c r="D5481" t="inlineStr">
        <is>
          <t>VÄRMLANDS LÄN</t>
        </is>
      </c>
      <c r="E5481" t="inlineStr">
        <is>
          <t>ÅRJÄNG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59143-2021</t>
        </is>
      </c>
      <c r="B5482" s="1" t="n">
        <v>44490</v>
      </c>
      <c r="C5482" s="1" t="n">
        <v>45736</v>
      </c>
      <c r="D5482" t="inlineStr">
        <is>
          <t>VÄRMLANDS LÄN</t>
        </is>
      </c>
      <c r="E5482" t="inlineStr">
        <is>
          <t>ÅRJÄNG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59144-2021</t>
        </is>
      </c>
      <c r="B5483" s="1" t="n">
        <v>44490</v>
      </c>
      <c r="C5483" s="1" t="n">
        <v>45736</v>
      </c>
      <c r="D5483" t="inlineStr">
        <is>
          <t>VÄRMLANDS LÄN</t>
        </is>
      </c>
      <c r="E5483" t="inlineStr">
        <is>
          <t>KRISTINEHAMN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59195-2021</t>
        </is>
      </c>
      <c r="B5484" s="1" t="n">
        <v>44490</v>
      </c>
      <c r="C5484" s="1" t="n">
        <v>45736</v>
      </c>
      <c r="D5484" t="inlineStr">
        <is>
          <t>VÄRMLANDS LÄN</t>
        </is>
      </c>
      <c r="E5484" t="inlineStr">
        <is>
          <t>ARVIKA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59224-2021</t>
        </is>
      </c>
      <c r="B5485" s="1" t="n">
        <v>44490</v>
      </c>
      <c r="C5485" s="1" t="n">
        <v>45736</v>
      </c>
      <c r="D5485" t="inlineStr">
        <is>
          <t>VÄRMLANDS LÄN</t>
        </is>
      </c>
      <c r="E5485" t="inlineStr">
        <is>
          <t>SÄFFLE</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59255-2021</t>
        </is>
      </c>
      <c r="B5486" s="1" t="n">
        <v>44490</v>
      </c>
      <c r="C5486" s="1" t="n">
        <v>45736</v>
      </c>
      <c r="D5486" t="inlineStr">
        <is>
          <t>VÄRMLANDS LÄN</t>
        </is>
      </c>
      <c r="E5486" t="inlineStr">
        <is>
          <t>SÄFFLE</t>
        </is>
      </c>
      <c r="G5486" t="n">
        <v>14.6</v>
      </c>
      <c r="H5486" t="n">
        <v>0</v>
      </c>
      <c r="I5486" t="n">
        <v>0</v>
      </c>
      <c r="J5486" t="n">
        <v>0</v>
      </c>
      <c r="K5486" t="n">
        <v>0</v>
      </c>
      <c r="L5486" t="n">
        <v>0</v>
      </c>
      <c r="M5486" t="n">
        <v>0</v>
      </c>
      <c r="N5486" t="n">
        <v>0</v>
      </c>
      <c r="O5486" t="n">
        <v>0</v>
      </c>
      <c r="P5486" t="n">
        <v>0</v>
      </c>
      <c r="Q5486" t="n">
        <v>0</v>
      </c>
      <c r="R5486" s="2" t="inlineStr"/>
    </row>
    <row r="5487" ht="15" customHeight="1">
      <c r="A5487" t="inlineStr">
        <is>
          <t>A 59370-2021</t>
        </is>
      </c>
      <c r="B5487" s="1" t="n">
        <v>44491</v>
      </c>
      <c r="C5487" s="1" t="n">
        <v>45736</v>
      </c>
      <c r="D5487" t="inlineStr">
        <is>
          <t>VÄRMLANDS LÄN</t>
        </is>
      </c>
      <c r="E5487" t="inlineStr">
        <is>
          <t>EDA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59341-2021</t>
        </is>
      </c>
      <c r="B5488" s="1" t="n">
        <v>44491</v>
      </c>
      <c r="C5488" s="1" t="n">
        <v>45736</v>
      </c>
      <c r="D5488" t="inlineStr">
        <is>
          <t>VÄRMLANDS LÄN</t>
        </is>
      </c>
      <c r="E5488" t="inlineStr">
        <is>
          <t>ÅRJÄNG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59375-2021</t>
        </is>
      </c>
      <c r="B5489" s="1" t="n">
        <v>44491</v>
      </c>
      <c r="C5489" s="1" t="n">
        <v>45736</v>
      </c>
      <c r="D5489" t="inlineStr">
        <is>
          <t>VÄRMLANDS LÄN</t>
        </is>
      </c>
      <c r="E5489" t="inlineStr">
        <is>
          <t>EDA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59425-2021</t>
        </is>
      </c>
      <c r="B5490" s="1" t="n">
        <v>44491</v>
      </c>
      <c r="C5490" s="1" t="n">
        <v>45736</v>
      </c>
      <c r="D5490" t="inlineStr">
        <is>
          <t>VÄRMLANDS LÄN</t>
        </is>
      </c>
      <c r="E5490" t="inlineStr">
        <is>
          <t>TORSBY</t>
        </is>
      </c>
      <c r="F5490" t="inlineStr">
        <is>
          <t>Bergvik skog väst AB</t>
        </is>
      </c>
      <c r="G5490" t="n">
        <v>14.9</v>
      </c>
      <c r="H5490" t="n">
        <v>0</v>
      </c>
      <c r="I5490" t="n">
        <v>0</v>
      </c>
      <c r="J5490" t="n">
        <v>0</v>
      </c>
      <c r="K5490" t="n">
        <v>0</v>
      </c>
      <c r="L5490" t="n">
        <v>0</v>
      </c>
      <c r="M5490" t="n">
        <v>0</v>
      </c>
      <c r="N5490" t="n">
        <v>0</v>
      </c>
      <c r="O5490" t="n">
        <v>0</v>
      </c>
      <c r="P5490" t="n">
        <v>0</v>
      </c>
      <c r="Q5490" t="n">
        <v>0</v>
      </c>
      <c r="R5490" s="2" t="inlineStr"/>
    </row>
    <row r="5491" ht="15" customHeight="1">
      <c r="A5491" t="inlineStr">
        <is>
          <t>A 59453-2021</t>
        </is>
      </c>
      <c r="B5491" s="1" t="n">
        <v>44491</v>
      </c>
      <c r="C5491" s="1" t="n">
        <v>45736</v>
      </c>
      <c r="D5491" t="inlineStr">
        <is>
          <t>VÄRMLANDS LÄN</t>
        </is>
      </c>
      <c r="E5491" t="inlineStr">
        <is>
          <t>ÅRJÄNG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59508-2021</t>
        </is>
      </c>
      <c r="B5492" s="1" t="n">
        <v>44491</v>
      </c>
      <c r="C5492" s="1" t="n">
        <v>45736</v>
      </c>
      <c r="D5492" t="inlineStr">
        <is>
          <t>VÄRMLANDS LÄN</t>
        </is>
      </c>
      <c r="E5492" t="inlineStr">
        <is>
          <t>HAGFORS</t>
        </is>
      </c>
      <c r="F5492" t="inlineStr">
        <is>
          <t>Bergvik skog väst AB</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59466-2021</t>
        </is>
      </c>
      <c r="B5493" s="1" t="n">
        <v>44491</v>
      </c>
      <c r="C5493" s="1" t="n">
        <v>45736</v>
      </c>
      <c r="D5493" t="inlineStr">
        <is>
          <t>VÄRMLANDS LÄN</t>
        </is>
      </c>
      <c r="E5493" t="inlineStr">
        <is>
          <t>ÅRJÄNG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59531-2021</t>
        </is>
      </c>
      <c r="B5494" s="1" t="n">
        <v>44491</v>
      </c>
      <c r="C5494" s="1" t="n">
        <v>45736</v>
      </c>
      <c r="D5494" t="inlineStr">
        <is>
          <t>VÄRMLANDS LÄN</t>
        </is>
      </c>
      <c r="E5494" t="inlineStr">
        <is>
          <t>HAGFORS</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59535-2021</t>
        </is>
      </c>
      <c r="B5495" s="1" t="n">
        <v>44491</v>
      </c>
      <c r="C5495" s="1" t="n">
        <v>45736</v>
      </c>
      <c r="D5495" t="inlineStr">
        <is>
          <t>VÄRMLANDS LÄN</t>
        </is>
      </c>
      <c r="E5495" t="inlineStr">
        <is>
          <t>HAGFORS</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59510-2021</t>
        </is>
      </c>
      <c r="B5496" s="1" t="n">
        <v>44491</v>
      </c>
      <c r="C5496" s="1" t="n">
        <v>45736</v>
      </c>
      <c r="D5496" t="inlineStr">
        <is>
          <t>VÄRMLANDS LÄN</t>
        </is>
      </c>
      <c r="E5496" t="inlineStr">
        <is>
          <t>SÄFFLE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59627-2021</t>
        </is>
      </c>
      <c r="B5497" s="1" t="n">
        <v>44491</v>
      </c>
      <c r="C5497" s="1" t="n">
        <v>45736</v>
      </c>
      <c r="D5497" t="inlineStr">
        <is>
          <t>VÄRMLANDS LÄN</t>
        </is>
      </c>
      <c r="E5497" t="inlineStr">
        <is>
          <t>KARLSTAD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59626-2021</t>
        </is>
      </c>
      <c r="B5498" s="1" t="n">
        <v>44491</v>
      </c>
      <c r="C5498" s="1" t="n">
        <v>45736</v>
      </c>
      <c r="D5498" t="inlineStr">
        <is>
          <t>VÄRMLANDS LÄN</t>
        </is>
      </c>
      <c r="E5498" t="inlineStr">
        <is>
          <t>KARLSTAD</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59639-2021</t>
        </is>
      </c>
      <c r="B5499" s="1" t="n">
        <v>44493</v>
      </c>
      <c r="C5499" s="1" t="n">
        <v>45736</v>
      </c>
      <c r="D5499" t="inlineStr">
        <is>
          <t>VÄRMLANDS LÄN</t>
        </is>
      </c>
      <c r="E5499" t="inlineStr">
        <is>
          <t>KARLSTAD</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59886-2021</t>
        </is>
      </c>
      <c r="B5500" s="1" t="n">
        <v>44493</v>
      </c>
      <c r="C5500" s="1" t="n">
        <v>45736</v>
      </c>
      <c r="D5500" t="inlineStr">
        <is>
          <t>VÄRMLANDS LÄN</t>
        </is>
      </c>
      <c r="E5500" t="inlineStr">
        <is>
          <t>ARVIKA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59641-2021</t>
        </is>
      </c>
      <c r="B5501" s="1" t="n">
        <v>44493</v>
      </c>
      <c r="C5501" s="1" t="n">
        <v>45736</v>
      </c>
      <c r="D5501" t="inlineStr">
        <is>
          <t>VÄRMLANDS LÄN</t>
        </is>
      </c>
      <c r="E5501" t="inlineStr">
        <is>
          <t>KARLSTAD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59760-2021</t>
        </is>
      </c>
      <c r="B5502" s="1" t="n">
        <v>44494</v>
      </c>
      <c r="C5502" s="1" t="n">
        <v>45736</v>
      </c>
      <c r="D5502" t="inlineStr">
        <is>
          <t>VÄRMLANDS LÄN</t>
        </is>
      </c>
      <c r="E5502" t="inlineStr">
        <is>
          <t>GRUMS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59834-2021</t>
        </is>
      </c>
      <c r="B5503" s="1" t="n">
        <v>44494</v>
      </c>
      <c r="C5503" s="1" t="n">
        <v>45736</v>
      </c>
      <c r="D5503" t="inlineStr">
        <is>
          <t>VÄRMLANDS LÄN</t>
        </is>
      </c>
      <c r="E5503" t="inlineStr">
        <is>
          <t>SÄFFLE</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59805-2021</t>
        </is>
      </c>
      <c r="B5504" s="1" t="n">
        <v>44494</v>
      </c>
      <c r="C5504" s="1" t="n">
        <v>45736</v>
      </c>
      <c r="D5504" t="inlineStr">
        <is>
          <t>VÄRMLANDS LÄN</t>
        </is>
      </c>
      <c r="E5504" t="inlineStr">
        <is>
          <t>EDA</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59815-2021</t>
        </is>
      </c>
      <c r="B5505" s="1" t="n">
        <v>44494</v>
      </c>
      <c r="C5505" s="1" t="n">
        <v>45736</v>
      </c>
      <c r="D5505" t="inlineStr">
        <is>
          <t>VÄRMLANDS LÄN</t>
        </is>
      </c>
      <c r="E5505" t="inlineStr">
        <is>
          <t>EDA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59746-2021</t>
        </is>
      </c>
      <c r="B5506" s="1" t="n">
        <v>44494</v>
      </c>
      <c r="C5506" s="1" t="n">
        <v>45736</v>
      </c>
      <c r="D5506" t="inlineStr">
        <is>
          <t>VÄRMLANDS LÄN</t>
        </is>
      </c>
      <c r="E5506" t="inlineStr">
        <is>
          <t>GRUMS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59954-2021</t>
        </is>
      </c>
      <c r="B5507" s="1" t="n">
        <v>44494</v>
      </c>
      <c r="C5507" s="1" t="n">
        <v>45736</v>
      </c>
      <c r="D5507" t="inlineStr">
        <is>
          <t>VÄRMLANDS LÄN</t>
        </is>
      </c>
      <c r="E5507" t="inlineStr">
        <is>
          <t>FILIPSTAD</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59863-2021</t>
        </is>
      </c>
      <c r="B5508" s="1" t="n">
        <v>44494</v>
      </c>
      <c r="C5508" s="1" t="n">
        <v>45736</v>
      </c>
      <c r="D5508" t="inlineStr">
        <is>
          <t>VÄRMLANDS LÄN</t>
        </is>
      </c>
      <c r="E5508" t="inlineStr">
        <is>
          <t>GRUMS</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60183-2021</t>
        </is>
      </c>
      <c r="B5509" s="1" t="n">
        <v>44495</v>
      </c>
      <c r="C5509" s="1" t="n">
        <v>45736</v>
      </c>
      <c r="D5509" t="inlineStr">
        <is>
          <t>VÄRMLANDS LÄN</t>
        </is>
      </c>
      <c r="E5509" t="inlineStr">
        <is>
          <t>ARVIKA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60097-2021</t>
        </is>
      </c>
      <c r="B5510" s="1" t="n">
        <v>44495</v>
      </c>
      <c r="C5510" s="1" t="n">
        <v>45736</v>
      </c>
      <c r="D5510" t="inlineStr">
        <is>
          <t>VÄRMLANDS LÄN</t>
        </is>
      </c>
      <c r="E5510" t="inlineStr">
        <is>
          <t>ÅRJÄNG</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60289-2021</t>
        </is>
      </c>
      <c r="B5511" s="1" t="n">
        <v>44495</v>
      </c>
      <c r="C5511" s="1" t="n">
        <v>45736</v>
      </c>
      <c r="D5511" t="inlineStr">
        <is>
          <t>VÄRMLANDS LÄN</t>
        </is>
      </c>
      <c r="E5511" t="inlineStr">
        <is>
          <t>KARLSTAD</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61109-2021</t>
        </is>
      </c>
      <c r="B5512" s="1" t="n">
        <v>44495</v>
      </c>
      <c r="C5512" s="1" t="n">
        <v>45736</v>
      </c>
      <c r="D5512" t="inlineStr">
        <is>
          <t>VÄRMLANDS LÄN</t>
        </is>
      </c>
      <c r="E5512" t="inlineStr">
        <is>
          <t>KARLSTAD</t>
        </is>
      </c>
      <c r="G5512" t="n">
        <v>12.6</v>
      </c>
      <c r="H5512" t="n">
        <v>0</v>
      </c>
      <c r="I5512" t="n">
        <v>0</v>
      </c>
      <c r="J5512" t="n">
        <v>0</v>
      </c>
      <c r="K5512" t="n">
        <v>0</v>
      </c>
      <c r="L5512" t="n">
        <v>0</v>
      </c>
      <c r="M5512" t="n">
        <v>0</v>
      </c>
      <c r="N5512" t="n">
        <v>0</v>
      </c>
      <c r="O5512" t="n">
        <v>0</v>
      </c>
      <c r="P5512" t="n">
        <v>0</v>
      </c>
      <c r="Q5512" t="n">
        <v>0</v>
      </c>
      <c r="R5512" s="2" t="inlineStr"/>
    </row>
    <row r="5513" ht="15" customHeight="1">
      <c r="A5513" t="inlineStr">
        <is>
          <t>A 60508-2021</t>
        </is>
      </c>
      <c r="B5513" s="1" t="n">
        <v>44496</v>
      </c>
      <c r="C5513" s="1" t="n">
        <v>45736</v>
      </c>
      <c r="D5513" t="inlineStr">
        <is>
          <t>VÄRMLANDS LÄN</t>
        </is>
      </c>
      <c r="E5513" t="inlineStr">
        <is>
          <t>ARVIKA</t>
        </is>
      </c>
      <c r="F5513" t="inlineStr">
        <is>
          <t>Bergvik skog väst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60374-2021</t>
        </is>
      </c>
      <c r="B5514" s="1" t="n">
        <v>44496</v>
      </c>
      <c r="C5514" s="1" t="n">
        <v>45736</v>
      </c>
      <c r="D5514" t="inlineStr">
        <is>
          <t>VÄRMLANDS LÄN</t>
        </is>
      </c>
      <c r="E5514" t="inlineStr">
        <is>
          <t>FILIPSTAD</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60428-2021</t>
        </is>
      </c>
      <c r="B5515" s="1" t="n">
        <v>44496</v>
      </c>
      <c r="C5515" s="1" t="n">
        <v>45736</v>
      </c>
      <c r="D5515" t="inlineStr">
        <is>
          <t>VÄRMLANDS LÄN</t>
        </is>
      </c>
      <c r="E5515" t="inlineStr">
        <is>
          <t>TORSBY</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60377-2021</t>
        </is>
      </c>
      <c r="B5516" s="1" t="n">
        <v>44496</v>
      </c>
      <c r="C5516" s="1" t="n">
        <v>45736</v>
      </c>
      <c r="D5516" t="inlineStr">
        <is>
          <t>VÄRMLANDS LÄN</t>
        </is>
      </c>
      <c r="E5516" t="inlineStr">
        <is>
          <t>FILIPSTAD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60430-2021</t>
        </is>
      </c>
      <c r="B5517" s="1" t="n">
        <v>44496</v>
      </c>
      <c r="C5517" s="1" t="n">
        <v>45736</v>
      </c>
      <c r="D5517" t="inlineStr">
        <is>
          <t>VÄRMLANDS LÄN</t>
        </is>
      </c>
      <c r="E5517" t="inlineStr">
        <is>
          <t>TORSBY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60502-2021</t>
        </is>
      </c>
      <c r="B5518" s="1" t="n">
        <v>44496</v>
      </c>
      <c r="C5518" s="1" t="n">
        <v>45736</v>
      </c>
      <c r="D5518" t="inlineStr">
        <is>
          <t>VÄRMLANDS LÄN</t>
        </is>
      </c>
      <c r="E5518" t="inlineStr">
        <is>
          <t>ARVIKA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60698-2021</t>
        </is>
      </c>
      <c r="B5519" s="1" t="n">
        <v>44496</v>
      </c>
      <c r="C5519" s="1" t="n">
        <v>45736</v>
      </c>
      <c r="D5519" t="inlineStr">
        <is>
          <t>VÄRMLANDS LÄN</t>
        </is>
      </c>
      <c r="E5519" t="inlineStr">
        <is>
          <t>TORSBY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60715-2021</t>
        </is>
      </c>
      <c r="B5520" s="1" t="n">
        <v>44496</v>
      </c>
      <c r="C5520" s="1" t="n">
        <v>45736</v>
      </c>
      <c r="D5520" t="inlineStr">
        <is>
          <t>VÄRMLANDS LÄN</t>
        </is>
      </c>
      <c r="E5520" t="inlineStr">
        <is>
          <t>ÅRJÄNG</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60682-2021</t>
        </is>
      </c>
      <c r="B5521" s="1" t="n">
        <v>44496</v>
      </c>
      <c r="C5521" s="1" t="n">
        <v>45736</v>
      </c>
      <c r="D5521" t="inlineStr">
        <is>
          <t>VÄRMLANDS LÄN</t>
        </is>
      </c>
      <c r="E5521" t="inlineStr">
        <is>
          <t>ÅRJÄNG</t>
        </is>
      </c>
      <c r="G5521" t="n">
        <v>15.7</v>
      </c>
      <c r="H5521" t="n">
        <v>0</v>
      </c>
      <c r="I5521" t="n">
        <v>0</v>
      </c>
      <c r="J5521" t="n">
        <v>0</v>
      </c>
      <c r="K5521" t="n">
        <v>0</v>
      </c>
      <c r="L5521" t="n">
        <v>0</v>
      </c>
      <c r="M5521" t="n">
        <v>0</v>
      </c>
      <c r="N5521" t="n">
        <v>0</v>
      </c>
      <c r="O5521" t="n">
        <v>0</v>
      </c>
      <c r="P5521" t="n">
        <v>0</v>
      </c>
      <c r="Q5521" t="n">
        <v>0</v>
      </c>
      <c r="R5521" s="2" t="inlineStr"/>
    </row>
    <row r="5522" ht="15" customHeight="1">
      <c r="A5522" t="inlineStr">
        <is>
          <t>A 60713-2021</t>
        </is>
      </c>
      <c r="B5522" s="1" t="n">
        <v>44496</v>
      </c>
      <c r="C5522" s="1" t="n">
        <v>45736</v>
      </c>
      <c r="D5522" t="inlineStr">
        <is>
          <t>VÄRMLANDS LÄN</t>
        </is>
      </c>
      <c r="E5522" t="inlineStr">
        <is>
          <t>ÅRJÄNG</t>
        </is>
      </c>
      <c r="G5522" t="n">
        <v>9.199999999999999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61252-2021</t>
        </is>
      </c>
      <c r="B5523" s="1" t="n">
        <v>44496</v>
      </c>
      <c r="C5523" s="1" t="n">
        <v>45736</v>
      </c>
      <c r="D5523" t="inlineStr">
        <is>
          <t>VÄRMLANDS LÄN</t>
        </is>
      </c>
      <c r="E5523" t="inlineStr">
        <is>
          <t>ÅRJÄNG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61231-2021</t>
        </is>
      </c>
      <c r="B5524" s="1" t="n">
        <v>44496</v>
      </c>
      <c r="C5524" s="1" t="n">
        <v>45736</v>
      </c>
      <c r="D5524" t="inlineStr">
        <is>
          <t>VÄRMLANDS LÄN</t>
        </is>
      </c>
      <c r="E5524" t="inlineStr">
        <is>
          <t>TORSBY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60842-2021</t>
        </is>
      </c>
      <c r="B5525" s="1" t="n">
        <v>44496</v>
      </c>
      <c r="C5525" s="1" t="n">
        <v>45736</v>
      </c>
      <c r="D5525" t="inlineStr">
        <is>
          <t>VÄRMLANDS LÄN</t>
        </is>
      </c>
      <c r="E5525" t="inlineStr">
        <is>
          <t>ARVIKA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61240-2021</t>
        </is>
      </c>
      <c r="B5526" s="1" t="n">
        <v>44496</v>
      </c>
      <c r="C5526" s="1" t="n">
        <v>45736</v>
      </c>
      <c r="D5526" t="inlineStr">
        <is>
          <t>VÄRMLANDS LÄN</t>
        </is>
      </c>
      <c r="E5526" t="inlineStr">
        <is>
          <t>ÅRJÄNG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61254-2021</t>
        </is>
      </c>
      <c r="B5527" s="1" t="n">
        <v>44496</v>
      </c>
      <c r="C5527" s="1" t="n">
        <v>45736</v>
      </c>
      <c r="D5527" t="inlineStr">
        <is>
          <t>VÄRMLANDS LÄN</t>
        </is>
      </c>
      <c r="E5527" t="inlineStr">
        <is>
          <t>ÅRJÄNG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63627-2021</t>
        </is>
      </c>
      <c r="B5528" s="1" t="n">
        <v>44496</v>
      </c>
      <c r="C5528" s="1" t="n">
        <v>45736</v>
      </c>
      <c r="D5528" t="inlineStr">
        <is>
          <t>VÄRMLANDS LÄN</t>
        </is>
      </c>
      <c r="E5528" t="inlineStr">
        <is>
          <t>ARVIKA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61158-2021</t>
        </is>
      </c>
      <c r="B5529" s="1" t="n">
        <v>44497</v>
      </c>
      <c r="C5529" s="1" t="n">
        <v>45736</v>
      </c>
      <c r="D5529" t="inlineStr">
        <is>
          <t>VÄRMLANDS LÄN</t>
        </is>
      </c>
      <c r="E5529" t="inlineStr">
        <is>
          <t>ÅRJÄNG</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61034-2021</t>
        </is>
      </c>
      <c r="B5530" s="1" t="n">
        <v>44497</v>
      </c>
      <c r="C5530" s="1" t="n">
        <v>45736</v>
      </c>
      <c r="D5530" t="inlineStr">
        <is>
          <t>VÄRMLANDS LÄN</t>
        </is>
      </c>
      <c r="E5530" t="inlineStr">
        <is>
          <t>KRISTINEHAMN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61126-2021</t>
        </is>
      </c>
      <c r="B5531" s="1" t="n">
        <v>44497</v>
      </c>
      <c r="C5531" s="1" t="n">
        <v>45736</v>
      </c>
      <c r="D5531" t="inlineStr">
        <is>
          <t>VÄRMLANDS LÄN</t>
        </is>
      </c>
      <c r="E5531" t="inlineStr">
        <is>
          <t>ÅRJÄNG</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61154-2021</t>
        </is>
      </c>
      <c r="B5532" s="1" t="n">
        <v>44497</v>
      </c>
      <c r="C5532" s="1" t="n">
        <v>45736</v>
      </c>
      <c r="D5532" t="inlineStr">
        <is>
          <t>VÄRMLANDS LÄN</t>
        </is>
      </c>
      <c r="E5532" t="inlineStr">
        <is>
          <t>ÅRJÄNG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61036-2021</t>
        </is>
      </c>
      <c r="B5533" s="1" t="n">
        <v>44497</v>
      </c>
      <c r="C5533" s="1" t="n">
        <v>45736</v>
      </c>
      <c r="D5533" t="inlineStr">
        <is>
          <t>VÄRMLANDS LÄN</t>
        </is>
      </c>
      <c r="E5533" t="inlineStr">
        <is>
          <t>KRISTINEHAMN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61114-2021</t>
        </is>
      </c>
      <c r="B5534" s="1" t="n">
        <v>44497</v>
      </c>
      <c r="C5534" s="1" t="n">
        <v>45736</v>
      </c>
      <c r="D5534" t="inlineStr">
        <is>
          <t>VÄRMLANDS LÄN</t>
        </is>
      </c>
      <c r="E5534" t="inlineStr">
        <is>
          <t>ÅRJÄNG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60942-2021</t>
        </is>
      </c>
      <c r="B5535" s="1" t="n">
        <v>44497</v>
      </c>
      <c r="C5535" s="1" t="n">
        <v>45736</v>
      </c>
      <c r="D5535" t="inlineStr">
        <is>
          <t>VÄRMLANDS LÄN</t>
        </is>
      </c>
      <c r="E5535" t="inlineStr">
        <is>
          <t>ARVIKA</t>
        </is>
      </c>
      <c r="F5535" t="inlineStr">
        <is>
          <t>Kyrkan</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60933-2021</t>
        </is>
      </c>
      <c r="B5536" s="1" t="n">
        <v>44497</v>
      </c>
      <c r="C5536" s="1" t="n">
        <v>45736</v>
      </c>
      <c r="D5536" t="inlineStr">
        <is>
          <t>VÄRMLANDS LÄN</t>
        </is>
      </c>
      <c r="E5536" t="inlineStr">
        <is>
          <t>SUNNE</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60930-2021</t>
        </is>
      </c>
      <c r="B5537" s="1" t="n">
        <v>44497</v>
      </c>
      <c r="C5537" s="1" t="n">
        <v>45736</v>
      </c>
      <c r="D5537" t="inlineStr">
        <is>
          <t>VÄRMLANDS LÄN</t>
        </is>
      </c>
      <c r="E5537" t="inlineStr">
        <is>
          <t>ÅRJÄNG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61133-2021</t>
        </is>
      </c>
      <c r="B5538" s="1" t="n">
        <v>44498</v>
      </c>
      <c r="C5538" s="1" t="n">
        <v>45736</v>
      </c>
      <c r="D5538" t="inlineStr">
        <is>
          <t>VÄRMLANDS LÄN</t>
        </is>
      </c>
      <c r="E5538" t="inlineStr">
        <is>
          <t>KRISTINEHAMN</t>
        </is>
      </c>
      <c r="F5538" t="inlineStr">
        <is>
          <t>Naturvårdsverket</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61099-2021</t>
        </is>
      </c>
      <c r="B5539" s="1" t="n">
        <v>44498</v>
      </c>
      <c r="C5539" s="1" t="n">
        <v>45736</v>
      </c>
      <c r="D5539" t="inlineStr">
        <is>
          <t>VÄRMLANDS LÄN</t>
        </is>
      </c>
      <c r="E5539" t="inlineStr">
        <is>
          <t>KARLSTAD</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61143-2021</t>
        </is>
      </c>
      <c r="B5540" s="1" t="n">
        <v>44498</v>
      </c>
      <c r="C5540" s="1" t="n">
        <v>45736</v>
      </c>
      <c r="D5540" t="inlineStr">
        <is>
          <t>VÄRMLANDS LÄN</t>
        </is>
      </c>
      <c r="E5540" t="inlineStr">
        <is>
          <t>ÅRJÄNG</t>
        </is>
      </c>
      <c r="F5540" t="inlineStr">
        <is>
          <t>Bergvik skog väst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61121-2021</t>
        </is>
      </c>
      <c r="B5541" s="1" t="n">
        <v>44498</v>
      </c>
      <c r="C5541" s="1" t="n">
        <v>45736</v>
      </c>
      <c r="D5541" t="inlineStr">
        <is>
          <t>VÄRMLANDS LÄN</t>
        </is>
      </c>
      <c r="E5541" t="inlineStr">
        <is>
          <t>ÅRJÄNG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61105-2021</t>
        </is>
      </c>
      <c r="B5542" s="1" t="n">
        <v>44498</v>
      </c>
      <c r="C5542" s="1" t="n">
        <v>45736</v>
      </c>
      <c r="D5542" t="inlineStr">
        <is>
          <t>VÄRMLANDS LÄN</t>
        </is>
      </c>
      <c r="E5542" t="inlineStr">
        <is>
          <t>KARLSTAD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61129-2021</t>
        </is>
      </c>
      <c r="B5543" s="1" t="n">
        <v>44498</v>
      </c>
      <c r="C5543" s="1" t="n">
        <v>45736</v>
      </c>
      <c r="D5543" t="inlineStr">
        <is>
          <t>VÄRMLANDS LÄN</t>
        </is>
      </c>
      <c r="E5543" t="inlineStr">
        <is>
          <t>ÅRJÄNG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61160-2021</t>
        </is>
      </c>
      <c r="B5544" s="1" t="n">
        <v>44498</v>
      </c>
      <c r="C5544" s="1" t="n">
        <v>45736</v>
      </c>
      <c r="D5544" t="inlineStr">
        <is>
          <t>VÄRMLANDS LÄN</t>
        </is>
      </c>
      <c r="E5544" t="inlineStr">
        <is>
          <t>HAGFORS</t>
        </is>
      </c>
      <c r="F5544" t="inlineStr">
        <is>
          <t>Bergvik skog väst AB</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61272-2021</t>
        </is>
      </c>
      <c r="B5545" s="1" t="n">
        <v>44498</v>
      </c>
      <c r="C5545" s="1" t="n">
        <v>45736</v>
      </c>
      <c r="D5545" t="inlineStr">
        <is>
          <t>VÄRMLANDS LÄN</t>
        </is>
      </c>
      <c r="E5545" t="inlineStr">
        <is>
          <t>SUNNE</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61330-2021</t>
        </is>
      </c>
      <c r="B5546" s="1" t="n">
        <v>44498</v>
      </c>
      <c r="C5546" s="1" t="n">
        <v>45736</v>
      </c>
      <c r="D5546" t="inlineStr">
        <is>
          <t>VÄRMLANDS LÄN</t>
        </is>
      </c>
      <c r="E5546" t="inlineStr">
        <is>
          <t>ÅRJÄNG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61306-2021</t>
        </is>
      </c>
      <c r="B5547" s="1" t="n">
        <v>44498</v>
      </c>
      <c r="C5547" s="1" t="n">
        <v>45736</v>
      </c>
      <c r="D5547" t="inlineStr">
        <is>
          <t>VÄRMLANDS LÄN</t>
        </is>
      </c>
      <c r="E5547" t="inlineStr">
        <is>
          <t>GRUMS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61327-2021</t>
        </is>
      </c>
      <c r="B5548" s="1" t="n">
        <v>44498</v>
      </c>
      <c r="C5548" s="1" t="n">
        <v>45736</v>
      </c>
      <c r="D5548" t="inlineStr">
        <is>
          <t>VÄRMLANDS LÄN</t>
        </is>
      </c>
      <c r="E5548" t="inlineStr">
        <is>
          <t>GRUMS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61359-2021</t>
        </is>
      </c>
      <c r="B5549" s="1" t="n">
        <v>44499</v>
      </c>
      <c r="C5549" s="1" t="n">
        <v>45736</v>
      </c>
      <c r="D5549" t="inlineStr">
        <is>
          <t>VÄRMLANDS LÄN</t>
        </is>
      </c>
      <c r="E5549" t="inlineStr">
        <is>
          <t>HAGFORS</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61373-2021</t>
        </is>
      </c>
      <c r="B5550" s="1" t="n">
        <v>44499</v>
      </c>
      <c r="C5550" s="1" t="n">
        <v>45736</v>
      </c>
      <c r="D5550" t="inlineStr">
        <is>
          <t>VÄRMLANDS LÄN</t>
        </is>
      </c>
      <c r="E5550" t="inlineStr">
        <is>
          <t>SUNNE</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61638-2021</t>
        </is>
      </c>
      <c r="B5551" s="1" t="n">
        <v>44501</v>
      </c>
      <c r="C5551" s="1" t="n">
        <v>45736</v>
      </c>
      <c r="D5551" t="inlineStr">
        <is>
          <t>VÄRMLANDS LÄN</t>
        </is>
      </c>
      <c r="E5551" t="inlineStr">
        <is>
          <t>KIL</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61493-2021</t>
        </is>
      </c>
      <c r="B5552" s="1" t="n">
        <v>44501</v>
      </c>
      <c r="C5552" s="1" t="n">
        <v>45736</v>
      </c>
      <c r="D5552" t="inlineStr">
        <is>
          <t>VÄRMLANDS LÄN</t>
        </is>
      </c>
      <c r="E5552" t="inlineStr">
        <is>
          <t>KIL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61673-2021</t>
        </is>
      </c>
      <c r="B5553" s="1" t="n">
        <v>44501</v>
      </c>
      <c r="C5553" s="1" t="n">
        <v>45736</v>
      </c>
      <c r="D5553" t="inlineStr">
        <is>
          <t>VÄRMLANDS LÄN</t>
        </is>
      </c>
      <c r="E5553" t="inlineStr">
        <is>
          <t>FILIPSTAD</t>
        </is>
      </c>
      <c r="F5553" t="inlineStr">
        <is>
          <t>Bergvik skog väst AB</t>
        </is>
      </c>
      <c r="G5553" t="n">
        <v>14.1</v>
      </c>
      <c r="H5553" t="n">
        <v>0</v>
      </c>
      <c r="I5553" t="n">
        <v>0</v>
      </c>
      <c r="J5553" t="n">
        <v>0</v>
      </c>
      <c r="K5553" t="n">
        <v>0</v>
      </c>
      <c r="L5553" t="n">
        <v>0</v>
      </c>
      <c r="M5553" t="n">
        <v>0</v>
      </c>
      <c r="N5553" t="n">
        <v>0</v>
      </c>
      <c r="O5553" t="n">
        <v>0</v>
      </c>
      <c r="P5553" t="n">
        <v>0</v>
      </c>
      <c r="Q5553" t="n">
        <v>0</v>
      </c>
      <c r="R5553" s="2" t="inlineStr"/>
    </row>
    <row r="5554" ht="15" customHeight="1">
      <c r="A5554" t="inlineStr">
        <is>
          <t>A 61514-2021</t>
        </is>
      </c>
      <c r="B5554" s="1" t="n">
        <v>44501</v>
      </c>
      <c r="C5554" s="1" t="n">
        <v>45736</v>
      </c>
      <c r="D5554" t="inlineStr">
        <is>
          <t>VÄRMLANDS LÄN</t>
        </is>
      </c>
      <c r="E5554" t="inlineStr">
        <is>
          <t>KARLSTAD</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61520-2021</t>
        </is>
      </c>
      <c r="B5555" s="1" t="n">
        <v>44501</v>
      </c>
      <c r="C5555" s="1" t="n">
        <v>45736</v>
      </c>
      <c r="D5555" t="inlineStr">
        <is>
          <t>VÄRMLANDS LÄN</t>
        </is>
      </c>
      <c r="E5555" t="inlineStr">
        <is>
          <t>ARVIKA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61707-2021</t>
        </is>
      </c>
      <c r="B5556" s="1" t="n">
        <v>44501</v>
      </c>
      <c r="C5556" s="1" t="n">
        <v>45736</v>
      </c>
      <c r="D5556" t="inlineStr">
        <is>
          <t>VÄRMLANDS LÄN</t>
        </is>
      </c>
      <c r="E5556" t="inlineStr">
        <is>
          <t>KRISTINEHAMN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61768-2021</t>
        </is>
      </c>
      <c r="B5557" s="1" t="n">
        <v>44501</v>
      </c>
      <c r="C5557" s="1" t="n">
        <v>45736</v>
      </c>
      <c r="D5557" t="inlineStr">
        <is>
          <t>VÄRMLANDS LÄN</t>
        </is>
      </c>
      <c r="E5557" t="inlineStr">
        <is>
          <t>KRISTINEHAMN</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61812-2021</t>
        </is>
      </c>
      <c r="B5558" s="1" t="n">
        <v>44501</v>
      </c>
      <c r="C5558" s="1" t="n">
        <v>45736</v>
      </c>
      <c r="D5558" t="inlineStr">
        <is>
          <t>VÄRMLANDS LÄN</t>
        </is>
      </c>
      <c r="E5558" t="inlineStr">
        <is>
          <t>TORSBY</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61677-2021</t>
        </is>
      </c>
      <c r="B5559" s="1" t="n">
        <v>44501</v>
      </c>
      <c r="C5559" s="1" t="n">
        <v>45736</v>
      </c>
      <c r="D5559" t="inlineStr">
        <is>
          <t>VÄRMLANDS LÄN</t>
        </is>
      </c>
      <c r="E5559" t="inlineStr">
        <is>
          <t>SÄFFLE</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61764-2021</t>
        </is>
      </c>
      <c r="B5560" s="1" t="n">
        <v>44501</v>
      </c>
      <c r="C5560" s="1" t="n">
        <v>45736</v>
      </c>
      <c r="D5560" t="inlineStr">
        <is>
          <t>VÄRMLANDS LÄN</t>
        </is>
      </c>
      <c r="E5560" t="inlineStr">
        <is>
          <t>HAGFORS</t>
        </is>
      </c>
      <c r="F5560" t="inlineStr">
        <is>
          <t>Bergvik skog väst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61663-2021</t>
        </is>
      </c>
      <c r="B5561" s="1" t="n">
        <v>44501</v>
      </c>
      <c r="C5561" s="1" t="n">
        <v>45736</v>
      </c>
      <c r="D5561" t="inlineStr">
        <is>
          <t>VÄRMLANDS LÄN</t>
        </is>
      </c>
      <c r="E5561" t="inlineStr">
        <is>
          <t>ARVIKA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61809-2021</t>
        </is>
      </c>
      <c r="B5562" s="1" t="n">
        <v>44501</v>
      </c>
      <c r="C5562" s="1" t="n">
        <v>45736</v>
      </c>
      <c r="D5562" t="inlineStr">
        <is>
          <t>VÄRMLANDS LÄN</t>
        </is>
      </c>
      <c r="E5562" t="inlineStr">
        <is>
          <t>TORSBY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61836-2021</t>
        </is>
      </c>
      <c r="B5563" s="1" t="n">
        <v>44501</v>
      </c>
      <c r="C5563" s="1" t="n">
        <v>45736</v>
      </c>
      <c r="D5563" t="inlineStr">
        <is>
          <t>VÄRMLANDS LÄN</t>
        </is>
      </c>
      <c r="E5563" t="inlineStr">
        <is>
          <t>KARLSTAD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61835-2021</t>
        </is>
      </c>
      <c r="B5564" s="1" t="n">
        <v>44501</v>
      </c>
      <c r="C5564" s="1" t="n">
        <v>45736</v>
      </c>
      <c r="D5564" t="inlineStr">
        <is>
          <t>VÄRMLANDS LÄN</t>
        </is>
      </c>
      <c r="E5564" t="inlineStr">
        <is>
          <t>ARVIKA</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62310-2021</t>
        </is>
      </c>
      <c r="B5565" s="1" t="n">
        <v>44501</v>
      </c>
      <c r="C5565" s="1" t="n">
        <v>45736</v>
      </c>
      <c r="D5565" t="inlineStr">
        <is>
          <t>VÄRMLANDS LÄN</t>
        </is>
      </c>
      <c r="E5565" t="inlineStr">
        <is>
          <t>SUNNE</t>
        </is>
      </c>
      <c r="G5565" t="n">
        <v>8.800000000000001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62334-2021</t>
        </is>
      </c>
      <c r="B5566" s="1" t="n">
        <v>44501</v>
      </c>
      <c r="C5566" s="1" t="n">
        <v>45736</v>
      </c>
      <c r="D5566" t="inlineStr">
        <is>
          <t>VÄRMLANDS LÄN</t>
        </is>
      </c>
      <c r="E5566" t="inlineStr">
        <is>
          <t>SUNNE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61834-2021</t>
        </is>
      </c>
      <c r="B5567" s="1" t="n">
        <v>44501</v>
      </c>
      <c r="C5567" s="1" t="n">
        <v>45736</v>
      </c>
      <c r="D5567" t="inlineStr">
        <is>
          <t>VÄRMLANDS LÄN</t>
        </is>
      </c>
      <c r="E5567" t="inlineStr">
        <is>
          <t>ARVIKA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61902-2021</t>
        </is>
      </c>
      <c r="B5568" s="1" t="n">
        <v>44502</v>
      </c>
      <c r="C5568" s="1" t="n">
        <v>45736</v>
      </c>
      <c r="D5568" t="inlineStr">
        <is>
          <t>VÄRMLANDS LÄN</t>
        </is>
      </c>
      <c r="E5568" t="inlineStr">
        <is>
          <t>HAGFORS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62045-2021</t>
        </is>
      </c>
      <c r="B5569" s="1" t="n">
        <v>44502</v>
      </c>
      <c r="C5569" s="1" t="n">
        <v>45736</v>
      </c>
      <c r="D5569" t="inlineStr">
        <is>
          <t>VÄRMLANDS LÄN</t>
        </is>
      </c>
      <c r="E5569" t="inlineStr">
        <is>
          <t>TORSBY</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62072-2021</t>
        </is>
      </c>
      <c r="B5570" s="1" t="n">
        <v>44502</v>
      </c>
      <c r="C5570" s="1" t="n">
        <v>45736</v>
      </c>
      <c r="D5570" t="inlineStr">
        <is>
          <t>VÄRMLANDS LÄN</t>
        </is>
      </c>
      <c r="E5570" t="inlineStr">
        <is>
          <t>EDA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62039-2021</t>
        </is>
      </c>
      <c r="B5571" s="1" t="n">
        <v>44502</v>
      </c>
      <c r="C5571" s="1" t="n">
        <v>45736</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62139-2021</t>
        </is>
      </c>
      <c r="B5572" s="1" t="n">
        <v>44502</v>
      </c>
      <c r="C5572" s="1" t="n">
        <v>45736</v>
      </c>
      <c r="D5572" t="inlineStr">
        <is>
          <t>VÄRMLANDS LÄN</t>
        </is>
      </c>
      <c r="E5572" t="inlineStr">
        <is>
          <t>KRISTINEHAMN</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62135-2021</t>
        </is>
      </c>
      <c r="B5573" s="1" t="n">
        <v>44502</v>
      </c>
      <c r="C5573" s="1" t="n">
        <v>45736</v>
      </c>
      <c r="D5573" t="inlineStr">
        <is>
          <t>VÄRMLANDS LÄN</t>
        </is>
      </c>
      <c r="E5573" t="inlineStr">
        <is>
          <t>KIL</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62110-2021</t>
        </is>
      </c>
      <c r="B5574" s="1" t="n">
        <v>44502</v>
      </c>
      <c r="C5574" s="1" t="n">
        <v>45736</v>
      </c>
      <c r="D5574" t="inlineStr">
        <is>
          <t>VÄRMLANDS LÄN</t>
        </is>
      </c>
      <c r="E5574" t="inlineStr">
        <is>
          <t>ÅRJÄNG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62576-2021</t>
        </is>
      </c>
      <c r="B5575" s="1" t="n">
        <v>44502</v>
      </c>
      <c r="C5575" s="1" t="n">
        <v>45736</v>
      </c>
      <c r="D5575" t="inlineStr">
        <is>
          <t>VÄRMLANDS LÄN</t>
        </is>
      </c>
      <c r="E5575" t="inlineStr">
        <is>
          <t>TORSBY</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62313-2021</t>
        </is>
      </c>
      <c r="B5576" s="1" t="n">
        <v>44503</v>
      </c>
      <c r="C5576" s="1" t="n">
        <v>45736</v>
      </c>
      <c r="D5576" t="inlineStr">
        <is>
          <t>VÄRMLANDS LÄN</t>
        </is>
      </c>
      <c r="E5576" t="inlineStr">
        <is>
          <t>FILIPSTAD</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62591-2021</t>
        </is>
      </c>
      <c r="B5577" s="1" t="n">
        <v>44503</v>
      </c>
      <c r="C5577" s="1" t="n">
        <v>45736</v>
      </c>
      <c r="D5577" t="inlineStr">
        <is>
          <t>VÄRMLANDS LÄN</t>
        </is>
      </c>
      <c r="E5577" t="inlineStr">
        <is>
          <t>EDA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62603-2021</t>
        </is>
      </c>
      <c r="B5578" s="1" t="n">
        <v>44503</v>
      </c>
      <c r="C5578" s="1" t="n">
        <v>45736</v>
      </c>
      <c r="D5578" t="inlineStr">
        <is>
          <t>VÄRMLANDS LÄN</t>
        </is>
      </c>
      <c r="E5578" t="inlineStr">
        <is>
          <t>ARVIKA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62225-2021</t>
        </is>
      </c>
      <c r="B5579" s="1" t="n">
        <v>44503</v>
      </c>
      <c r="C5579" s="1" t="n">
        <v>45736</v>
      </c>
      <c r="D5579" t="inlineStr">
        <is>
          <t>VÄRMLANDS LÄN</t>
        </is>
      </c>
      <c r="E5579" t="inlineStr">
        <is>
          <t>KARLSTAD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62357-2021</t>
        </is>
      </c>
      <c r="B5580" s="1" t="n">
        <v>44503</v>
      </c>
      <c r="C5580" s="1" t="n">
        <v>45736</v>
      </c>
      <c r="D5580" t="inlineStr">
        <is>
          <t>VÄRMLANDS LÄN</t>
        </is>
      </c>
      <c r="E5580" t="inlineStr">
        <is>
          <t>ÅRJÄNG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62546-2021</t>
        </is>
      </c>
      <c r="B5581" s="1" t="n">
        <v>44503</v>
      </c>
      <c r="C5581" s="1" t="n">
        <v>45736</v>
      </c>
      <c r="D5581" t="inlineStr">
        <is>
          <t>VÄRMLANDS LÄN</t>
        </is>
      </c>
      <c r="E5581" t="inlineStr">
        <is>
          <t>KARLSTAD</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62289-2021</t>
        </is>
      </c>
      <c r="B5582" s="1" t="n">
        <v>44503</v>
      </c>
      <c r="C5582" s="1" t="n">
        <v>45736</v>
      </c>
      <c r="D5582" t="inlineStr">
        <is>
          <t>VÄRMLANDS LÄN</t>
        </is>
      </c>
      <c r="E5582" t="inlineStr">
        <is>
          <t>ÅRJÄNG</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62626-2021</t>
        </is>
      </c>
      <c r="B5583" s="1" t="n">
        <v>44503</v>
      </c>
      <c r="C5583" s="1" t="n">
        <v>45736</v>
      </c>
      <c r="D5583" t="inlineStr">
        <is>
          <t>VÄRMLANDS LÄN</t>
        </is>
      </c>
      <c r="E5583" t="inlineStr">
        <is>
          <t>SUNNE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62845-2021</t>
        </is>
      </c>
      <c r="B5584" s="1" t="n">
        <v>44504</v>
      </c>
      <c r="C5584" s="1" t="n">
        <v>45736</v>
      </c>
      <c r="D5584" t="inlineStr">
        <is>
          <t>VÄRMLANDS LÄN</t>
        </is>
      </c>
      <c r="E5584" t="inlineStr">
        <is>
          <t>TORSBY</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62900-2021</t>
        </is>
      </c>
      <c r="B5585" s="1" t="n">
        <v>44504</v>
      </c>
      <c r="C5585" s="1" t="n">
        <v>45736</v>
      </c>
      <c r="D5585" t="inlineStr">
        <is>
          <t>VÄRMLANDS LÄN</t>
        </is>
      </c>
      <c r="E5585" t="inlineStr">
        <is>
          <t>ÅRJÄNG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62901-2021</t>
        </is>
      </c>
      <c r="B5586" s="1" t="n">
        <v>44504</v>
      </c>
      <c r="C5586" s="1" t="n">
        <v>45736</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63551-2021</t>
        </is>
      </c>
      <c r="B5587" s="1" t="n">
        <v>44504</v>
      </c>
      <c r="C5587" s="1" t="n">
        <v>45736</v>
      </c>
      <c r="D5587" t="inlineStr">
        <is>
          <t>VÄRMLANDS LÄN</t>
        </is>
      </c>
      <c r="E5587" t="inlineStr">
        <is>
          <t>KRISTINEHAMN</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62924-2021</t>
        </is>
      </c>
      <c r="B5588" s="1" t="n">
        <v>44504</v>
      </c>
      <c r="C5588" s="1" t="n">
        <v>45736</v>
      </c>
      <c r="D5588" t="inlineStr">
        <is>
          <t>VÄRMLANDS LÄN</t>
        </is>
      </c>
      <c r="E5588" t="inlineStr">
        <is>
          <t>KRISTINEHAMN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62984-2021</t>
        </is>
      </c>
      <c r="B5589" s="1" t="n">
        <v>44505</v>
      </c>
      <c r="C5589" s="1" t="n">
        <v>45736</v>
      </c>
      <c r="D5589" t="inlineStr">
        <is>
          <t>VÄRMLANDS LÄN</t>
        </is>
      </c>
      <c r="E5589" t="inlineStr">
        <is>
          <t>ÅRJÄNG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62965-2021</t>
        </is>
      </c>
      <c r="B5590" s="1" t="n">
        <v>44505</v>
      </c>
      <c r="C5590" s="1" t="n">
        <v>45736</v>
      </c>
      <c r="D5590" t="inlineStr">
        <is>
          <t>VÄRMLANDS LÄN</t>
        </is>
      </c>
      <c r="E5590" t="inlineStr">
        <is>
          <t>SUNNE</t>
        </is>
      </c>
      <c r="G5590" t="n">
        <v>16.3</v>
      </c>
      <c r="H5590" t="n">
        <v>0</v>
      </c>
      <c r="I5590" t="n">
        <v>0</v>
      </c>
      <c r="J5590" t="n">
        <v>0</v>
      </c>
      <c r="K5590" t="n">
        <v>0</v>
      </c>
      <c r="L5590" t="n">
        <v>0</v>
      </c>
      <c r="M5590" t="n">
        <v>0</v>
      </c>
      <c r="N5590" t="n">
        <v>0</v>
      </c>
      <c r="O5590" t="n">
        <v>0</v>
      </c>
      <c r="P5590" t="n">
        <v>0</v>
      </c>
      <c r="Q5590" t="n">
        <v>0</v>
      </c>
      <c r="R5590" s="2" t="inlineStr"/>
    </row>
    <row r="5591" ht="15" customHeight="1">
      <c r="A5591" t="inlineStr">
        <is>
          <t>A 63112-2021</t>
        </is>
      </c>
      <c r="B5591" s="1" t="n">
        <v>44505</v>
      </c>
      <c r="C5591" s="1" t="n">
        <v>45736</v>
      </c>
      <c r="D5591" t="inlineStr">
        <is>
          <t>VÄRMLANDS LÄN</t>
        </is>
      </c>
      <c r="E5591" t="inlineStr">
        <is>
          <t>SÄFFLE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63119-2021</t>
        </is>
      </c>
      <c r="B5592" s="1" t="n">
        <v>44505</v>
      </c>
      <c r="C5592" s="1" t="n">
        <v>45736</v>
      </c>
      <c r="D5592" t="inlineStr">
        <is>
          <t>VÄRMLANDS LÄN</t>
        </is>
      </c>
      <c r="E5592" t="inlineStr">
        <is>
          <t>EDA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63140-2021</t>
        </is>
      </c>
      <c r="B5593" s="1" t="n">
        <v>44505</v>
      </c>
      <c r="C5593" s="1" t="n">
        <v>45736</v>
      </c>
      <c r="D5593" t="inlineStr">
        <is>
          <t>VÄRMLANDS LÄN</t>
        </is>
      </c>
      <c r="E5593" t="inlineStr">
        <is>
          <t>FILIPSTAD</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63042-2021</t>
        </is>
      </c>
      <c r="B5594" s="1" t="n">
        <v>44505</v>
      </c>
      <c r="C5594" s="1" t="n">
        <v>45736</v>
      </c>
      <c r="D5594" t="inlineStr">
        <is>
          <t>VÄRMLANDS LÄN</t>
        </is>
      </c>
      <c r="E5594" t="inlineStr">
        <is>
          <t>SUNNE</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63111-2021</t>
        </is>
      </c>
      <c r="B5595" s="1" t="n">
        <v>44505</v>
      </c>
      <c r="C5595" s="1" t="n">
        <v>45736</v>
      </c>
      <c r="D5595" t="inlineStr">
        <is>
          <t>VÄRMLANDS LÄN</t>
        </is>
      </c>
      <c r="E5595" t="inlineStr">
        <is>
          <t>SÄFFLE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63122-2021</t>
        </is>
      </c>
      <c r="B5596" s="1" t="n">
        <v>44505</v>
      </c>
      <c r="C5596" s="1" t="n">
        <v>45736</v>
      </c>
      <c r="D5596" t="inlineStr">
        <is>
          <t>VÄRMLANDS LÄN</t>
        </is>
      </c>
      <c r="E5596" t="inlineStr">
        <is>
          <t>EDA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63144-2021</t>
        </is>
      </c>
      <c r="B5597" s="1" t="n">
        <v>44505</v>
      </c>
      <c r="C5597" s="1" t="n">
        <v>45736</v>
      </c>
      <c r="D5597" t="inlineStr">
        <is>
          <t>VÄRMLANDS LÄN</t>
        </is>
      </c>
      <c r="E5597" t="inlineStr">
        <is>
          <t>FILIPSTAD</t>
        </is>
      </c>
      <c r="G5597" t="n">
        <v>24.3</v>
      </c>
      <c r="H5597" t="n">
        <v>0</v>
      </c>
      <c r="I5597" t="n">
        <v>0</v>
      </c>
      <c r="J5597" t="n">
        <v>0</v>
      </c>
      <c r="K5597" t="n">
        <v>0</v>
      </c>
      <c r="L5597" t="n">
        <v>0</v>
      </c>
      <c r="M5597" t="n">
        <v>0</v>
      </c>
      <c r="N5597" t="n">
        <v>0</v>
      </c>
      <c r="O5597" t="n">
        <v>0</v>
      </c>
      <c r="P5597" t="n">
        <v>0</v>
      </c>
      <c r="Q5597" t="n">
        <v>0</v>
      </c>
      <c r="R5597" s="2" t="inlineStr"/>
    </row>
    <row r="5598" ht="15" customHeight="1">
      <c r="A5598" t="inlineStr">
        <is>
          <t>A 63714-2021</t>
        </is>
      </c>
      <c r="B5598" s="1" t="n">
        <v>44505</v>
      </c>
      <c r="C5598" s="1" t="n">
        <v>45736</v>
      </c>
      <c r="D5598" t="inlineStr">
        <is>
          <t>VÄRMLANDS LÄN</t>
        </is>
      </c>
      <c r="E5598" t="inlineStr">
        <is>
          <t>FILIPSTAD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63199-2021</t>
        </is>
      </c>
      <c r="B5599" s="1" t="n">
        <v>44507</v>
      </c>
      <c r="C5599" s="1" t="n">
        <v>45736</v>
      </c>
      <c r="D5599" t="inlineStr">
        <is>
          <t>VÄRMLANDS LÄN</t>
        </is>
      </c>
      <c r="E5599" t="inlineStr">
        <is>
          <t>ÅRJÄNG</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63205-2021</t>
        </is>
      </c>
      <c r="B5600" s="1" t="n">
        <v>44507</v>
      </c>
      <c r="C5600" s="1" t="n">
        <v>45736</v>
      </c>
      <c r="D5600" t="inlineStr">
        <is>
          <t>VÄRMLANDS LÄN</t>
        </is>
      </c>
      <c r="E5600" t="inlineStr">
        <is>
          <t>ÅRJÄNG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63203-2021</t>
        </is>
      </c>
      <c r="B5601" s="1" t="n">
        <v>44507</v>
      </c>
      <c r="C5601" s="1" t="n">
        <v>45736</v>
      </c>
      <c r="D5601" t="inlineStr">
        <is>
          <t>VÄRMLANDS LÄN</t>
        </is>
      </c>
      <c r="E5601" t="inlineStr">
        <is>
          <t>ÅRJÄNG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63251-2021</t>
        </is>
      </c>
      <c r="B5602" s="1" t="n">
        <v>44508</v>
      </c>
      <c r="C5602" s="1" t="n">
        <v>45736</v>
      </c>
      <c r="D5602" t="inlineStr">
        <is>
          <t>VÄRMLANDS LÄN</t>
        </is>
      </c>
      <c r="E5602" t="inlineStr">
        <is>
          <t>TORSBY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63369-2021</t>
        </is>
      </c>
      <c r="B5603" s="1" t="n">
        <v>44508</v>
      </c>
      <c r="C5603" s="1" t="n">
        <v>45736</v>
      </c>
      <c r="D5603" t="inlineStr">
        <is>
          <t>VÄRMLANDS LÄN</t>
        </is>
      </c>
      <c r="E5603" t="inlineStr">
        <is>
          <t>GRUMS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63356-2021</t>
        </is>
      </c>
      <c r="B5604" s="1" t="n">
        <v>44508</v>
      </c>
      <c r="C5604" s="1" t="n">
        <v>45736</v>
      </c>
      <c r="D5604" t="inlineStr">
        <is>
          <t>VÄRMLANDS LÄN</t>
        </is>
      </c>
      <c r="E5604" t="inlineStr">
        <is>
          <t>SUNNE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63482-2021</t>
        </is>
      </c>
      <c r="B5605" s="1" t="n">
        <v>44508</v>
      </c>
      <c r="C5605" s="1" t="n">
        <v>45736</v>
      </c>
      <c r="D5605" t="inlineStr">
        <is>
          <t>VÄRMLANDS LÄN</t>
        </is>
      </c>
      <c r="E5605" t="inlineStr">
        <is>
          <t>FILIPSTAD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63520-2021</t>
        </is>
      </c>
      <c r="B5606" s="1" t="n">
        <v>44508</v>
      </c>
      <c r="C5606" s="1" t="n">
        <v>45736</v>
      </c>
      <c r="D5606" t="inlineStr">
        <is>
          <t>VÄRMLANDS LÄN</t>
        </is>
      </c>
      <c r="E5606" t="inlineStr">
        <is>
          <t>SÄFFLE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63574-2021</t>
        </is>
      </c>
      <c r="B5607" s="1" t="n">
        <v>44508</v>
      </c>
      <c r="C5607" s="1" t="n">
        <v>45736</v>
      </c>
      <c r="D5607" t="inlineStr">
        <is>
          <t>VÄRMLANDS LÄN</t>
        </is>
      </c>
      <c r="E5607" t="inlineStr">
        <is>
          <t>SUNNE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63828-2021</t>
        </is>
      </c>
      <c r="B5608" s="1" t="n">
        <v>44508</v>
      </c>
      <c r="C5608" s="1" t="n">
        <v>45736</v>
      </c>
      <c r="D5608" t="inlineStr">
        <is>
          <t>VÄRMLANDS LÄN</t>
        </is>
      </c>
      <c r="E5608" t="inlineStr">
        <is>
          <t>ARVIKA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63527-2021</t>
        </is>
      </c>
      <c r="B5609" s="1" t="n">
        <v>44508</v>
      </c>
      <c r="C5609" s="1" t="n">
        <v>45736</v>
      </c>
      <c r="D5609" t="inlineStr">
        <is>
          <t>VÄRMLANDS LÄN</t>
        </is>
      </c>
      <c r="E5609" t="inlineStr">
        <is>
          <t>TORSBY</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63847-2021</t>
        </is>
      </c>
      <c r="B5610" s="1" t="n">
        <v>44508</v>
      </c>
      <c r="C5610" s="1" t="n">
        <v>45736</v>
      </c>
      <c r="D5610" t="inlineStr">
        <is>
          <t>VÄRMLANDS LÄN</t>
        </is>
      </c>
      <c r="E5610" t="inlineStr">
        <is>
          <t>ARVIKA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63739-2021</t>
        </is>
      </c>
      <c r="B5611" s="1" t="n">
        <v>44509</v>
      </c>
      <c r="C5611" s="1" t="n">
        <v>45736</v>
      </c>
      <c r="D5611" t="inlineStr">
        <is>
          <t>VÄRMLANDS LÄN</t>
        </is>
      </c>
      <c r="E5611" t="inlineStr">
        <is>
          <t>FORSHAGA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63617-2021</t>
        </is>
      </c>
      <c r="B5612" s="1" t="n">
        <v>44509</v>
      </c>
      <c r="C5612" s="1" t="n">
        <v>45736</v>
      </c>
      <c r="D5612" t="inlineStr">
        <is>
          <t>VÄRMLANDS LÄN</t>
        </is>
      </c>
      <c r="E5612" t="inlineStr">
        <is>
          <t>SÄFFLE</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63673-2021</t>
        </is>
      </c>
      <c r="B5613" s="1" t="n">
        <v>44509</v>
      </c>
      <c r="C5613" s="1" t="n">
        <v>45736</v>
      </c>
      <c r="D5613" t="inlineStr">
        <is>
          <t>VÄRMLANDS LÄN</t>
        </is>
      </c>
      <c r="E5613" t="inlineStr">
        <is>
          <t>SÄFFLE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63745-2021</t>
        </is>
      </c>
      <c r="B5614" s="1" t="n">
        <v>44509</v>
      </c>
      <c r="C5614" s="1" t="n">
        <v>45736</v>
      </c>
      <c r="D5614" t="inlineStr">
        <is>
          <t>VÄRMLANDS LÄN</t>
        </is>
      </c>
      <c r="E5614" t="inlineStr">
        <is>
          <t>SÄFFLE</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63766-2021</t>
        </is>
      </c>
      <c r="B5615" s="1" t="n">
        <v>44509</v>
      </c>
      <c r="C5615" s="1" t="n">
        <v>45736</v>
      </c>
      <c r="D5615" t="inlineStr">
        <is>
          <t>VÄRMLANDS LÄN</t>
        </is>
      </c>
      <c r="E5615" t="inlineStr">
        <is>
          <t>FILIPSTAD</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63787-2021</t>
        </is>
      </c>
      <c r="B5616" s="1" t="n">
        <v>44509</v>
      </c>
      <c r="C5616" s="1" t="n">
        <v>45736</v>
      </c>
      <c r="D5616" t="inlineStr">
        <is>
          <t>VÄRMLANDS LÄN</t>
        </is>
      </c>
      <c r="E5616" t="inlineStr">
        <is>
          <t>SÄFFLE</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63881-2021</t>
        </is>
      </c>
      <c r="B5617" s="1" t="n">
        <v>44509</v>
      </c>
      <c r="C5617" s="1" t="n">
        <v>45736</v>
      </c>
      <c r="D5617" t="inlineStr">
        <is>
          <t>VÄRMLANDS LÄN</t>
        </is>
      </c>
      <c r="E5617" t="inlineStr">
        <is>
          <t>ÅRJÄNG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63858-2021</t>
        </is>
      </c>
      <c r="B5618" s="1" t="n">
        <v>44509</v>
      </c>
      <c r="C5618" s="1" t="n">
        <v>45736</v>
      </c>
      <c r="D5618" t="inlineStr">
        <is>
          <t>VÄRMLANDS LÄN</t>
        </is>
      </c>
      <c r="E5618" t="inlineStr">
        <is>
          <t>SÄFFLE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63919-2021</t>
        </is>
      </c>
      <c r="B5619" s="1" t="n">
        <v>44509</v>
      </c>
      <c r="C5619" s="1" t="n">
        <v>45736</v>
      </c>
      <c r="D5619" t="inlineStr">
        <is>
          <t>VÄRMLANDS LÄN</t>
        </is>
      </c>
      <c r="E5619" t="inlineStr">
        <is>
          <t>GRUMS</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63962-2021</t>
        </is>
      </c>
      <c r="B5620" s="1" t="n">
        <v>44509</v>
      </c>
      <c r="C5620" s="1" t="n">
        <v>45736</v>
      </c>
      <c r="D5620" t="inlineStr">
        <is>
          <t>VÄRMLANDS LÄN</t>
        </is>
      </c>
      <c r="E5620" t="inlineStr">
        <is>
          <t>GRUMS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63796-2021</t>
        </is>
      </c>
      <c r="B5621" s="1" t="n">
        <v>44509</v>
      </c>
      <c r="C5621" s="1" t="n">
        <v>45736</v>
      </c>
      <c r="D5621" t="inlineStr">
        <is>
          <t>VÄRMLANDS LÄN</t>
        </is>
      </c>
      <c r="E5621" t="inlineStr">
        <is>
          <t>ÅRJÄNG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63885-2021</t>
        </is>
      </c>
      <c r="B5622" s="1" t="n">
        <v>44509</v>
      </c>
      <c r="C5622" s="1" t="n">
        <v>45736</v>
      </c>
      <c r="D5622" t="inlineStr">
        <is>
          <t>VÄRMLANDS LÄN</t>
        </is>
      </c>
      <c r="E5622" t="inlineStr">
        <is>
          <t>ÅRJÄNG</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64061-2021</t>
        </is>
      </c>
      <c r="B5623" s="1" t="n">
        <v>44509</v>
      </c>
      <c r="C5623" s="1" t="n">
        <v>45736</v>
      </c>
      <c r="D5623" t="inlineStr">
        <is>
          <t>VÄRMLANDS LÄN</t>
        </is>
      </c>
      <c r="E5623" t="inlineStr">
        <is>
          <t>SÄFFLE</t>
        </is>
      </c>
      <c r="F5623" t="inlineStr">
        <is>
          <t>Bergvik skog väst AB</t>
        </is>
      </c>
      <c r="G5623" t="n">
        <v>12.6</v>
      </c>
      <c r="H5623" t="n">
        <v>0</v>
      </c>
      <c r="I5623" t="n">
        <v>0</v>
      </c>
      <c r="J5623" t="n">
        <v>0</v>
      </c>
      <c r="K5623" t="n">
        <v>0</v>
      </c>
      <c r="L5623" t="n">
        <v>0</v>
      </c>
      <c r="M5623" t="n">
        <v>0</v>
      </c>
      <c r="N5623" t="n">
        <v>0</v>
      </c>
      <c r="O5623" t="n">
        <v>0</v>
      </c>
      <c r="P5623" t="n">
        <v>0</v>
      </c>
      <c r="Q5623" t="n">
        <v>0</v>
      </c>
      <c r="R5623" s="2" t="inlineStr"/>
    </row>
    <row r="5624" ht="15" customHeight="1">
      <c r="A5624" t="inlineStr">
        <is>
          <t>A 63922-2021</t>
        </is>
      </c>
      <c r="B5624" s="1" t="n">
        <v>44509</v>
      </c>
      <c r="C5624" s="1" t="n">
        <v>45736</v>
      </c>
      <c r="D5624" t="inlineStr">
        <is>
          <t>VÄRMLANDS LÄN</t>
        </is>
      </c>
      <c r="E5624" t="inlineStr">
        <is>
          <t>FORSHAGA</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63964-2021</t>
        </is>
      </c>
      <c r="B5625" s="1" t="n">
        <v>44509</v>
      </c>
      <c r="C5625" s="1" t="n">
        <v>45736</v>
      </c>
      <c r="D5625" t="inlineStr">
        <is>
          <t>VÄRMLANDS LÄN</t>
        </is>
      </c>
      <c r="E5625" t="inlineStr">
        <is>
          <t>GRUMS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63899-2021</t>
        </is>
      </c>
      <c r="B5626" s="1" t="n">
        <v>44509</v>
      </c>
      <c r="C5626" s="1" t="n">
        <v>45736</v>
      </c>
      <c r="D5626" t="inlineStr">
        <is>
          <t>VÄRMLANDS LÄN</t>
        </is>
      </c>
      <c r="E5626" t="inlineStr">
        <is>
          <t>SUNNE</t>
        </is>
      </c>
      <c r="F5626" t="inlineStr">
        <is>
          <t>Bergvik skog väst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63914-2021</t>
        </is>
      </c>
      <c r="B5627" s="1" t="n">
        <v>44509</v>
      </c>
      <c r="C5627" s="1" t="n">
        <v>45736</v>
      </c>
      <c r="D5627" t="inlineStr">
        <is>
          <t>VÄRMLANDS LÄN</t>
        </is>
      </c>
      <c r="E5627" t="inlineStr">
        <is>
          <t>SÄFFLE</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63963-2021</t>
        </is>
      </c>
      <c r="B5628" s="1" t="n">
        <v>44509</v>
      </c>
      <c r="C5628" s="1" t="n">
        <v>45736</v>
      </c>
      <c r="D5628" t="inlineStr">
        <is>
          <t>VÄRMLANDS LÄN</t>
        </is>
      </c>
      <c r="E5628" t="inlineStr">
        <is>
          <t>GRUMS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64048-2021</t>
        </is>
      </c>
      <c r="B5629" s="1" t="n">
        <v>44510</v>
      </c>
      <c r="C5629" s="1" t="n">
        <v>45736</v>
      </c>
      <c r="D5629" t="inlineStr">
        <is>
          <t>VÄRMLANDS LÄN</t>
        </is>
      </c>
      <c r="E5629" t="inlineStr">
        <is>
          <t>HAGFORS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64051-2021</t>
        </is>
      </c>
      <c r="B5630" s="1" t="n">
        <v>44510</v>
      </c>
      <c r="C5630" s="1" t="n">
        <v>45736</v>
      </c>
      <c r="D5630" t="inlineStr">
        <is>
          <t>VÄRMLANDS LÄN</t>
        </is>
      </c>
      <c r="E5630" t="inlineStr">
        <is>
          <t>HAGFORS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64082-2021</t>
        </is>
      </c>
      <c r="B5631" s="1" t="n">
        <v>44510</v>
      </c>
      <c r="C5631" s="1" t="n">
        <v>45736</v>
      </c>
      <c r="D5631" t="inlineStr">
        <is>
          <t>VÄRMLANDS LÄN</t>
        </is>
      </c>
      <c r="E5631" t="inlineStr">
        <is>
          <t>ÅRJÄNG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64193-2021</t>
        </is>
      </c>
      <c r="B5632" s="1" t="n">
        <v>44510</v>
      </c>
      <c r="C5632" s="1" t="n">
        <v>45736</v>
      </c>
      <c r="D5632" t="inlineStr">
        <is>
          <t>VÄRMLANDS LÄN</t>
        </is>
      </c>
      <c r="E5632" t="inlineStr">
        <is>
          <t>KIL</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64202-2021</t>
        </is>
      </c>
      <c r="B5633" s="1" t="n">
        <v>44510</v>
      </c>
      <c r="C5633" s="1" t="n">
        <v>45736</v>
      </c>
      <c r="D5633" t="inlineStr">
        <is>
          <t>VÄRMLANDS LÄN</t>
        </is>
      </c>
      <c r="E5633" t="inlineStr">
        <is>
          <t>EDA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64331-2021</t>
        </is>
      </c>
      <c r="B5634" s="1" t="n">
        <v>44510</v>
      </c>
      <c r="C5634" s="1" t="n">
        <v>45736</v>
      </c>
      <c r="D5634" t="inlineStr">
        <is>
          <t>VÄRMLANDS LÄN</t>
        </is>
      </c>
      <c r="E5634" t="inlineStr">
        <is>
          <t>ARVIKA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64333-2021</t>
        </is>
      </c>
      <c r="B5635" s="1" t="n">
        <v>44510</v>
      </c>
      <c r="C5635" s="1" t="n">
        <v>45736</v>
      </c>
      <c r="D5635" t="inlineStr">
        <is>
          <t>VÄRMLANDS LÄN</t>
        </is>
      </c>
      <c r="E5635" t="inlineStr">
        <is>
          <t>ARVIKA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64508-2021</t>
        </is>
      </c>
      <c r="B5636" s="1" t="n">
        <v>44511</v>
      </c>
      <c r="C5636" s="1" t="n">
        <v>45736</v>
      </c>
      <c r="D5636" t="inlineStr">
        <is>
          <t>VÄRMLANDS LÄN</t>
        </is>
      </c>
      <c r="E5636" t="inlineStr">
        <is>
          <t>KIL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64442-2021</t>
        </is>
      </c>
      <c r="B5637" s="1" t="n">
        <v>44511</v>
      </c>
      <c r="C5637" s="1" t="n">
        <v>45736</v>
      </c>
      <c r="D5637" t="inlineStr">
        <is>
          <t>VÄRMLANDS LÄN</t>
        </is>
      </c>
      <c r="E5637" t="inlineStr">
        <is>
          <t>SÄFFLE</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64531-2021</t>
        </is>
      </c>
      <c r="B5638" s="1" t="n">
        <v>44511</v>
      </c>
      <c r="C5638" s="1" t="n">
        <v>45736</v>
      </c>
      <c r="D5638" t="inlineStr">
        <is>
          <t>VÄRMLANDS LÄN</t>
        </is>
      </c>
      <c r="E5638" t="inlineStr">
        <is>
          <t>KIL</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64547-2021</t>
        </is>
      </c>
      <c r="B5639" s="1" t="n">
        <v>44511</v>
      </c>
      <c r="C5639" s="1" t="n">
        <v>45736</v>
      </c>
      <c r="D5639" t="inlineStr">
        <is>
          <t>VÄRMLANDS LÄN</t>
        </is>
      </c>
      <c r="E5639" t="inlineStr">
        <is>
          <t>KIL</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64585-2021</t>
        </is>
      </c>
      <c r="B5640" s="1" t="n">
        <v>44511</v>
      </c>
      <c r="C5640" s="1" t="n">
        <v>45736</v>
      </c>
      <c r="D5640" t="inlineStr">
        <is>
          <t>VÄRMLANDS LÄN</t>
        </is>
      </c>
      <c r="E5640" t="inlineStr">
        <is>
          <t>ARVIKA</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64518-2021</t>
        </is>
      </c>
      <c r="B5641" s="1" t="n">
        <v>44511</v>
      </c>
      <c r="C5641" s="1" t="n">
        <v>45736</v>
      </c>
      <c r="D5641" t="inlineStr">
        <is>
          <t>VÄRMLANDS LÄN</t>
        </is>
      </c>
      <c r="E5641" t="inlineStr">
        <is>
          <t>KIL</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64526-2021</t>
        </is>
      </c>
      <c r="B5642" s="1" t="n">
        <v>44511</v>
      </c>
      <c r="C5642" s="1" t="n">
        <v>45736</v>
      </c>
      <c r="D5642" t="inlineStr">
        <is>
          <t>VÄRMLANDS LÄN</t>
        </is>
      </c>
      <c r="E5642" t="inlineStr">
        <is>
          <t>FILIPSTAD</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64543-2021</t>
        </is>
      </c>
      <c r="B5643" s="1" t="n">
        <v>44511</v>
      </c>
      <c r="C5643" s="1" t="n">
        <v>45736</v>
      </c>
      <c r="D5643" t="inlineStr">
        <is>
          <t>VÄRMLANDS LÄN</t>
        </is>
      </c>
      <c r="E5643" t="inlineStr">
        <is>
          <t>KIL</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64553-2021</t>
        </is>
      </c>
      <c r="B5644" s="1" t="n">
        <v>44511</v>
      </c>
      <c r="C5644" s="1" t="n">
        <v>45736</v>
      </c>
      <c r="D5644" t="inlineStr">
        <is>
          <t>VÄRMLANDS LÄN</t>
        </is>
      </c>
      <c r="E5644" t="inlineStr">
        <is>
          <t>KIL</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64576-2021</t>
        </is>
      </c>
      <c r="B5645" s="1" t="n">
        <v>44511</v>
      </c>
      <c r="C5645" s="1" t="n">
        <v>45736</v>
      </c>
      <c r="D5645" t="inlineStr">
        <is>
          <t>VÄRMLANDS LÄN</t>
        </is>
      </c>
      <c r="E5645" t="inlineStr">
        <is>
          <t>ARVIKA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64589-2021</t>
        </is>
      </c>
      <c r="B5646" s="1" t="n">
        <v>44511</v>
      </c>
      <c r="C5646" s="1" t="n">
        <v>45736</v>
      </c>
      <c r="D5646" t="inlineStr">
        <is>
          <t>VÄRMLANDS LÄN</t>
        </is>
      </c>
      <c r="E5646" t="inlineStr">
        <is>
          <t>ARVIKA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64524-2021</t>
        </is>
      </c>
      <c r="B5647" s="1" t="n">
        <v>44511</v>
      </c>
      <c r="C5647" s="1" t="n">
        <v>45736</v>
      </c>
      <c r="D5647" t="inlineStr">
        <is>
          <t>VÄRMLANDS LÄN</t>
        </is>
      </c>
      <c r="E5647" t="inlineStr">
        <is>
          <t>KIL</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64578-2021</t>
        </is>
      </c>
      <c r="B5648" s="1" t="n">
        <v>44511</v>
      </c>
      <c r="C5648" s="1" t="n">
        <v>45736</v>
      </c>
      <c r="D5648" t="inlineStr">
        <is>
          <t>VÄRMLANDS LÄN</t>
        </is>
      </c>
      <c r="E5648" t="inlineStr">
        <is>
          <t>ARVIKA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64552-2021</t>
        </is>
      </c>
      <c r="B5649" s="1" t="n">
        <v>44511</v>
      </c>
      <c r="C5649" s="1" t="n">
        <v>45736</v>
      </c>
      <c r="D5649" t="inlineStr">
        <is>
          <t>VÄRMLANDS LÄN</t>
        </is>
      </c>
      <c r="E5649" t="inlineStr">
        <is>
          <t>KIL</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64559-2021</t>
        </is>
      </c>
      <c r="B5650" s="1" t="n">
        <v>44511</v>
      </c>
      <c r="C5650" s="1" t="n">
        <v>45736</v>
      </c>
      <c r="D5650" t="inlineStr">
        <is>
          <t>VÄRMLANDS LÄN</t>
        </is>
      </c>
      <c r="E5650" t="inlineStr">
        <is>
          <t>KIL</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64587-2021</t>
        </is>
      </c>
      <c r="B5651" s="1" t="n">
        <v>44511</v>
      </c>
      <c r="C5651" s="1" t="n">
        <v>45736</v>
      </c>
      <c r="D5651" t="inlineStr">
        <is>
          <t>VÄRMLANDS LÄN</t>
        </is>
      </c>
      <c r="E5651" t="inlineStr">
        <is>
          <t>ARVIKA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64785-2021</t>
        </is>
      </c>
      <c r="B5652" s="1" t="n">
        <v>44512</v>
      </c>
      <c r="C5652" s="1" t="n">
        <v>45736</v>
      </c>
      <c r="D5652" t="inlineStr">
        <is>
          <t>VÄRMLANDS LÄN</t>
        </is>
      </c>
      <c r="E5652" t="inlineStr">
        <is>
          <t>ÅRJÄNG</t>
        </is>
      </c>
      <c r="G5652" t="n">
        <v>9.6</v>
      </c>
      <c r="H5652" t="n">
        <v>0</v>
      </c>
      <c r="I5652" t="n">
        <v>0</v>
      </c>
      <c r="J5652" t="n">
        <v>0</v>
      </c>
      <c r="K5652" t="n">
        <v>0</v>
      </c>
      <c r="L5652" t="n">
        <v>0</v>
      </c>
      <c r="M5652" t="n">
        <v>0</v>
      </c>
      <c r="N5652" t="n">
        <v>0</v>
      </c>
      <c r="O5652" t="n">
        <v>0</v>
      </c>
      <c r="P5652" t="n">
        <v>0</v>
      </c>
      <c r="Q5652" t="n">
        <v>0</v>
      </c>
      <c r="R5652" s="2" t="inlineStr"/>
    </row>
    <row r="5653" ht="15" customHeight="1">
      <c r="A5653" t="inlineStr">
        <is>
          <t>A 64805-2021</t>
        </is>
      </c>
      <c r="B5653" s="1" t="n">
        <v>44512</v>
      </c>
      <c r="C5653" s="1" t="n">
        <v>45736</v>
      </c>
      <c r="D5653" t="inlineStr">
        <is>
          <t>VÄRMLANDS LÄN</t>
        </is>
      </c>
      <c r="E5653" t="inlineStr">
        <is>
          <t>SÄFFLE</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64815-2021</t>
        </is>
      </c>
      <c r="B5654" s="1" t="n">
        <v>44512</v>
      </c>
      <c r="C5654" s="1" t="n">
        <v>45736</v>
      </c>
      <c r="D5654" t="inlineStr">
        <is>
          <t>VÄRMLANDS LÄN</t>
        </is>
      </c>
      <c r="E5654" t="inlineStr">
        <is>
          <t>STORFORS</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64780-2021</t>
        </is>
      </c>
      <c r="B5655" s="1" t="n">
        <v>44512</v>
      </c>
      <c r="C5655" s="1" t="n">
        <v>45736</v>
      </c>
      <c r="D5655" t="inlineStr">
        <is>
          <t>VÄRMLANDS LÄN</t>
        </is>
      </c>
      <c r="E5655" t="inlineStr">
        <is>
          <t>TORSBY</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64801-2021</t>
        </is>
      </c>
      <c r="B5656" s="1" t="n">
        <v>44512</v>
      </c>
      <c r="C5656" s="1" t="n">
        <v>45736</v>
      </c>
      <c r="D5656" t="inlineStr">
        <is>
          <t>VÄRMLANDS LÄN</t>
        </is>
      </c>
      <c r="E5656" t="inlineStr">
        <is>
          <t>SÄFFLE</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64673-2021</t>
        </is>
      </c>
      <c r="B5657" s="1" t="n">
        <v>44512</v>
      </c>
      <c r="C5657" s="1" t="n">
        <v>45736</v>
      </c>
      <c r="D5657" t="inlineStr">
        <is>
          <t>VÄRMLANDS LÄN</t>
        </is>
      </c>
      <c r="E5657" t="inlineStr">
        <is>
          <t>STORFORS</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64803-2021</t>
        </is>
      </c>
      <c r="B5658" s="1" t="n">
        <v>44512</v>
      </c>
      <c r="C5658" s="1" t="n">
        <v>45736</v>
      </c>
      <c r="D5658" t="inlineStr">
        <is>
          <t>VÄRMLANDS LÄN</t>
        </is>
      </c>
      <c r="E5658" t="inlineStr">
        <is>
          <t>SÄFFLE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64814-2021</t>
        </is>
      </c>
      <c r="B5659" s="1" t="n">
        <v>44512</v>
      </c>
      <c r="C5659" s="1" t="n">
        <v>45736</v>
      </c>
      <c r="D5659" t="inlineStr">
        <is>
          <t>VÄRMLANDS LÄN</t>
        </is>
      </c>
      <c r="E5659" t="inlineStr">
        <is>
          <t>STORFORS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64664-2021</t>
        </is>
      </c>
      <c r="B5660" s="1" t="n">
        <v>44512</v>
      </c>
      <c r="C5660" s="1" t="n">
        <v>45736</v>
      </c>
      <c r="D5660" t="inlineStr">
        <is>
          <t>VÄRMLANDS LÄN</t>
        </is>
      </c>
      <c r="E5660" t="inlineStr">
        <is>
          <t>ARVIKA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64798-2021</t>
        </is>
      </c>
      <c r="B5661" s="1" t="n">
        <v>44512</v>
      </c>
      <c r="C5661" s="1" t="n">
        <v>45736</v>
      </c>
      <c r="D5661" t="inlineStr">
        <is>
          <t>VÄRMLANDS LÄN</t>
        </is>
      </c>
      <c r="E5661" t="inlineStr">
        <is>
          <t>SÄFFLE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64902-2021</t>
        </is>
      </c>
      <c r="B5662" s="1" t="n">
        <v>44512</v>
      </c>
      <c r="C5662" s="1" t="n">
        <v>45736</v>
      </c>
      <c r="D5662" t="inlineStr">
        <is>
          <t>VÄRMLANDS LÄN</t>
        </is>
      </c>
      <c r="E5662" t="inlineStr">
        <is>
          <t>TORSBY</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65013-2021</t>
        </is>
      </c>
      <c r="B5663" s="1" t="n">
        <v>44514</v>
      </c>
      <c r="C5663" s="1" t="n">
        <v>45736</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65102-2021</t>
        </is>
      </c>
      <c r="B5664" s="1" t="n">
        <v>44514</v>
      </c>
      <c r="C5664" s="1" t="n">
        <v>45736</v>
      </c>
      <c r="D5664" t="inlineStr">
        <is>
          <t>VÄRMLANDS LÄN</t>
        </is>
      </c>
      <c r="E5664" t="inlineStr">
        <is>
          <t>ARVIKA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65012-2021</t>
        </is>
      </c>
      <c r="B5665" s="1" t="n">
        <v>44515</v>
      </c>
      <c r="C5665" s="1" t="n">
        <v>45736</v>
      </c>
      <c r="D5665" t="inlineStr">
        <is>
          <t>VÄRMLANDS LÄN</t>
        </is>
      </c>
      <c r="E5665" t="inlineStr">
        <is>
          <t>SUNNE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65060-2021</t>
        </is>
      </c>
      <c r="B5666" s="1" t="n">
        <v>44515</v>
      </c>
      <c r="C5666" s="1" t="n">
        <v>45736</v>
      </c>
      <c r="D5666" t="inlineStr">
        <is>
          <t>VÄRMLANDS LÄN</t>
        </is>
      </c>
      <c r="E5666" t="inlineStr">
        <is>
          <t>EDA</t>
        </is>
      </c>
      <c r="F5666" t="inlineStr">
        <is>
          <t>Bergvik skog väst AB</t>
        </is>
      </c>
      <c r="G5666" t="n">
        <v>11.5</v>
      </c>
      <c r="H5666" t="n">
        <v>0</v>
      </c>
      <c r="I5666" t="n">
        <v>0</v>
      </c>
      <c r="J5666" t="n">
        <v>0</v>
      </c>
      <c r="K5666" t="n">
        <v>0</v>
      </c>
      <c r="L5666" t="n">
        <v>0</v>
      </c>
      <c r="M5666" t="n">
        <v>0</v>
      </c>
      <c r="N5666" t="n">
        <v>0</v>
      </c>
      <c r="O5666" t="n">
        <v>0</v>
      </c>
      <c r="P5666" t="n">
        <v>0</v>
      </c>
      <c r="Q5666" t="n">
        <v>0</v>
      </c>
      <c r="R5666" s="2" t="inlineStr"/>
    </row>
    <row r="5667" ht="15" customHeight="1">
      <c r="A5667" t="inlineStr">
        <is>
          <t>A 65174-2021</t>
        </is>
      </c>
      <c r="B5667" s="1" t="n">
        <v>44515</v>
      </c>
      <c r="C5667" s="1" t="n">
        <v>45736</v>
      </c>
      <c r="D5667" t="inlineStr">
        <is>
          <t>VÄRMLANDS LÄN</t>
        </is>
      </c>
      <c r="E5667" t="inlineStr">
        <is>
          <t>FILIPSTAD</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65183-2021</t>
        </is>
      </c>
      <c r="B5668" s="1" t="n">
        <v>44515</v>
      </c>
      <c r="C5668" s="1" t="n">
        <v>45736</v>
      </c>
      <c r="D5668" t="inlineStr">
        <is>
          <t>VÄRMLANDS LÄN</t>
        </is>
      </c>
      <c r="E5668" t="inlineStr">
        <is>
          <t>FILIPSTAD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65208-2021</t>
        </is>
      </c>
      <c r="B5669" s="1" t="n">
        <v>44515</v>
      </c>
      <c r="C5669" s="1" t="n">
        <v>45736</v>
      </c>
      <c r="D5669" t="inlineStr">
        <is>
          <t>VÄRMLANDS LÄN</t>
        </is>
      </c>
      <c r="E5669" t="inlineStr">
        <is>
          <t>ARVIKA</t>
        </is>
      </c>
      <c r="F5669" t="inlineStr">
        <is>
          <t>Bergvik skog väst AB</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65271-2021</t>
        </is>
      </c>
      <c r="B5670" s="1" t="n">
        <v>44515</v>
      </c>
      <c r="C5670" s="1" t="n">
        <v>45736</v>
      </c>
      <c r="D5670" t="inlineStr">
        <is>
          <t>VÄRMLANDS LÄN</t>
        </is>
      </c>
      <c r="E5670" t="inlineStr">
        <is>
          <t>KIL</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65074-2021</t>
        </is>
      </c>
      <c r="B5671" s="1" t="n">
        <v>44515</v>
      </c>
      <c r="C5671" s="1" t="n">
        <v>45736</v>
      </c>
      <c r="D5671" t="inlineStr">
        <is>
          <t>VÄRMLANDS LÄN</t>
        </is>
      </c>
      <c r="E5671" t="inlineStr">
        <is>
          <t>SUNNE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65167-2021</t>
        </is>
      </c>
      <c r="B5672" s="1" t="n">
        <v>44515</v>
      </c>
      <c r="C5672" s="1" t="n">
        <v>45736</v>
      </c>
      <c r="D5672" t="inlineStr">
        <is>
          <t>VÄRMLANDS LÄN</t>
        </is>
      </c>
      <c r="E5672" t="inlineStr">
        <is>
          <t>FILIPSTAD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65015-2021</t>
        </is>
      </c>
      <c r="B5673" s="1" t="n">
        <v>44515</v>
      </c>
      <c r="C5673" s="1" t="n">
        <v>45736</v>
      </c>
      <c r="D5673" t="inlineStr">
        <is>
          <t>VÄRMLANDS LÄN</t>
        </is>
      </c>
      <c r="E5673" t="inlineStr">
        <is>
          <t>KARLSTAD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65182-2021</t>
        </is>
      </c>
      <c r="B5674" s="1" t="n">
        <v>44515</v>
      </c>
      <c r="C5674" s="1" t="n">
        <v>45736</v>
      </c>
      <c r="D5674" t="inlineStr">
        <is>
          <t>VÄRMLANDS LÄN</t>
        </is>
      </c>
      <c r="E5674" t="inlineStr">
        <is>
          <t>TORSBY</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65284-2021</t>
        </is>
      </c>
      <c r="B5675" s="1" t="n">
        <v>44515</v>
      </c>
      <c r="C5675" s="1" t="n">
        <v>45736</v>
      </c>
      <c r="D5675" t="inlineStr">
        <is>
          <t>VÄRMLANDS LÄN</t>
        </is>
      </c>
      <c r="E5675" t="inlineStr">
        <is>
          <t>ARVIKA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65299-2021</t>
        </is>
      </c>
      <c r="B5676" s="1" t="n">
        <v>44515</v>
      </c>
      <c r="C5676" s="1" t="n">
        <v>45736</v>
      </c>
      <c r="D5676" t="inlineStr">
        <is>
          <t>VÄRMLANDS LÄN</t>
        </is>
      </c>
      <c r="E5676" t="inlineStr">
        <is>
          <t>HAGFORS</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65358-2021</t>
        </is>
      </c>
      <c r="B5677" s="1" t="n">
        <v>44515</v>
      </c>
      <c r="C5677" s="1" t="n">
        <v>45736</v>
      </c>
      <c r="D5677" t="inlineStr">
        <is>
          <t>VÄRMLANDS LÄN</t>
        </is>
      </c>
      <c r="E5677" t="inlineStr">
        <is>
          <t>ARVIKA</t>
        </is>
      </c>
      <c r="F5677" t="inlineStr">
        <is>
          <t>Bergvik skog väst AB</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65273-2021</t>
        </is>
      </c>
      <c r="B5678" s="1" t="n">
        <v>44515</v>
      </c>
      <c r="C5678" s="1" t="n">
        <v>45736</v>
      </c>
      <c r="D5678" t="inlineStr">
        <is>
          <t>VÄRMLANDS LÄN</t>
        </is>
      </c>
      <c r="E5678" t="inlineStr">
        <is>
          <t>EDA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65295-2021</t>
        </is>
      </c>
      <c r="B5679" s="1" t="n">
        <v>44515</v>
      </c>
      <c r="C5679" s="1" t="n">
        <v>45736</v>
      </c>
      <c r="D5679" t="inlineStr">
        <is>
          <t>VÄRMLANDS LÄN</t>
        </is>
      </c>
      <c r="E5679" t="inlineStr">
        <is>
          <t>HAGFORS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65301-2021</t>
        </is>
      </c>
      <c r="B5680" s="1" t="n">
        <v>44515</v>
      </c>
      <c r="C5680" s="1" t="n">
        <v>45736</v>
      </c>
      <c r="D5680" t="inlineStr">
        <is>
          <t>VÄRMLANDS LÄN</t>
        </is>
      </c>
      <c r="E5680" t="inlineStr">
        <is>
          <t>TORSBY</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65354-2021</t>
        </is>
      </c>
      <c r="B5681" s="1" t="n">
        <v>44515</v>
      </c>
      <c r="C5681" s="1" t="n">
        <v>45736</v>
      </c>
      <c r="D5681" t="inlineStr">
        <is>
          <t>VÄRMLANDS LÄN</t>
        </is>
      </c>
      <c r="E5681" t="inlineStr">
        <is>
          <t>FILIPSTAD</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65298-2021</t>
        </is>
      </c>
      <c r="B5682" s="1" t="n">
        <v>44515</v>
      </c>
      <c r="C5682" s="1" t="n">
        <v>45736</v>
      </c>
      <c r="D5682" t="inlineStr">
        <is>
          <t>VÄRMLANDS LÄN</t>
        </is>
      </c>
      <c r="E5682" t="inlineStr">
        <is>
          <t>FILIPSTAD</t>
        </is>
      </c>
      <c r="F5682" t="inlineStr">
        <is>
          <t>Bergvik skog väst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65357-2021</t>
        </is>
      </c>
      <c r="B5683" s="1" t="n">
        <v>44515</v>
      </c>
      <c r="C5683" s="1" t="n">
        <v>45736</v>
      </c>
      <c r="D5683" t="inlineStr">
        <is>
          <t>VÄRMLANDS LÄN</t>
        </is>
      </c>
      <c r="E5683" t="inlineStr">
        <is>
          <t>ARVIKA</t>
        </is>
      </c>
      <c r="F5683" t="inlineStr">
        <is>
          <t>Bergvik skog väst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65476-2021</t>
        </is>
      </c>
      <c r="B5684" s="1" t="n">
        <v>44516</v>
      </c>
      <c r="C5684" s="1" t="n">
        <v>45736</v>
      </c>
      <c r="D5684" t="inlineStr">
        <is>
          <t>VÄRMLANDS LÄN</t>
        </is>
      </c>
      <c r="E5684" t="inlineStr">
        <is>
          <t>ÅRJÄNG</t>
        </is>
      </c>
      <c r="F5684" t="inlineStr">
        <is>
          <t>Kyrkan</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65537-2021</t>
        </is>
      </c>
      <c r="B5685" s="1" t="n">
        <v>44516</v>
      </c>
      <c r="C5685" s="1" t="n">
        <v>45736</v>
      </c>
      <c r="D5685" t="inlineStr">
        <is>
          <t>VÄRMLANDS LÄN</t>
        </is>
      </c>
      <c r="E5685" t="inlineStr">
        <is>
          <t>TORSBY</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65551-2021</t>
        </is>
      </c>
      <c r="B5686" s="1" t="n">
        <v>44516</v>
      </c>
      <c r="C5686" s="1" t="n">
        <v>45736</v>
      </c>
      <c r="D5686" t="inlineStr">
        <is>
          <t>VÄRMLANDS LÄN</t>
        </is>
      </c>
      <c r="E5686" t="inlineStr">
        <is>
          <t>HAGFORS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65565-2021</t>
        </is>
      </c>
      <c r="B5687" s="1" t="n">
        <v>44516</v>
      </c>
      <c r="C5687" s="1" t="n">
        <v>45736</v>
      </c>
      <c r="D5687" t="inlineStr">
        <is>
          <t>VÄRMLANDS LÄN</t>
        </is>
      </c>
      <c r="E5687" t="inlineStr">
        <is>
          <t>HAGFORS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65556-2021</t>
        </is>
      </c>
      <c r="B5688" s="1" t="n">
        <v>44516</v>
      </c>
      <c r="C5688" s="1" t="n">
        <v>45736</v>
      </c>
      <c r="D5688" t="inlineStr">
        <is>
          <t>VÄRMLANDS LÄN</t>
        </is>
      </c>
      <c r="E5688" t="inlineStr">
        <is>
          <t>HAGFORS</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65630-2021</t>
        </is>
      </c>
      <c r="B5689" s="1" t="n">
        <v>44516</v>
      </c>
      <c r="C5689" s="1" t="n">
        <v>45736</v>
      </c>
      <c r="D5689" t="inlineStr">
        <is>
          <t>VÄRMLANDS LÄN</t>
        </is>
      </c>
      <c r="E5689" t="inlineStr">
        <is>
          <t>KARLSTAD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65754-2021</t>
        </is>
      </c>
      <c r="B5690" s="1" t="n">
        <v>44516</v>
      </c>
      <c r="C5690" s="1" t="n">
        <v>45736</v>
      </c>
      <c r="D5690" t="inlineStr">
        <is>
          <t>VÄRMLANDS LÄN</t>
        </is>
      </c>
      <c r="E5690" t="inlineStr">
        <is>
          <t>MUNKFORS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65625-2021</t>
        </is>
      </c>
      <c r="B5691" s="1" t="n">
        <v>44516</v>
      </c>
      <c r="C5691" s="1" t="n">
        <v>45736</v>
      </c>
      <c r="D5691" t="inlineStr">
        <is>
          <t>VÄRMLANDS LÄN</t>
        </is>
      </c>
      <c r="E5691" t="inlineStr">
        <is>
          <t>KARLSTAD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65679-2021</t>
        </is>
      </c>
      <c r="B5692" s="1" t="n">
        <v>44516</v>
      </c>
      <c r="C5692" s="1" t="n">
        <v>45736</v>
      </c>
      <c r="D5692" t="inlineStr">
        <is>
          <t>VÄRMLANDS LÄN</t>
        </is>
      </c>
      <c r="E5692" t="inlineStr">
        <is>
          <t>GRUMS</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65713-2021</t>
        </is>
      </c>
      <c r="B5693" s="1" t="n">
        <v>44516</v>
      </c>
      <c r="C5693" s="1" t="n">
        <v>45736</v>
      </c>
      <c r="D5693" t="inlineStr">
        <is>
          <t>VÄRMLANDS LÄN</t>
        </is>
      </c>
      <c r="E5693" t="inlineStr">
        <is>
          <t>TORSBY</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65705-2021</t>
        </is>
      </c>
      <c r="B5694" s="1" t="n">
        <v>44516</v>
      </c>
      <c r="C5694" s="1" t="n">
        <v>45736</v>
      </c>
      <c r="D5694" t="inlineStr">
        <is>
          <t>VÄRMLANDS LÄN</t>
        </is>
      </c>
      <c r="E5694" t="inlineStr">
        <is>
          <t>TORSBY</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65837-2021</t>
        </is>
      </c>
      <c r="B5695" s="1" t="n">
        <v>44517</v>
      </c>
      <c r="C5695" s="1" t="n">
        <v>45736</v>
      </c>
      <c r="D5695" t="inlineStr">
        <is>
          <t>VÄRMLANDS LÄN</t>
        </is>
      </c>
      <c r="E5695" t="inlineStr">
        <is>
          <t>ÅRJÄNG</t>
        </is>
      </c>
      <c r="G5695" t="n">
        <v>6.8</v>
      </c>
      <c r="H5695" t="n">
        <v>0</v>
      </c>
      <c r="I5695" t="n">
        <v>0</v>
      </c>
      <c r="J5695" t="n">
        <v>0</v>
      </c>
      <c r="K5695" t="n">
        <v>0</v>
      </c>
      <c r="L5695" t="n">
        <v>0</v>
      </c>
      <c r="M5695" t="n">
        <v>0</v>
      </c>
      <c r="N5695" t="n">
        <v>0</v>
      </c>
      <c r="O5695" t="n">
        <v>0</v>
      </c>
      <c r="P5695" t="n">
        <v>0</v>
      </c>
      <c r="Q5695" t="n">
        <v>0</v>
      </c>
      <c r="R5695" s="2" t="inlineStr"/>
    </row>
    <row r="5696" ht="15" customHeight="1">
      <c r="A5696" t="inlineStr">
        <is>
          <t>A 65854-2021</t>
        </is>
      </c>
      <c r="B5696" s="1" t="n">
        <v>44517</v>
      </c>
      <c r="C5696" s="1" t="n">
        <v>45736</v>
      </c>
      <c r="D5696" t="inlineStr">
        <is>
          <t>VÄRMLANDS LÄN</t>
        </is>
      </c>
      <c r="E5696" t="inlineStr">
        <is>
          <t>ÅRJÄNG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65844-2021</t>
        </is>
      </c>
      <c r="B5697" s="1" t="n">
        <v>44517</v>
      </c>
      <c r="C5697" s="1" t="n">
        <v>45736</v>
      </c>
      <c r="D5697" t="inlineStr">
        <is>
          <t>VÄRMLANDS LÄN</t>
        </is>
      </c>
      <c r="E5697" t="inlineStr">
        <is>
          <t>ÅRJÄNG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65900-2021</t>
        </is>
      </c>
      <c r="B5698" s="1" t="n">
        <v>44517</v>
      </c>
      <c r="C5698" s="1" t="n">
        <v>45736</v>
      </c>
      <c r="D5698" t="inlineStr">
        <is>
          <t>VÄRMLANDS LÄN</t>
        </is>
      </c>
      <c r="E5698" t="inlineStr">
        <is>
          <t>KIL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65915-2021</t>
        </is>
      </c>
      <c r="B5699" s="1" t="n">
        <v>44517</v>
      </c>
      <c r="C5699" s="1" t="n">
        <v>45736</v>
      </c>
      <c r="D5699" t="inlineStr">
        <is>
          <t>VÄRMLANDS LÄN</t>
        </is>
      </c>
      <c r="E5699" t="inlineStr">
        <is>
          <t>FORSHAGA</t>
        </is>
      </c>
      <c r="G5699" t="n">
        <v>17.2</v>
      </c>
      <c r="H5699" t="n">
        <v>0</v>
      </c>
      <c r="I5699" t="n">
        <v>0</v>
      </c>
      <c r="J5699" t="n">
        <v>0</v>
      </c>
      <c r="K5699" t="n">
        <v>0</v>
      </c>
      <c r="L5699" t="n">
        <v>0</v>
      </c>
      <c r="M5699" t="n">
        <v>0</v>
      </c>
      <c r="N5699" t="n">
        <v>0</v>
      </c>
      <c r="O5699" t="n">
        <v>0</v>
      </c>
      <c r="P5699" t="n">
        <v>0</v>
      </c>
      <c r="Q5699" t="n">
        <v>0</v>
      </c>
      <c r="R5699" s="2" t="inlineStr"/>
    </row>
    <row r="5700" ht="15" customHeight="1">
      <c r="A5700" t="inlineStr">
        <is>
          <t>A 65849-2021</t>
        </is>
      </c>
      <c r="B5700" s="1" t="n">
        <v>44517</v>
      </c>
      <c r="C5700" s="1" t="n">
        <v>45736</v>
      </c>
      <c r="D5700" t="inlineStr">
        <is>
          <t>VÄRMLANDS LÄN</t>
        </is>
      </c>
      <c r="E5700" t="inlineStr">
        <is>
          <t>ÅRJÄNG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65891-2021</t>
        </is>
      </c>
      <c r="B5701" s="1" t="n">
        <v>44517</v>
      </c>
      <c r="C5701" s="1" t="n">
        <v>45736</v>
      </c>
      <c r="D5701" t="inlineStr">
        <is>
          <t>VÄRMLANDS LÄN</t>
        </is>
      </c>
      <c r="E5701" t="inlineStr">
        <is>
          <t>KIL</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65910-2021</t>
        </is>
      </c>
      <c r="B5702" s="1" t="n">
        <v>44517</v>
      </c>
      <c r="C5702" s="1" t="n">
        <v>45736</v>
      </c>
      <c r="D5702" t="inlineStr">
        <is>
          <t>VÄRMLANDS LÄN</t>
        </is>
      </c>
      <c r="E5702" t="inlineStr">
        <is>
          <t>SUNNE</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65862-2021</t>
        </is>
      </c>
      <c r="B5703" s="1" t="n">
        <v>44517</v>
      </c>
      <c r="C5703" s="1" t="n">
        <v>45736</v>
      </c>
      <c r="D5703" t="inlineStr">
        <is>
          <t>VÄRMLANDS LÄN</t>
        </is>
      </c>
      <c r="E5703" t="inlineStr">
        <is>
          <t>ÅRJÄNG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65904-2021</t>
        </is>
      </c>
      <c r="B5704" s="1" t="n">
        <v>44517</v>
      </c>
      <c r="C5704" s="1" t="n">
        <v>45736</v>
      </c>
      <c r="D5704" t="inlineStr">
        <is>
          <t>VÄRMLANDS LÄN</t>
        </is>
      </c>
      <c r="E5704" t="inlineStr">
        <is>
          <t>KIL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65959-2021</t>
        </is>
      </c>
      <c r="B5705" s="1" t="n">
        <v>44517</v>
      </c>
      <c r="C5705" s="1" t="n">
        <v>45736</v>
      </c>
      <c r="D5705" t="inlineStr">
        <is>
          <t>VÄRMLANDS LÄN</t>
        </is>
      </c>
      <c r="E5705" t="inlineStr">
        <is>
          <t>TORSBY</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65950-2021</t>
        </is>
      </c>
      <c r="B5706" s="1" t="n">
        <v>44517</v>
      </c>
      <c r="C5706" s="1" t="n">
        <v>45736</v>
      </c>
      <c r="D5706" t="inlineStr">
        <is>
          <t>VÄRMLANDS LÄN</t>
        </is>
      </c>
      <c r="E5706" t="inlineStr">
        <is>
          <t>ARVIKA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65979-2021</t>
        </is>
      </c>
      <c r="B5707" s="1" t="n">
        <v>44517</v>
      </c>
      <c r="C5707" s="1" t="n">
        <v>45736</v>
      </c>
      <c r="D5707" t="inlineStr">
        <is>
          <t>VÄRMLANDS LÄN</t>
        </is>
      </c>
      <c r="E5707" t="inlineStr">
        <is>
          <t>ÅRJÄNG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65998-2021</t>
        </is>
      </c>
      <c r="B5708" s="1" t="n">
        <v>44517</v>
      </c>
      <c r="C5708" s="1" t="n">
        <v>45736</v>
      </c>
      <c r="D5708" t="inlineStr">
        <is>
          <t>VÄRMLANDS LÄN</t>
        </is>
      </c>
      <c r="E5708" t="inlineStr">
        <is>
          <t>TORSBY</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66035-2021</t>
        </is>
      </c>
      <c r="B5709" s="1" t="n">
        <v>44517</v>
      </c>
      <c r="C5709" s="1" t="n">
        <v>45736</v>
      </c>
      <c r="D5709" t="inlineStr">
        <is>
          <t>VÄRMLANDS LÄN</t>
        </is>
      </c>
      <c r="E5709" t="inlineStr">
        <is>
          <t>FORSHAGA</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66053-2021</t>
        </is>
      </c>
      <c r="B5710" s="1" t="n">
        <v>44517</v>
      </c>
      <c r="C5710" s="1" t="n">
        <v>45736</v>
      </c>
      <c r="D5710" t="inlineStr">
        <is>
          <t>VÄRMLANDS LÄN</t>
        </is>
      </c>
      <c r="E5710" t="inlineStr">
        <is>
          <t>GRUMS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66056-2021</t>
        </is>
      </c>
      <c r="B5711" s="1" t="n">
        <v>44517</v>
      </c>
      <c r="C5711" s="1" t="n">
        <v>45736</v>
      </c>
      <c r="D5711" t="inlineStr">
        <is>
          <t>VÄRMLANDS LÄN</t>
        </is>
      </c>
      <c r="E5711" t="inlineStr">
        <is>
          <t>GRUMS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66103-2021</t>
        </is>
      </c>
      <c r="B5712" s="1" t="n">
        <v>44517</v>
      </c>
      <c r="C5712" s="1" t="n">
        <v>45736</v>
      </c>
      <c r="D5712" t="inlineStr">
        <is>
          <t>VÄRMLANDS LÄN</t>
        </is>
      </c>
      <c r="E5712" t="inlineStr">
        <is>
          <t>TORSBY</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66090-2021</t>
        </is>
      </c>
      <c r="B5713" s="1" t="n">
        <v>44517</v>
      </c>
      <c r="C5713" s="1" t="n">
        <v>45736</v>
      </c>
      <c r="D5713" t="inlineStr">
        <is>
          <t>VÄRMLANDS LÄN</t>
        </is>
      </c>
      <c r="E5713" t="inlineStr">
        <is>
          <t>SUNNE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66019-2021</t>
        </is>
      </c>
      <c r="B5714" s="1" t="n">
        <v>44517</v>
      </c>
      <c r="C5714" s="1" t="n">
        <v>45736</v>
      </c>
      <c r="D5714" t="inlineStr">
        <is>
          <t>VÄRMLANDS LÄN</t>
        </is>
      </c>
      <c r="E5714" t="inlineStr">
        <is>
          <t>HAGFORS</t>
        </is>
      </c>
      <c r="F5714" t="inlineStr">
        <is>
          <t>Bergvik skog väst AB</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66039-2021</t>
        </is>
      </c>
      <c r="B5715" s="1" t="n">
        <v>44517</v>
      </c>
      <c r="C5715" s="1" t="n">
        <v>45736</v>
      </c>
      <c r="D5715" t="inlineStr">
        <is>
          <t>VÄRMLANDS LÄN</t>
        </is>
      </c>
      <c r="E5715" t="inlineStr">
        <is>
          <t>EDA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66111-2021</t>
        </is>
      </c>
      <c r="B5716" s="1" t="n">
        <v>44517</v>
      </c>
      <c r="C5716" s="1" t="n">
        <v>45736</v>
      </c>
      <c r="D5716" t="inlineStr">
        <is>
          <t>VÄRMLANDS LÄN</t>
        </is>
      </c>
      <c r="E5716" t="inlineStr">
        <is>
          <t>FORSHAGA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66034-2021</t>
        </is>
      </c>
      <c r="B5717" s="1" t="n">
        <v>44517</v>
      </c>
      <c r="C5717" s="1" t="n">
        <v>45736</v>
      </c>
      <c r="D5717" t="inlineStr">
        <is>
          <t>VÄRMLANDS LÄN</t>
        </is>
      </c>
      <c r="E5717" t="inlineStr">
        <is>
          <t>EDA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66133-2021</t>
        </is>
      </c>
      <c r="B5718" s="1" t="n">
        <v>44517</v>
      </c>
      <c r="C5718" s="1" t="n">
        <v>45736</v>
      </c>
      <c r="D5718" t="inlineStr">
        <is>
          <t>VÄRMLANDS LÄN</t>
        </is>
      </c>
      <c r="E5718" t="inlineStr">
        <is>
          <t>TORSBY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66226-2021</t>
        </is>
      </c>
      <c r="B5719" s="1" t="n">
        <v>44518</v>
      </c>
      <c r="C5719" s="1" t="n">
        <v>45736</v>
      </c>
      <c r="D5719" t="inlineStr">
        <is>
          <t>VÄRMLANDS LÄN</t>
        </is>
      </c>
      <c r="E5719" t="inlineStr">
        <is>
          <t>ARVIKA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66222-2021</t>
        </is>
      </c>
      <c r="B5720" s="1" t="n">
        <v>44518</v>
      </c>
      <c r="C5720" s="1" t="n">
        <v>45736</v>
      </c>
      <c r="D5720" t="inlineStr">
        <is>
          <t>VÄRMLANDS LÄN</t>
        </is>
      </c>
      <c r="E5720" t="inlineStr">
        <is>
          <t>EDA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66327-2021</t>
        </is>
      </c>
      <c r="B5721" s="1" t="n">
        <v>44518</v>
      </c>
      <c r="C5721" s="1" t="n">
        <v>45736</v>
      </c>
      <c r="D5721" t="inlineStr">
        <is>
          <t>VÄRMLANDS LÄN</t>
        </is>
      </c>
      <c r="E5721" t="inlineStr">
        <is>
          <t>KARLSTAD</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66322-2021</t>
        </is>
      </c>
      <c r="B5722" s="1" t="n">
        <v>44518</v>
      </c>
      <c r="C5722" s="1" t="n">
        <v>45736</v>
      </c>
      <c r="D5722" t="inlineStr">
        <is>
          <t>VÄRMLANDS LÄN</t>
        </is>
      </c>
      <c r="E5722" t="inlineStr">
        <is>
          <t>KARLSTAD</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66323-2021</t>
        </is>
      </c>
      <c r="B5723" s="1" t="n">
        <v>44518</v>
      </c>
      <c r="C5723" s="1" t="n">
        <v>45736</v>
      </c>
      <c r="D5723" t="inlineStr">
        <is>
          <t>VÄRMLANDS LÄN</t>
        </is>
      </c>
      <c r="E5723" t="inlineStr">
        <is>
          <t>KARLSTAD</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66329-2021</t>
        </is>
      </c>
      <c r="B5724" s="1" t="n">
        <v>44518</v>
      </c>
      <c r="C5724" s="1" t="n">
        <v>45736</v>
      </c>
      <c r="D5724" t="inlineStr">
        <is>
          <t>VÄRMLANDS LÄN</t>
        </is>
      </c>
      <c r="E5724" t="inlineStr">
        <is>
          <t>KARLSTAD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66385-2021</t>
        </is>
      </c>
      <c r="B5725" s="1" t="n">
        <v>44518</v>
      </c>
      <c r="C5725" s="1" t="n">
        <v>45736</v>
      </c>
      <c r="D5725" t="inlineStr">
        <is>
          <t>VÄRMLANDS LÄN</t>
        </is>
      </c>
      <c r="E5725" t="inlineStr">
        <is>
          <t>SÄFFLE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66442-2021</t>
        </is>
      </c>
      <c r="B5726" s="1" t="n">
        <v>44518</v>
      </c>
      <c r="C5726" s="1" t="n">
        <v>45736</v>
      </c>
      <c r="D5726" t="inlineStr">
        <is>
          <t>VÄRMLANDS LÄN</t>
        </is>
      </c>
      <c r="E5726" t="inlineStr">
        <is>
          <t>KRISTINEHAMN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66438-2021</t>
        </is>
      </c>
      <c r="B5727" s="1" t="n">
        <v>44518</v>
      </c>
      <c r="C5727" s="1" t="n">
        <v>45736</v>
      </c>
      <c r="D5727" t="inlineStr">
        <is>
          <t>VÄRMLANDS LÄN</t>
        </is>
      </c>
      <c r="E5727" t="inlineStr">
        <is>
          <t>KRISTINEHAMN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66376-2021</t>
        </is>
      </c>
      <c r="B5728" s="1" t="n">
        <v>44518</v>
      </c>
      <c r="C5728" s="1" t="n">
        <v>45736</v>
      </c>
      <c r="D5728" t="inlineStr">
        <is>
          <t>VÄRMLANDS LÄN</t>
        </is>
      </c>
      <c r="E5728" t="inlineStr">
        <is>
          <t>FILIPSTAD</t>
        </is>
      </c>
      <c r="F5728" t="inlineStr">
        <is>
          <t>Bergvik skog väst AB</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66439-2021</t>
        </is>
      </c>
      <c r="B5729" s="1" t="n">
        <v>44518</v>
      </c>
      <c r="C5729" s="1" t="n">
        <v>45736</v>
      </c>
      <c r="D5729" t="inlineStr">
        <is>
          <t>VÄRMLANDS LÄN</t>
        </is>
      </c>
      <c r="E5729" t="inlineStr">
        <is>
          <t>KRISTINEHAMN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66553-2021</t>
        </is>
      </c>
      <c r="B5730" s="1" t="n">
        <v>44519</v>
      </c>
      <c r="C5730" s="1" t="n">
        <v>45736</v>
      </c>
      <c r="D5730" t="inlineStr">
        <is>
          <t>VÄRMLANDS LÄN</t>
        </is>
      </c>
      <c r="E5730" t="inlineStr">
        <is>
          <t>ARVIKA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66635-2021</t>
        </is>
      </c>
      <c r="B5731" s="1" t="n">
        <v>44519</v>
      </c>
      <c r="C5731" s="1" t="n">
        <v>45736</v>
      </c>
      <c r="D5731" t="inlineStr">
        <is>
          <t>VÄRMLANDS LÄN</t>
        </is>
      </c>
      <c r="E5731" t="inlineStr">
        <is>
          <t>KARLSTAD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66642-2021</t>
        </is>
      </c>
      <c r="B5732" s="1" t="n">
        <v>44519</v>
      </c>
      <c r="C5732" s="1" t="n">
        <v>45736</v>
      </c>
      <c r="D5732" t="inlineStr">
        <is>
          <t>VÄRMLANDS LÄN</t>
        </is>
      </c>
      <c r="E5732" t="inlineStr">
        <is>
          <t>KARLSTAD</t>
        </is>
      </c>
      <c r="G5732" t="n">
        <v>18.2</v>
      </c>
      <c r="H5732" t="n">
        <v>0</v>
      </c>
      <c r="I5732" t="n">
        <v>0</v>
      </c>
      <c r="J5732" t="n">
        <v>0</v>
      </c>
      <c r="K5732" t="n">
        <v>0</v>
      </c>
      <c r="L5732" t="n">
        <v>0</v>
      </c>
      <c r="M5732" t="n">
        <v>0</v>
      </c>
      <c r="N5732" t="n">
        <v>0</v>
      </c>
      <c r="O5732" t="n">
        <v>0</v>
      </c>
      <c r="P5732" t="n">
        <v>0</v>
      </c>
      <c r="Q5732" t="n">
        <v>0</v>
      </c>
      <c r="R5732" s="2" t="inlineStr"/>
    </row>
    <row r="5733" ht="15" customHeight="1">
      <c r="A5733" t="inlineStr">
        <is>
          <t>A 66599-2021</t>
        </is>
      </c>
      <c r="B5733" s="1" t="n">
        <v>44519</v>
      </c>
      <c r="C5733" s="1" t="n">
        <v>45736</v>
      </c>
      <c r="D5733" t="inlineStr">
        <is>
          <t>VÄRMLANDS LÄN</t>
        </is>
      </c>
      <c r="E5733" t="inlineStr">
        <is>
          <t>ÅRJÄNG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66667-2021</t>
        </is>
      </c>
      <c r="B5734" s="1" t="n">
        <v>44519</v>
      </c>
      <c r="C5734" s="1" t="n">
        <v>45736</v>
      </c>
      <c r="D5734" t="inlineStr">
        <is>
          <t>VÄRMLANDS LÄN</t>
        </is>
      </c>
      <c r="E5734" t="inlineStr">
        <is>
          <t>ARVIKA</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66919-2021</t>
        </is>
      </c>
      <c r="B5735" s="1" t="n">
        <v>44519</v>
      </c>
      <c r="C5735" s="1" t="n">
        <v>45736</v>
      </c>
      <c r="D5735" t="inlineStr">
        <is>
          <t>VÄRMLANDS LÄN</t>
        </is>
      </c>
      <c r="E5735" t="inlineStr">
        <is>
          <t>GRUMS</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66898-2021</t>
        </is>
      </c>
      <c r="B5736" s="1" t="n">
        <v>44522</v>
      </c>
      <c r="C5736" s="1" t="n">
        <v>45736</v>
      </c>
      <c r="D5736" t="inlineStr">
        <is>
          <t>VÄRMLANDS LÄN</t>
        </is>
      </c>
      <c r="E5736" t="inlineStr">
        <is>
          <t>ÅRJÄNG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66883-2021</t>
        </is>
      </c>
      <c r="B5737" s="1" t="n">
        <v>44522</v>
      </c>
      <c r="C5737" s="1" t="n">
        <v>45736</v>
      </c>
      <c r="D5737" t="inlineStr">
        <is>
          <t>VÄRMLANDS LÄN</t>
        </is>
      </c>
      <c r="E5737" t="inlineStr">
        <is>
          <t>ÅRJÄNG</t>
        </is>
      </c>
      <c r="G5737" t="n">
        <v>14.9</v>
      </c>
      <c r="H5737" t="n">
        <v>0</v>
      </c>
      <c r="I5737" t="n">
        <v>0</v>
      </c>
      <c r="J5737" t="n">
        <v>0</v>
      </c>
      <c r="K5737" t="n">
        <v>0</v>
      </c>
      <c r="L5737" t="n">
        <v>0</v>
      </c>
      <c r="M5737" t="n">
        <v>0</v>
      </c>
      <c r="N5737" t="n">
        <v>0</v>
      </c>
      <c r="O5737" t="n">
        <v>0</v>
      </c>
      <c r="P5737" t="n">
        <v>0</v>
      </c>
      <c r="Q5737" t="n">
        <v>0</v>
      </c>
      <c r="R5737" s="2" t="inlineStr"/>
    </row>
    <row r="5738" ht="15" customHeight="1">
      <c r="A5738" t="inlineStr">
        <is>
          <t>A 66903-2021</t>
        </is>
      </c>
      <c r="B5738" s="1" t="n">
        <v>44522</v>
      </c>
      <c r="C5738" s="1" t="n">
        <v>45736</v>
      </c>
      <c r="D5738" t="inlineStr">
        <is>
          <t>VÄRMLANDS LÄN</t>
        </is>
      </c>
      <c r="E5738" t="inlineStr">
        <is>
          <t>ÅRJÄNG</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66846-2021</t>
        </is>
      </c>
      <c r="B5739" s="1" t="n">
        <v>44522</v>
      </c>
      <c r="C5739" s="1" t="n">
        <v>45736</v>
      </c>
      <c r="D5739" t="inlineStr">
        <is>
          <t>VÄRMLANDS LÄN</t>
        </is>
      </c>
      <c r="E5739" t="inlineStr">
        <is>
          <t>ÅRJÄNG</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66892-2021</t>
        </is>
      </c>
      <c r="B5740" s="1" t="n">
        <v>44522</v>
      </c>
      <c r="C5740" s="1" t="n">
        <v>45736</v>
      </c>
      <c r="D5740" t="inlineStr">
        <is>
          <t>VÄRMLANDS LÄN</t>
        </is>
      </c>
      <c r="E5740" t="inlineStr">
        <is>
          <t>ÅRJÄNG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66809-2021</t>
        </is>
      </c>
      <c r="B5741" s="1" t="n">
        <v>44522</v>
      </c>
      <c r="C5741" s="1" t="n">
        <v>45736</v>
      </c>
      <c r="D5741" t="inlineStr">
        <is>
          <t>VÄRMLANDS LÄN</t>
        </is>
      </c>
      <c r="E5741" t="inlineStr">
        <is>
          <t>KIL</t>
        </is>
      </c>
      <c r="G5741" t="n">
        <v>13.7</v>
      </c>
      <c r="H5741" t="n">
        <v>0</v>
      </c>
      <c r="I5741" t="n">
        <v>0</v>
      </c>
      <c r="J5741" t="n">
        <v>0</v>
      </c>
      <c r="K5741" t="n">
        <v>0</v>
      </c>
      <c r="L5741" t="n">
        <v>0</v>
      </c>
      <c r="M5741" t="n">
        <v>0</v>
      </c>
      <c r="N5741" t="n">
        <v>0</v>
      </c>
      <c r="O5741" t="n">
        <v>0</v>
      </c>
      <c r="P5741" t="n">
        <v>0</v>
      </c>
      <c r="Q5741" t="n">
        <v>0</v>
      </c>
      <c r="R5741" s="2" t="inlineStr"/>
    </row>
    <row r="5742" ht="15" customHeight="1">
      <c r="A5742" t="inlineStr">
        <is>
          <t>A 66910-2021</t>
        </is>
      </c>
      <c r="B5742" s="1" t="n">
        <v>44522</v>
      </c>
      <c r="C5742" s="1" t="n">
        <v>45736</v>
      </c>
      <c r="D5742" t="inlineStr">
        <is>
          <t>VÄRMLANDS LÄN</t>
        </is>
      </c>
      <c r="E5742" t="inlineStr">
        <is>
          <t>ÅRJÄNG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66978-2021</t>
        </is>
      </c>
      <c r="B5743" s="1" t="n">
        <v>44522</v>
      </c>
      <c r="C5743" s="1" t="n">
        <v>45736</v>
      </c>
      <c r="D5743" t="inlineStr">
        <is>
          <t>VÄRMLANDS LÄN</t>
        </is>
      </c>
      <c r="E5743" t="inlineStr">
        <is>
          <t>TORSBY</t>
        </is>
      </c>
      <c r="F5743" t="inlineStr">
        <is>
          <t>Kommuner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67006-2021</t>
        </is>
      </c>
      <c r="B5744" s="1" t="n">
        <v>44522</v>
      </c>
      <c r="C5744" s="1" t="n">
        <v>45736</v>
      </c>
      <c r="D5744" t="inlineStr">
        <is>
          <t>VÄRMLANDS LÄN</t>
        </is>
      </c>
      <c r="E5744" t="inlineStr">
        <is>
          <t>TORSBY</t>
        </is>
      </c>
      <c r="F5744" t="inlineStr">
        <is>
          <t>Kommuner</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67015-2021</t>
        </is>
      </c>
      <c r="B5745" s="1" t="n">
        <v>44522</v>
      </c>
      <c r="C5745" s="1" t="n">
        <v>45736</v>
      </c>
      <c r="D5745" t="inlineStr">
        <is>
          <t>VÄRMLANDS LÄN</t>
        </is>
      </c>
      <c r="E5745" t="inlineStr">
        <is>
          <t>ÅRJÄNG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67023-2021</t>
        </is>
      </c>
      <c r="B5746" s="1" t="n">
        <v>44522</v>
      </c>
      <c r="C5746" s="1" t="n">
        <v>45736</v>
      </c>
      <c r="D5746" t="inlineStr">
        <is>
          <t>VÄRMLANDS LÄN</t>
        </is>
      </c>
      <c r="E5746" t="inlineStr">
        <is>
          <t>ÅRJÄNG</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67170-2021</t>
        </is>
      </c>
      <c r="B5747" s="1" t="n">
        <v>44523</v>
      </c>
      <c r="C5747" s="1" t="n">
        <v>45736</v>
      </c>
      <c r="D5747" t="inlineStr">
        <is>
          <t>VÄRMLANDS LÄN</t>
        </is>
      </c>
      <c r="E5747" t="inlineStr">
        <is>
          <t>SÄFFLE</t>
        </is>
      </c>
      <c r="G5747" t="n">
        <v>18.9</v>
      </c>
      <c r="H5747" t="n">
        <v>0</v>
      </c>
      <c r="I5747" t="n">
        <v>0</v>
      </c>
      <c r="J5747" t="n">
        <v>0</v>
      </c>
      <c r="K5747" t="n">
        <v>0</v>
      </c>
      <c r="L5747" t="n">
        <v>0</v>
      </c>
      <c r="M5747" t="n">
        <v>0</v>
      </c>
      <c r="N5747" t="n">
        <v>0</v>
      </c>
      <c r="O5747" t="n">
        <v>0</v>
      </c>
      <c r="P5747" t="n">
        <v>0</v>
      </c>
      <c r="Q5747" t="n">
        <v>0</v>
      </c>
      <c r="R5747" s="2" t="inlineStr"/>
    </row>
    <row r="5748" ht="15" customHeight="1">
      <c r="A5748" t="inlineStr">
        <is>
          <t>A 67176-2021</t>
        </is>
      </c>
      <c r="B5748" s="1" t="n">
        <v>44523</v>
      </c>
      <c r="C5748" s="1" t="n">
        <v>45736</v>
      </c>
      <c r="D5748" t="inlineStr">
        <is>
          <t>VÄRMLANDS LÄN</t>
        </is>
      </c>
      <c r="E5748" t="inlineStr">
        <is>
          <t>SÄFFLE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67175-2021</t>
        </is>
      </c>
      <c r="B5749" s="1" t="n">
        <v>44523</v>
      </c>
      <c r="C5749" s="1" t="n">
        <v>45736</v>
      </c>
      <c r="D5749" t="inlineStr">
        <is>
          <t>VÄRMLANDS LÄN</t>
        </is>
      </c>
      <c r="E5749" t="inlineStr">
        <is>
          <t>SÄFFLE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67196-2021</t>
        </is>
      </c>
      <c r="B5750" s="1" t="n">
        <v>44523</v>
      </c>
      <c r="C5750" s="1" t="n">
        <v>45736</v>
      </c>
      <c r="D5750" t="inlineStr">
        <is>
          <t>VÄRMLANDS LÄN</t>
        </is>
      </c>
      <c r="E5750" t="inlineStr">
        <is>
          <t>ARVIKA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67147-2021</t>
        </is>
      </c>
      <c r="B5751" s="1" t="n">
        <v>44523</v>
      </c>
      <c r="C5751" s="1" t="n">
        <v>45736</v>
      </c>
      <c r="D5751" t="inlineStr">
        <is>
          <t>VÄRMLANDS LÄN</t>
        </is>
      </c>
      <c r="E5751" t="inlineStr">
        <is>
          <t>TORSBY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67164-2021</t>
        </is>
      </c>
      <c r="B5752" s="1" t="n">
        <v>44523</v>
      </c>
      <c r="C5752" s="1" t="n">
        <v>45736</v>
      </c>
      <c r="D5752" t="inlineStr">
        <is>
          <t>VÄRMLANDS LÄN</t>
        </is>
      </c>
      <c r="E5752" t="inlineStr">
        <is>
          <t>EDA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67174-2021</t>
        </is>
      </c>
      <c r="B5753" s="1" t="n">
        <v>44523</v>
      </c>
      <c r="C5753" s="1" t="n">
        <v>45736</v>
      </c>
      <c r="D5753" t="inlineStr">
        <is>
          <t>VÄRMLANDS LÄN</t>
        </is>
      </c>
      <c r="E5753" t="inlineStr">
        <is>
          <t>SÄFFLE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67193-2021</t>
        </is>
      </c>
      <c r="B5754" s="1" t="n">
        <v>44523</v>
      </c>
      <c r="C5754" s="1" t="n">
        <v>45736</v>
      </c>
      <c r="D5754" t="inlineStr">
        <is>
          <t>VÄRMLANDS LÄN</t>
        </is>
      </c>
      <c r="E5754" t="inlineStr">
        <is>
          <t>SUNNE</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67203-2021</t>
        </is>
      </c>
      <c r="B5755" s="1" t="n">
        <v>44523</v>
      </c>
      <c r="C5755" s="1" t="n">
        <v>45736</v>
      </c>
      <c r="D5755" t="inlineStr">
        <is>
          <t>VÄRMLANDS LÄN</t>
        </is>
      </c>
      <c r="E5755" t="inlineStr">
        <is>
          <t>SÄFFLE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67264-2021</t>
        </is>
      </c>
      <c r="B5756" s="1" t="n">
        <v>44523</v>
      </c>
      <c r="C5756" s="1" t="n">
        <v>45736</v>
      </c>
      <c r="D5756" t="inlineStr">
        <is>
          <t>VÄRMLANDS LÄN</t>
        </is>
      </c>
      <c r="E5756" t="inlineStr">
        <is>
          <t>EDA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67172-2021</t>
        </is>
      </c>
      <c r="B5757" s="1" t="n">
        <v>44523</v>
      </c>
      <c r="C5757" s="1" t="n">
        <v>45736</v>
      </c>
      <c r="D5757" t="inlineStr">
        <is>
          <t>VÄRMLANDS LÄN</t>
        </is>
      </c>
      <c r="E5757" t="inlineStr">
        <is>
          <t>TORSBY</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67179-2021</t>
        </is>
      </c>
      <c r="B5758" s="1" t="n">
        <v>44523</v>
      </c>
      <c r="C5758" s="1" t="n">
        <v>45736</v>
      </c>
      <c r="D5758" t="inlineStr">
        <is>
          <t>VÄRMLANDS LÄN</t>
        </is>
      </c>
      <c r="E5758" t="inlineStr">
        <is>
          <t>FORSHAGA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67198-2021</t>
        </is>
      </c>
      <c r="B5759" s="1" t="n">
        <v>44523</v>
      </c>
      <c r="C5759" s="1" t="n">
        <v>45736</v>
      </c>
      <c r="D5759" t="inlineStr">
        <is>
          <t>VÄRMLANDS LÄN</t>
        </is>
      </c>
      <c r="E5759" t="inlineStr">
        <is>
          <t>FORSHAGA</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67286-2021</t>
        </is>
      </c>
      <c r="B5760" s="1" t="n">
        <v>44523</v>
      </c>
      <c r="C5760" s="1" t="n">
        <v>45736</v>
      </c>
      <c r="D5760" t="inlineStr">
        <is>
          <t>VÄRMLANDS LÄN</t>
        </is>
      </c>
      <c r="E5760" t="inlineStr">
        <is>
          <t>SUNNE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67270-2021</t>
        </is>
      </c>
      <c r="B5761" s="1" t="n">
        <v>44523</v>
      </c>
      <c r="C5761" s="1" t="n">
        <v>45736</v>
      </c>
      <c r="D5761" t="inlineStr">
        <is>
          <t>VÄRMLANDS LÄN</t>
        </is>
      </c>
      <c r="E5761" t="inlineStr">
        <is>
          <t>EDA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67321-2021</t>
        </is>
      </c>
      <c r="B5762" s="1" t="n">
        <v>44523</v>
      </c>
      <c r="C5762" s="1" t="n">
        <v>45736</v>
      </c>
      <c r="D5762" t="inlineStr">
        <is>
          <t>VÄRMLANDS LÄN</t>
        </is>
      </c>
      <c r="E5762" t="inlineStr">
        <is>
          <t>FORSHAGA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67567-2021</t>
        </is>
      </c>
      <c r="B5763" s="1" t="n">
        <v>44524</v>
      </c>
      <c r="C5763" s="1" t="n">
        <v>45736</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67457-2021</t>
        </is>
      </c>
      <c r="B5764" s="1" t="n">
        <v>44524</v>
      </c>
      <c r="C5764" s="1" t="n">
        <v>45736</v>
      </c>
      <c r="D5764" t="inlineStr">
        <is>
          <t>VÄRMLANDS LÄN</t>
        </is>
      </c>
      <c r="E5764" t="inlineStr">
        <is>
          <t>TORSBY</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67561-2021</t>
        </is>
      </c>
      <c r="B5765" s="1" t="n">
        <v>44524</v>
      </c>
      <c r="C5765" s="1" t="n">
        <v>45736</v>
      </c>
      <c r="D5765" t="inlineStr">
        <is>
          <t>VÄRMLANDS LÄN</t>
        </is>
      </c>
      <c r="E5765" t="inlineStr">
        <is>
          <t>SÄFFLE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67445-2021</t>
        </is>
      </c>
      <c r="B5766" s="1" t="n">
        <v>44524</v>
      </c>
      <c r="C5766" s="1" t="n">
        <v>45736</v>
      </c>
      <c r="D5766" t="inlineStr">
        <is>
          <t>VÄRMLANDS LÄN</t>
        </is>
      </c>
      <c r="E5766" t="inlineStr">
        <is>
          <t>FILIPSTAD</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67633-2021</t>
        </is>
      </c>
      <c r="B5767" s="1" t="n">
        <v>44524</v>
      </c>
      <c r="C5767" s="1" t="n">
        <v>45736</v>
      </c>
      <c r="D5767" t="inlineStr">
        <is>
          <t>VÄRMLANDS LÄN</t>
        </is>
      </c>
      <c r="E5767" t="inlineStr">
        <is>
          <t>FORSHAGA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67654-2021</t>
        </is>
      </c>
      <c r="B5768" s="1" t="n">
        <v>44524</v>
      </c>
      <c r="C5768" s="1" t="n">
        <v>45736</v>
      </c>
      <c r="D5768" t="inlineStr">
        <is>
          <t>VÄRMLANDS LÄN</t>
        </is>
      </c>
      <c r="E5768" t="inlineStr">
        <is>
          <t>ARVIKA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67617-2021</t>
        </is>
      </c>
      <c r="B5769" s="1" t="n">
        <v>44524</v>
      </c>
      <c r="C5769" s="1" t="n">
        <v>45736</v>
      </c>
      <c r="D5769" t="inlineStr">
        <is>
          <t>VÄRMLANDS LÄN</t>
        </is>
      </c>
      <c r="E5769" t="inlineStr">
        <is>
          <t>FORSHAGA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67770-2021</t>
        </is>
      </c>
      <c r="B5770" s="1" t="n">
        <v>44524</v>
      </c>
      <c r="C5770" s="1" t="n">
        <v>45736</v>
      </c>
      <c r="D5770" t="inlineStr">
        <is>
          <t>VÄRMLANDS LÄN</t>
        </is>
      </c>
      <c r="E5770" t="inlineStr">
        <is>
          <t>FORSHAGA</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67734-2021</t>
        </is>
      </c>
      <c r="B5771" s="1" t="n">
        <v>44525</v>
      </c>
      <c r="C5771" s="1" t="n">
        <v>45736</v>
      </c>
      <c r="D5771" t="inlineStr">
        <is>
          <t>VÄRMLANDS LÄN</t>
        </is>
      </c>
      <c r="E5771" t="inlineStr">
        <is>
          <t>FILIPSTAD</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67811-2021</t>
        </is>
      </c>
      <c r="B5772" s="1" t="n">
        <v>44525</v>
      </c>
      <c r="C5772" s="1" t="n">
        <v>45736</v>
      </c>
      <c r="D5772" t="inlineStr">
        <is>
          <t>VÄRMLANDS LÄN</t>
        </is>
      </c>
      <c r="E5772" t="inlineStr">
        <is>
          <t>ARVIKA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67818-2021</t>
        </is>
      </c>
      <c r="B5773" s="1" t="n">
        <v>44525</v>
      </c>
      <c r="C5773" s="1" t="n">
        <v>45736</v>
      </c>
      <c r="D5773" t="inlineStr">
        <is>
          <t>VÄRMLANDS LÄN</t>
        </is>
      </c>
      <c r="E5773" t="inlineStr">
        <is>
          <t>SUNNE</t>
        </is>
      </c>
      <c r="G5773" t="n">
        <v>8.699999999999999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67933-2021</t>
        </is>
      </c>
      <c r="B5774" s="1" t="n">
        <v>44525</v>
      </c>
      <c r="C5774" s="1" t="n">
        <v>45736</v>
      </c>
      <c r="D5774" t="inlineStr">
        <is>
          <t>VÄRMLANDS LÄN</t>
        </is>
      </c>
      <c r="E5774" t="inlineStr">
        <is>
          <t>TORSBY</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68002-2021</t>
        </is>
      </c>
      <c r="B5775" s="1" t="n">
        <v>44525</v>
      </c>
      <c r="C5775" s="1" t="n">
        <v>45736</v>
      </c>
      <c r="D5775" t="inlineStr">
        <is>
          <t>VÄRMLANDS LÄN</t>
        </is>
      </c>
      <c r="E5775" t="inlineStr">
        <is>
          <t>SUNNE</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67913-2021</t>
        </is>
      </c>
      <c r="B5776" s="1" t="n">
        <v>44525</v>
      </c>
      <c r="C5776" s="1" t="n">
        <v>45736</v>
      </c>
      <c r="D5776" t="inlineStr">
        <is>
          <t>VÄRMLANDS LÄN</t>
        </is>
      </c>
      <c r="E5776" t="inlineStr">
        <is>
          <t>TORSBY</t>
        </is>
      </c>
      <c r="F5776" t="inlineStr">
        <is>
          <t>Bergvik skog väst AB</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68011-2021</t>
        </is>
      </c>
      <c r="B5777" s="1" t="n">
        <v>44525</v>
      </c>
      <c r="C5777" s="1" t="n">
        <v>45736</v>
      </c>
      <c r="D5777" t="inlineStr">
        <is>
          <t>VÄRMLANDS LÄN</t>
        </is>
      </c>
      <c r="E5777" t="inlineStr">
        <is>
          <t>KARLSTAD</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68505-2021</t>
        </is>
      </c>
      <c r="B5778" s="1" t="n">
        <v>44525</v>
      </c>
      <c r="C5778" s="1" t="n">
        <v>45736</v>
      </c>
      <c r="D5778" t="inlineStr">
        <is>
          <t>VÄRMLANDS LÄN</t>
        </is>
      </c>
      <c r="E5778" t="inlineStr">
        <is>
          <t>KRISTINEHAMN</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68000-2021</t>
        </is>
      </c>
      <c r="B5779" s="1" t="n">
        <v>44525</v>
      </c>
      <c r="C5779" s="1" t="n">
        <v>45736</v>
      </c>
      <c r="D5779" t="inlineStr">
        <is>
          <t>VÄRMLANDS LÄN</t>
        </is>
      </c>
      <c r="E5779" t="inlineStr">
        <is>
          <t>SUNNE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68014-2021</t>
        </is>
      </c>
      <c r="B5780" s="1" t="n">
        <v>44525</v>
      </c>
      <c r="C5780" s="1" t="n">
        <v>45736</v>
      </c>
      <c r="D5780" t="inlineStr">
        <is>
          <t>VÄRMLANDS LÄN</t>
        </is>
      </c>
      <c r="E5780" t="inlineStr">
        <is>
          <t>SUNNE</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68497-2021</t>
        </is>
      </c>
      <c r="B5781" s="1" t="n">
        <v>44525</v>
      </c>
      <c r="C5781" s="1" t="n">
        <v>45736</v>
      </c>
      <c r="D5781" t="inlineStr">
        <is>
          <t>VÄRMLANDS LÄN</t>
        </is>
      </c>
      <c r="E5781" t="inlineStr">
        <is>
          <t>KRISTINEHAMN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68180-2021</t>
        </is>
      </c>
      <c r="B5782" s="1" t="n">
        <v>44526</v>
      </c>
      <c r="C5782" s="1" t="n">
        <v>45736</v>
      </c>
      <c r="D5782" t="inlineStr">
        <is>
          <t>VÄRMLANDS LÄN</t>
        </is>
      </c>
      <c r="E5782" t="inlineStr">
        <is>
          <t>ÅRJÄNG</t>
        </is>
      </c>
      <c r="F5782" t="inlineStr">
        <is>
          <t>Kyrkan</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69279-2021</t>
        </is>
      </c>
      <c r="B5783" s="1" t="n">
        <v>44526</v>
      </c>
      <c r="C5783" s="1" t="n">
        <v>45736</v>
      </c>
      <c r="D5783" t="inlineStr">
        <is>
          <t>VÄRMLANDS LÄN</t>
        </is>
      </c>
      <c r="E5783" t="inlineStr">
        <is>
          <t>TORSBY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68530-2021</t>
        </is>
      </c>
      <c r="B5784" s="1" t="n">
        <v>44526</v>
      </c>
      <c r="C5784" s="1" t="n">
        <v>45736</v>
      </c>
      <c r="D5784" t="inlineStr">
        <is>
          <t>VÄRMLANDS LÄN</t>
        </is>
      </c>
      <c r="E5784" t="inlineStr">
        <is>
          <t>KRISTINEHAMN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69265-2021</t>
        </is>
      </c>
      <c r="B5785" s="1" t="n">
        <v>44526</v>
      </c>
      <c r="C5785" s="1" t="n">
        <v>45736</v>
      </c>
      <c r="D5785" t="inlineStr">
        <is>
          <t>VÄRMLANDS LÄN</t>
        </is>
      </c>
      <c r="E5785" t="inlineStr">
        <is>
          <t>TORSBY</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68209-2021</t>
        </is>
      </c>
      <c r="B5786" s="1" t="n">
        <v>44526</v>
      </c>
      <c r="C5786" s="1" t="n">
        <v>45736</v>
      </c>
      <c r="D5786" t="inlineStr">
        <is>
          <t>VÄRMLANDS LÄN</t>
        </is>
      </c>
      <c r="E5786" t="inlineStr">
        <is>
          <t>SUNNE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69275-2021</t>
        </is>
      </c>
      <c r="B5787" s="1" t="n">
        <v>44526</v>
      </c>
      <c r="C5787" s="1" t="n">
        <v>45736</v>
      </c>
      <c r="D5787" t="inlineStr">
        <is>
          <t>VÄRMLANDS LÄN</t>
        </is>
      </c>
      <c r="E5787" t="inlineStr">
        <is>
          <t>TORSBY</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68153-2021</t>
        </is>
      </c>
      <c r="B5788" s="1" t="n">
        <v>44526</v>
      </c>
      <c r="C5788" s="1" t="n">
        <v>45736</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68252-2021</t>
        </is>
      </c>
      <c r="B5789" s="1" t="n">
        <v>44526</v>
      </c>
      <c r="C5789" s="1" t="n">
        <v>45736</v>
      </c>
      <c r="D5789" t="inlineStr">
        <is>
          <t>VÄRMLANDS LÄN</t>
        </is>
      </c>
      <c r="E5789" t="inlineStr">
        <is>
          <t>HAGFORS</t>
        </is>
      </c>
      <c r="F5789" t="inlineStr">
        <is>
          <t>Bergvik skog väst AB</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68526-2021</t>
        </is>
      </c>
      <c r="B5790" s="1" t="n">
        <v>44526</v>
      </c>
      <c r="C5790" s="1" t="n">
        <v>45736</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69281-2021</t>
        </is>
      </c>
      <c r="B5791" s="1" t="n">
        <v>44526</v>
      </c>
      <c r="C5791" s="1" t="n">
        <v>45736</v>
      </c>
      <c r="D5791" t="inlineStr">
        <is>
          <t>VÄRMLANDS LÄN</t>
        </is>
      </c>
      <c r="E5791" t="inlineStr">
        <is>
          <t>TORSBY</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68148-2021</t>
        </is>
      </c>
      <c r="B5792" s="1" t="n">
        <v>44526</v>
      </c>
      <c r="C5792" s="1" t="n">
        <v>45736</v>
      </c>
      <c r="D5792" t="inlineStr">
        <is>
          <t>VÄRMLANDS LÄN</t>
        </is>
      </c>
      <c r="E5792" t="inlineStr">
        <is>
          <t>HAGFORS</t>
        </is>
      </c>
      <c r="F5792" t="inlineStr">
        <is>
          <t>Bergvik skog väst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68155-2021</t>
        </is>
      </c>
      <c r="B5793" s="1" t="n">
        <v>44526</v>
      </c>
      <c r="C5793" s="1" t="n">
        <v>45736</v>
      </c>
      <c r="D5793" t="inlineStr">
        <is>
          <t>VÄRMLANDS LÄN</t>
        </is>
      </c>
      <c r="E5793" t="inlineStr">
        <is>
          <t>SÄFFLE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68266-2021</t>
        </is>
      </c>
      <c r="B5794" s="1" t="n">
        <v>44526</v>
      </c>
      <c r="C5794" s="1" t="n">
        <v>45736</v>
      </c>
      <c r="D5794" t="inlineStr">
        <is>
          <t>VÄRMLANDS LÄN</t>
        </is>
      </c>
      <c r="E5794" t="inlineStr">
        <is>
          <t>TORSBY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68136-2021</t>
        </is>
      </c>
      <c r="B5795" s="1" t="n">
        <v>44526</v>
      </c>
      <c r="C5795" s="1" t="n">
        <v>45736</v>
      </c>
      <c r="D5795" t="inlineStr">
        <is>
          <t>VÄRMLANDS LÄN</t>
        </is>
      </c>
      <c r="E5795" t="inlineStr">
        <is>
          <t>TORSBY</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68328-2021</t>
        </is>
      </c>
      <c r="B5796" s="1" t="n">
        <v>44527</v>
      </c>
      <c r="C5796" s="1" t="n">
        <v>45736</v>
      </c>
      <c r="D5796" t="inlineStr">
        <is>
          <t>VÄRMLANDS LÄN</t>
        </is>
      </c>
      <c r="E5796" t="inlineStr">
        <is>
          <t>ÅRJÄNG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68349-2021</t>
        </is>
      </c>
      <c r="B5797" s="1" t="n">
        <v>44528</v>
      </c>
      <c r="C5797" s="1" t="n">
        <v>45736</v>
      </c>
      <c r="D5797" t="inlineStr">
        <is>
          <t>VÄRMLANDS LÄN</t>
        </is>
      </c>
      <c r="E5797" t="inlineStr">
        <is>
          <t>SÄFFLE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68374-2021</t>
        </is>
      </c>
      <c r="B5798" s="1" t="n">
        <v>44529</v>
      </c>
      <c r="C5798" s="1" t="n">
        <v>45736</v>
      </c>
      <c r="D5798" t="inlineStr">
        <is>
          <t>VÄRMLANDS LÄN</t>
        </is>
      </c>
      <c r="E5798" t="inlineStr">
        <is>
          <t>HAGFORS</t>
        </is>
      </c>
      <c r="F5798" t="inlineStr">
        <is>
          <t>Bergvik skog väst AB</t>
        </is>
      </c>
      <c r="G5798" t="n">
        <v>10.9</v>
      </c>
      <c r="H5798" t="n">
        <v>0</v>
      </c>
      <c r="I5798" t="n">
        <v>0</v>
      </c>
      <c r="J5798" t="n">
        <v>0</v>
      </c>
      <c r="K5798" t="n">
        <v>0</v>
      </c>
      <c r="L5798" t="n">
        <v>0</v>
      </c>
      <c r="M5798" t="n">
        <v>0</v>
      </c>
      <c r="N5798" t="n">
        <v>0</v>
      </c>
      <c r="O5798" t="n">
        <v>0</v>
      </c>
      <c r="P5798" t="n">
        <v>0</v>
      </c>
      <c r="Q5798" t="n">
        <v>0</v>
      </c>
      <c r="R5798" s="2" t="inlineStr"/>
    </row>
    <row r="5799" ht="15" customHeight="1">
      <c r="A5799" t="inlineStr">
        <is>
          <t>A 68650-2021</t>
        </is>
      </c>
      <c r="B5799" s="1" t="n">
        <v>44529</v>
      </c>
      <c r="C5799" s="1" t="n">
        <v>45736</v>
      </c>
      <c r="D5799" t="inlineStr">
        <is>
          <t>VÄRMLANDS LÄN</t>
        </is>
      </c>
      <c r="E5799" t="inlineStr">
        <is>
          <t>TORSBY</t>
        </is>
      </c>
      <c r="F5799" t="inlineStr">
        <is>
          <t>Bergvik skog väst AB</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68731-2021</t>
        </is>
      </c>
      <c r="B5800" s="1" t="n">
        <v>44529</v>
      </c>
      <c r="C5800" s="1" t="n">
        <v>45736</v>
      </c>
      <c r="D5800" t="inlineStr">
        <is>
          <t>VÄRMLANDS LÄN</t>
        </is>
      </c>
      <c r="E5800" t="inlineStr">
        <is>
          <t>SUNNE</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68437-2021</t>
        </is>
      </c>
      <c r="B5801" s="1" t="n">
        <v>44529</v>
      </c>
      <c r="C5801" s="1" t="n">
        <v>45736</v>
      </c>
      <c r="D5801" t="inlineStr">
        <is>
          <t>VÄRMLANDS LÄN</t>
        </is>
      </c>
      <c r="E5801" t="inlineStr">
        <is>
          <t>EDA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68572-2021</t>
        </is>
      </c>
      <c r="B5802" s="1" t="n">
        <v>44529</v>
      </c>
      <c r="C5802" s="1" t="n">
        <v>45736</v>
      </c>
      <c r="D5802" t="inlineStr">
        <is>
          <t>VÄRMLANDS LÄN</t>
        </is>
      </c>
      <c r="E5802" t="inlineStr">
        <is>
          <t>ARVIKA</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68445-2021</t>
        </is>
      </c>
      <c r="B5803" s="1" t="n">
        <v>44529</v>
      </c>
      <c r="C5803" s="1" t="n">
        <v>45736</v>
      </c>
      <c r="D5803" t="inlineStr">
        <is>
          <t>VÄRMLANDS LÄN</t>
        </is>
      </c>
      <c r="E5803" t="inlineStr">
        <is>
          <t>EDA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68550-2021</t>
        </is>
      </c>
      <c r="B5804" s="1" t="n">
        <v>44529</v>
      </c>
      <c r="C5804" s="1" t="n">
        <v>45736</v>
      </c>
      <c r="D5804" t="inlineStr">
        <is>
          <t>VÄRMLANDS LÄN</t>
        </is>
      </c>
      <c r="E5804" t="inlineStr">
        <is>
          <t>EDA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68728-2021</t>
        </is>
      </c>
      <c r="B5805" s="1" t="n">
        <v>44529</v>
      </c>
      <c r="C5805" s="1" t="n">
        <v>45736</v>
      </c>
      <c r="D5805" t="inlineStr">
        <is>
          <t>VÄRMLANDS LÄN</t>
        </is>
      </c>
      <c r="E5805" t="inlineStr">
        <is>
          <t>KIL</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68919-2021</t>
        </is>
      </c>
      <c r="B5806" s="1" t="n">
        <v>44530</v>
      </c>
      <c r="C5806" s="1" t="n">
        <v>45736</v>
      </c>
      <c r="D5806" t="inlineStr">
        <is>
          <t>VÄRMLANDS LÄN</t>
        </is>
      </c>
      <c r="E5806" t="inlineStr">
        <is>
          <t>ARVIKA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69008-2021</t>
        </is>
      </c>
      <c r="B5807" s="1" t="n">
        <v>44530</v>
      </c>
      <c r="C5807" s="1" t="n">
        <v>45736</v>
      </c>
      <c r="D5807" t="inlineStr">
        <is>
          <t>VÄRMLANDS LÄN</t>
        </is>
      </c>
      <c r="E5807" t="inlineStr">
        <is>
          <t>KARLSTAD</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68839-2021</t>
        </is>
      </c>
      <c r="B5808" s="1" t="n">
        <v>44530</v>
      </c>
      <c r="C5808" s="1" t="n">
        <v>45736</v>
      </c>
      <c r="D5808" t="inlineStr">
        <is>
          <t>VÄRMLANDS LÄN</t>
        </is>
      </c>
      <c r="E5808" t="inlineStr">
        <is>
          <t>KARLSTAD</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68850-2021</t>
        </is>
      </c>
      <c r="B5809" s="1" t="n">
        <v>44530</v>
      </c>
      <c r="C5809" s="1" t="n">
        <v>45736</v>
      </c>
      <c r="D5809" t="inlineStr">
        <is>
          <t>VÄRMLANDS LÄN</t>
        </is>
      </c>
      <c r="E5809" t="inlineStr">
        <is>
          <t>TORSBY</t>
        </is>
      </c>
      <c r="G5809" t="n">
        <v>13.1</v>
      </c>
      <c r="H5809" t="n">
        <v>0</v>
      </c>
      <c r="I5809" t="n">
        <v>0</v>
      </c>
      <c r="J5809" t="n">
        <v>0</v>
      </c>
      <c r="K5809" t="n">
        <v>0</v>
      </c>
      <c r="L5809" t="n">
        <v>0</v>
      </c>
      <c r="M5809" t="n">
        <v>0</v>
      </c>
      <c r="N5809" t="n">
        <v>0</v>
      </c>
      <c r="O5809" t="n">
        <v>0</v>
      </c>
      <c r="P5809" t="n">
        <v>0</v>
      </c>
      <c r="Q5809" t="n">
        <v>0</v>
      </c>
      <c r="R5809" s="2" t="inlineStr"/>
    </row>
    <row r="5810" ht="15" customHeight="1">
      <c r="A5810" t="inlineStr">
        <is>
          <t>A 68917-2021</t>
        </is>
      </c>
      <c r="B5810" s="1" t="n">
        <v>44530</v>
      </c>
      <c r="C5810" s="1" t="n">
        <v>45736</v>
      </c>
      <c r="D5810" t="inlineStr">
        <is>
          <t>VÄRMLANDS LÄN</t>
        </is>
      </c>
      <c r="E5810" t="inlineStr">
        <is>
          <t>ÅRJÄNG</t>
        </is>
      </c>
      <c r="F5810" t="inlineStr">
        <is>
          <t>Bergvik skog väst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68855-2021</t>
        </is>
      </c>
      <c r="B5811" s="1" t="n">
        <v>44530</v>
      </c>
      <c r="C5811" s="1" t="n">
        <v>45736</v>
      </c>
      <c r="D5811" t="inlineStr">
        <is>
          <t>VÄRMLANDS LÄN</t>
        </is>
      </c>
      <c r="E5811" t="inlineStr">
        <is>
          <t>TORSBY</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69026-2021</t>
        </is>
      </c>
      <c r="B5812" s="1" t="n">
        <v>44530</v>
      </c>
      <c r="C5812" s="1" t="n">
        <v>45736</v>
      </c>
      <c r="D5812" t="inlineStr">
        <is>
          <t>VÄRMLANDS LÄN</t>
        </is>
      </c>
      <c r="E5812" t="inlineStr">
        <is>
          <t>TORSBY</t>
        </is>
      </c>
      <c r="F5812" t="inlineStr">
        <is>
          <t>Bergvik skog väst AB</t>
        </is>
      </c>
      <c r="G5812" t="n">
        <v>11.3</v>
      </c>
      <c r="H5812" t="n">
        <v>0</v>
      </c>
      <c r="I5812" t="n">
        <v>0</v>
      </c>
      <c r="J5812" t="n">
        <v>0</v>
      </c>
      <c r="K5812" t="n">
        <v>0</v>
      </c>
      <c r="L5812" t="n">
        <v>0</v>
      </c>
      <c r="M5812" t="n">
        <v>0</v>
      </c>
      <c r="N5812" t="n">
        <v>0</v>
      </c>
      <c r="O5812" t="n">
        <v>0</v>
      </c>
      <c r="P5812" t="n">
        <v>0</v>
      </c>
      <c r="Q5812" t="n">
        <v>0</v>
      </c>
      <c r="R5812" s="2" t="inlineStr"/>
    </row>
    <row r="5813" ht="15" customHeight="1">
      <c r="A5813" t="inlineStr">
        <is>
          <t>A 69024-2021</t>
        </is>
      </c>
      <c r="B5813" s="1" t="n">
        <v>44530</v>
      </c>
      <c r="C5813" s="1" t="n">
        <v>45736</v>
      </c>
      <c r="D5813" t="inlineStr">
        <is>
          <t>VÄRMLANDS LÄN</t>
        </is>
      </c>
      <c r="E5813" t="inlineStr">
        <is>
          <t>ÅRJÄNG</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69015-2021</t>
        </is>
      </c>
      <c r="B5814" s="1" t="n">
        <v>44530</v>
      </c>
      <c r="C5814" s="1" t="n">
        <v>45736</v>
      </c>
      <c r="D5814" t="inlineStr">
        <is>
          <t>VÄRMLANDS LÄN</t>
        </is>
      </c>
      <c r="E5814" t="inlineStr">
        <is>
          <t>FILIPSTAD</t>
        </is>
      </c>
      <c r="F5814" t="inlineStr">
        <is>
          <t>Bergvik skog väst AB</t>
        </is>
      </c>
      <c r="G5814" t="n">
        <v>12.7</v>
      </c>
      <c r="H5814" t="n">
        <v>0</v>
      </c>
      <c r="I5814" t="n">
        <v>0</v>
      </c>
      <c r="J5814" t="n">
        <v>0</v>
      </c>
      <c r="K5814" t="n">
        <v>0</v>
      </c>
      <c r="L5814" t="n">
        <v>0</v>
      </c>
      <c r="M5814" t="n">
        <v>0</v>
      </c>
      <c r="N5814" t="n">
        <v>0</v>
      </c>
      <c r="O5814" t="n">
        <v>0</v>
      </c>
      <c r="P5814" t="n">
        <v>0</v>
      </c>
      <c r="Q5814" t="n">
        <v>0</v>
      </c>
      <c r="R5814" s="2" t="inlineStr"/>
    </row>
    <row r="5815" ht="15" customHeight="1">
      <c r="A5815" t="inlineStr">
        <is>
          <t>A 69086-2021</t>
        </is>
      </c>
      <c r="B5815" s="1" t="n">
        <v>44530</v>
      </c>
      <c r="C5815" s="1" t="n">
        <v>45736</v>
      </c>
      <c r="D5815" t="inlineStr">
        <is>
          <t>VÄRMLANDS LÄN</t>
        </is>
      </c>
      <c r="E5815" t="inlineStr">
        <is>
          <t>TORSBY</t>
        </is>
      </c>
      <c r="F5815" t="inlineStr">
        <is>
          <t>Bergvik skog väst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69340-2021</t>
        </is>
      </c>
      <c r="B5816" s="1" t="n">
        <v>44531</v>
      </c>
      <c r="C5816" s="1" t="n">
        <v>45736</v>
      </c>
      <c r="D5816" t="inlineStr">
        <is>
          <t>VÄRMLANDS LÄN</t>
        </is>
      </c>
      <c r="E5816" t="inlineStr">
        <is>
          <t>ARVIKA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69319-2021</t>
        </is>
      </c>
      <c r="B5817" s="1" t="n">
        <v>44531</v>
      </c>
      <c r="C5817" s="1" t="n">
        <v>45736</v>
      </c>
      <c r="D5817" t="inlineStr">
        <is>
          <t>VÄRMLANDS LÄN</t>
        </is>
      </c>
      <c r="E5817" t="inlineStr">
        <is>
          <t>MUNKFORS</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69373-2021</t>
        </is>
      </c>
      <c r="B5818" s="1" t="n">
        <v>44531</v>
      </c>
      <c r="C5818" s="1" t="n">
        <v>45736</v>
      </c>
      <c r="D5818" t="inlineStr">
        <is>
          <t>VÄRMLANDS LÄN</t>
        </is>
      </c>
      <c r="E5818" t="inlineStr">
        <is>
          <t>SUNNE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69273-2021</t>
        </is>
      </c>
      <c r="B5819" s="1" t="n">
        <v>44531</v>
      </c>
      <c r="C5819" s="1" t="n">
        <v>45736</v>
      </c>
      <c r="D5819" t="inlineStr">
        <is>
          <t>VÄRMLANDS LÄN</t>
        </is>
      </c>
      <c r="E5819" t="inlineStr">
        <is>
          <t>MUNKFORS</t>
        </is>
      </c>
      <c r="F5819" t="inlineStr">
        <is>
          <t>Kyrkan</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69354-2021</t>
        </is>
      </c>
      <c r="B5820" s="1" t="n">
        <v>44531</v>
      </c>
      <c r="C5820" s="1" t="n">
        <v>45736</v>
      </c>
      <c r="D5820" t="inlineStr">
        <is>
          <t>VÄRMLANDS LÄN</t>
        </is>
      </c>
      <c r="E5820" t="inlineStr">
        <is>
          <t>ARVIKA</t>
        </is>
      </c>
      <c r="F5820" t="inlineStr">
        <is>
          <t>Bergvik skog väst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69399-2021</t>
        </is>
      </c>
      <c r="B5821" s="1" t="n">
        <v>44531</v>
      </c>
      <c r="C5821" s="1" t="n">
        <v>45736</v>
      </c>
      <c r="D5821" t="inlineStr">
        <is>
          <t>VÄRMLANDS LÄN</t>
        </is>
      </c>
      <c r="E5821" t="inlineStr">
        <is>
          <t>ARVIKA</t>
        </is>
      </c>
      <c r="F5821" t="inlineStr">
        <is>
          <t>Bergvik skog väst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69417-2021</t>
        </is>
      </c>
      <c r="B5822" s="1" t="n">
        <v>44531</v>
      </c>
      <c r="C5822" s="1" t="n">
        <v>45736</v>
      </c>
      <c r="D5822" t="inlineStr">
        <is>
          <t>VÄRMLANDS LÄN</t>
        </is>
      </c>
      <c r="E5822" t="inlineStr">
        <is>
          <t>ÅRJÄNG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69428-2021</t>
        </is>
      </c>
      <c r="B5823" s="1" t="n">
        <v>44531</v>
      </c>
      <c r="C5823" s="1" t="n">
        <v>45736</v>
      </c>
      <c r="D5823" t="inlineStr">
        <is>
          <t>VÄRMLANDS LÄN</t>
        </is>
      </c>
      <c r="E5823" t="inlineStr">
        <is>
          <t>KARLSTAD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69529-2021</t>
        </is>
      </c>
      <c r="B5824" s="1" t="n">
        <v>44531</v>
      </c>
      <c r="C5824" s="1" t="n">
        <v>45736</v>
      </c>
      <c r="D5824" t="inlineStr">
        <is>
          <t>VÄRMLANDS LÄN</t>
        </is>
      </c>
      <c r="E5824" t="inlineStr">
        <is>
          <t>ARVIKA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69719-2021</t>
        </is>
      </c>
      <c r="B5825" s="1" t="n">
        <v>44532</v>
      </c>
      <c r="C5825" s="1" t="n">
        <v>45736</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69658-2021</t>
        </is>
      </c>
      <c r="B5826" s="1" t="n">
        <v>44532</v>
      </c>
      <c r="C5826" s="1" t="n">
        <v>45736</v>
      </c>
      <c r="D5826" t="inlineStr">
        <is>
          <t>VÄRMLANDS LÄN</t>
        </is>
      </c>
      <c r="E5826" t="inlineStr">
        <is>
          <t>FILIPSTAD</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69797-2021</t>
        </is>
      </c>
      <c r="B5827" s="1" t="n">
        <v>44532</v>
      </c>
      <c r="C5827" s="1" t="n">
        <v>45736</v>
      </c>
      <c r="D5827" t="inlineStr">
        <is>
          <t>VÄRMLANDS LÄN</t>
        </is>
      </c>
      <c r="E5827" t="inlineStr">
        <is>
          <t>EDA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69839-2021</t>
        </is>
      </c>
      <c r="B5828" s="1" t="n">
        <v>44532</v>
      </c>
      <c r="C5828" s="1" t="n">
        <v>45736</v>
      </c>
      <c r="D5828" t="inlineStr">
        <is>
          <t>VÄRMLANDS LÄN</t>
        </is>
      </c>
      <c r="E5828" t="inlineStr">
        <is>
          <t>ÅRJÄNG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69859-2021</t>
        </is>
      </c>
      <c r="B5829" s="1" t="n">
        <v>44532</v>
      </c>
      <c r="C5829" s="1" t="n">
        <v>45736</v>
      </c>
      <c r="D5829" t="inlineStr">
        <is>
          <t>VÄRMLANDS LÄN</t>
        </is>
      </c>
      <c r="E5829" t="inlineStr">
        <is>
          <t>FORSHAGA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69847-2021</t>
        </is>
      </c>
      <c r="B5830" s="1" t="n">
        <v>44532</v>
      </c>
      <c r="C5830" s="1" t="n">
        <v>45736</v>
      </c>
      <c r="D5830" t="inlineStr">
        <is>
          <t>VÄRMLANDS LÄN</t>
        </is>
      </c>
      <c r="E5830" t="inlineStr">
        <is>
          <t>GRUMS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69877-2021</t>
        </is>
      </c>
      <c r="B5831" s="1" t="n">
        <v>44532</v>
      </c>
      <c r="C5831" s="1" t="n">
        <v>45736</v>
      </c>
      <c r="D5831" t="inlineStr">
        <is>
          <t>VÄRMLANDS LÄN</t>
        </is>
      </c>
      <c r="E5831" t="inlineStr">
        <is>
          <t>TORSBY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69862-2021</t>
        </is>
      </c>
      <c r="B5832" s="1" t="n">
        <v>44532</v>
      </c>
      <c r="C5832" s="1" t="n">
        <v>45736</v>
      </c>
      <c r="D5832" t="inlineStr">
        <is>
          <t>VÄRMLANDS LÄN</t>
        </is>
      </c>
      <c r="E5832" t="inlineStr">
        <is>
          <t>ÅRJÄNG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69878-2021</t>
        </is>
      </c>
      <c r="B5833" s="1" t="n">
        <v>44532</v>
      </c>
      <c r="C5833" s="1" t="n">
        <v>45736</v>
      </c>
      <c r="D5833" t="inlineStr">
        <is>
          <t>VÄRMLANDS LÄN</t>
        </is>
      </c>
      <c r="E5833" t="inlineStr">
        <is>
          <t>TORSBY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70059-2021</t>
        </is>
      </c>
      <c r="B5834" s="1" t="n">
        <v>44533</v>
      </c>
      <c r="C5834" s="1" t="n">
        <v>45736</v>
      </c>
      <c r="D5834" t="inlineStr">
        <is>
          <t>VÄRMLANDS LÄN</t>
        </is>
      </c>
      <c r="E5834" t="inlineStr">
        <is>
          <t>KARLSTAD</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70127-2021</t>
        </is>
      </c>
      <c r="B5835" s="1" t="n">
        <v>44533</v>
      </c>
      <c r="C5835" s="1" t="n">
        <v>45736</v>
      </c>
      <c r="D5835" t="inlineStr">
        <is>
          <t>VÄRMLANDS LÄN</t>
        </is>
      </c>
      <c r="E5835" t="inlineStr">
        <is>
          <t>KARLSTAD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70123-2021</t>
        </is>
      </c>
      <c r="B5836" s="1" t="n">
        <v>44533</v>
      </c>
      <c r="C5836" s="1" t="n">
        <v>45736</v>
      </c>
      <c r="D5836" t="inlineStr">
        <is>
          <t>VÄRMLANDS LÄN</t>
        </is>
      </c>
      <c r="E5836" t="inlineStr">
        <is>
          <t>KARLSTAD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70130-2021</t>
        </is>
      </c>
      <c r="B5837" s="1" t="n">
        <v>44533</v>
      </c>
      <c r="C5837" s="1" t="n">
        <v>45736</v>
      </c>
      <c r="D5837" t="inlineStr">
        <is>
          <t>VÄRMLANDS LÄN</t>
        </is>
      </c>
      <c r="E5837" t="inlineStr">
        <is>
          <t>KRISTINEHAMN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70144-2021</t>
        </is>
      </c>
      <c r="B5838" s="1" t="n">
        <v>44533</v>
      </c>
      <c r="C5838" s="1" t="n">
        <v>45736</v>
      </c>
      <c r="D5838" t="inlineStr">
        <is>
          <t>VÄRMLANDS LÄN</t>
        </is>
      </c>
      <c r="E5838" t="inlineStr">
        <is>
          <t>KARLSTAD</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70126-2021</t>
        </is>
      </c>
      <c r="B5839" s="1" t="n">
        <v>44533</v>
      </c>
      <c r="C5839" s="1" t="n">
        <v>45736</v>
      </c>
      <c r="D5839" t="inlineStr">
        <is>
          <t>VÄRMLANDS LÄN</t>
        </is>
      </c>
      <c r="E5839" t="inlineStr">
        <is>
          <t>KRISTINEHAMN</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70166-2021</t>
        </is>
      </c>
      <c r="B5840" s="1" t="n">
        <v>44533</v>
      </c>
      <c r="C5840" s="1" t="n">
        <v>45736</v>
      </c>
      <c r="D5840" t="inlineStr">
        <is>
          <t>VÄRMLANDS LÄN</t>
        </is>
      </c>
      <c r="E5840" t="inlineStr">
        <is>
          <t>TORSBY</t>
        </is>
      </c>
      <c r="F5840" t="inlineStr">
        <is>
          <t>Kommuner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69974-2021</t>
        </is>
      </c>
      <c r="B5841" s="1" t="n">
        <v>44533</v>
      </c>
      <c r="C5841" s="1" t="n">
        <v>45736</v>
      </c>
      <c r="D5841" t="inlineStr">
        <is>
          <t>VÄRMLANDS LÄN</t>
        </is>
      </c>
      <c r="E5841" t="inlineStr">
        <is>
          <t>TORSBY</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70214-2021</t>
        </is>
      </c>
      <c r="B5842" s="1" t="n">
        <v>44535</v>
      </c>
      <c r="C5842" s="1" t="n">
        <v>45736</v>
      </c>
      <c r="D5842" t="inlineStr">
        <is>
          <t>VÄRMLANDS LÄN</t>
        </is>
      </c>
      <c r="E5842" t="inlineStr">
        <is>
          <t>FORSHAGA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70241-2021</t>
        </is>
      </c>
      <c r="B5843" s="1" t="n">
        <v>44536</v>
      </c>
      <c r="C5843" s="1" t="n">
        <v>45736</v>
      </c>
      <c r="D5843" t="inlineStr">
        <is>
          <t>VÄRMLANDS LÄN</t>
        </is>
      </c>
      <c r="E5843" t="inlineStr">
        <is>
          <t>TORSBY</t>
        </is>
      </c>
      <c r="F5843" t="inlineStr">
        <is>
          <t>Bergvik skog väst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70253-2021</t>
        </is>
      </c>
      <c r="B5844" s="1" t="n">
        <v>44536</v>
      </c>
      <c r="C5844" s="1" t="n">
        <v>45736</v>
      </c>
      <c r="D5844" t="inlineStr">
        <is>
          <t>VÄRMLANDS LÄN</t>
        </is>
      </c>
      <c r="E5844" t="inlineStr">
        <is>
          <t>TORSBY</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70294-2021</t>
        </is>
      </c>
      <c r="B5845" s="1" t="n">
        <v>44536</v>
      </c>
      <c r="C5845" s="1" t="n">
        <v>45736</v>
      </c>
      <c r="D5845" t="inlineStr">
        <is>
          <t>VÄRMLANDS LÄN</t>
        </is>
      </c>
      <c r="E5845" t="inlineStr">
        <is>
          <t>FORSHAGA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70254-2021</t>
        </is>
      </c>
      <c r="B5846" s="1" t="n">
        <v>44536</v>
      </c>
      <c r="C5846" s="1" t="n">
        <v>45736</v>
      </c>
      <c r="D5846" t="inlineStr">
        <is>
          <t>VÄRMLANDS LÄN</t>
        </is>
      </c>
      <c r="E5846" t="inlineStr">
        <is>
          <t>KARLSTAD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70276-2021</t>
        </is>
      </c>
      <c r="B5847" s="1" t="n">
        <v>44536</v>
      </c>
      <c r="C5847" s="1" t="n">
        <v>45736</v>
      </c>
      <c r="D5847" t="inlineStr">
        <is>
          <t>VÄRMLANDS LÄN</t>
        </is>
      </c>
      <c r="E5847" t="inlineStr">
        <is>
          <t>FILIPSTAD</t>
        </is>
      </c>
      <c r="F5847" t="inlineStr">
        <is>
          <t>Bergvik skog väst AB</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70381-2021</t>
        </is>
      </c>
      <c r="B5848" s="1" t="n">
        <v>44536</v>
      </c>
      <c r="C5848" s="1" t="n">
        <v>45736</v>
      </c>
      <c r="D5848" t="inlineStr">
        <is>
          <t>VÄRMLANDS LÄN</t>
        </is>
      </c>
      <c r="E5848" t="inlineStr">
        <is>
          <t>ARVIKA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70405-2021</t>
        </is>
      </c>
      <c r="B5849" s="1" t="n">
        <v>44536</v>
      </c>
      <c r="C5849" s="1" t="n">
        <v>45736</v>
      </c>
      <c r="D5849" t="inlineStr">
        <is>
          <t>VÄRMLANDS LÄN</t>
        </is>
      </c>
      <c r="E5849" t="inlineStr">
        <is>
          <t>FILIPSTAD</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70453-2021</t>
        </is>
      </c>
      <c r="B5850" s="1" t="n">
        <v>44536</v>
      </c>
      <c r="C5850" s="1" t="n">
        <v>45736</v>
      </c>
      <c r="D5850" t="inlineStr">
        <is>
          <t>VÄRMLANDS LÄN</t>
        </is>
      </c>
      <c r="E5850" t="inlineStr">
        <is>
          <t>ARVIKA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70461-2021</t>
        </is>
      </c>
      <c r="B5851" s="1" t="n">
        <v>44536</v>
      </c>
      <c r="C5851" s="1" t="n">
        <v>45736</v>
      </c>
      <c r="D5851" t="inlineStr">
        <is>
          <t>VÄRMLANDS LÄN</t>
        </is>
      </c>
      <c r="E5851" t="inlineStr">
        <is>
          <t>ÅRJÄNG</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70729-2021</t>
        </is>
      </c>
      <c r="B5852" s="1" t="n">
        <v>44536</v>
      </c>
      <c r="C5852" s="1" t="n">
        <v>45736</v>
      </c>
      <c r="D5852" t="inlineStr">
        <is>
          <t>VÄRMLANDS LÄN</t>
        </is>
      </c>
      <c r="E5852" t="inlineStr">
        <is>
          <t>KRISTINEHAMN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70761-2021</t>
        </is>
      </c>
      <c r="B5853" s="1" t="n">
        <v>44536</v>
      </c>
      <c r="C5853" s="1" t="n">
        <v>45736</v>
      </c>
      <c r="D5853" t="inlineStr">
        <is>
          <t>VÄRMLANDS LÄN</t>
        </is>
      </c>
      <c r="E5853" t="inlineStr">
        <is>
          <t>STORFORS</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70571-2021</t>
        </is>
      </c>
      <c r="B5854" s="1" t="n">
        <v>44537</v>
      </c>
      <c r="C5854" s="1" t="n">
        <v>45736</v>
      </c>
      <c r="D5854" t="inlineStr">
        <is>
          <t>VÄRMLANDS LÄN</t>
        </is>
      </c>
      <c r="E5854" t="inlineStr">
        <is>
          <t>EDA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70591-2021</t>
        </is>
      </c>
      <c r="B5855" s="1" t="n">
        <v>44537</v>
      </c>
      <c r="C5855" s="1" t="n">
        <v>45736</v>
      </c>
      <c r="D5855" t="inlineStr">
        <is>
          <t>VÄRMLANDS LÄN</t>
        </is>
      </c>
      <c r="E5855" t="inlineStr">
        <is>
          <t>ÅRJÄNG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70658-2021</t>
        </is>
      </c>
      <c r="B5856" s="1" t="n">
        <v>44537</v>
      </c>
      <c r="C5856" s="1" t="n">
        <v>45736</v>
      </c>
      <c r="D5856" t="inlineStr">
        <is>
          <t>VÄRMLANDS LÄN</t>
        </is>
      </c>
      <c r="E5856" t="inlineStr">
        <is>
          <t>TORSBY</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70732-2021</t>
        </is>
      </c>
      <c r="B5857" s="1" t="n">
        <v>44537</v>
      </c>
      <c r="C5857" s="1" t="n">
        <v>45736</v>
      </c>
      <c r="D5857" t="inlineStr">
        <is>
          <t>VÄRMLANDS LÄN</t>
        </is>
      </c>
      <c r="E5857" t="inlineStr">
        <is>
          <t>FILIPSTAD</t>
        </is>
      </c>
      <c r="F5857" t="inlineStr">
        <is>
          <t>Bergvik skog väst AB</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70562-2021</t>
        </is>
      </c>
      <c r="B5858" s="1" t="n">
        <v>44537</v>
      </c>
      <c r="C5858" s="1" t="n">
        <v>45736</v>
      </c>
      <c r="D5858" t="inlineStr">
        <is>
          <t>VÄRMLANDS LÄN</t>
        </is>
      </c>
      <c r="E5858" t="inlineStr">
        <is>
          <t>ARVIKA</t>
        </is>
      </c>
      <c r="F5858" t="inlineStr">
        <is>
          <t>Bergvik skog väst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70713-2021</t>
        </is>
      </c>
      <c r="B5859" s="1" t="n">
        <v>44537</v>
      </c>
      <c r="C5859" s="1" t="n">
        <v>45736</v>
      </c>
      <c r="D5859" t="inlineStr">
        <is>
          <t>VÄRMLANDS LÄN</t>
        </is>
      </c>
      <c r="E5859" t="inlineStr">
        <is>
          <t>HAGFORS</t>
        </is>
      </c>
      <c r="F5859" t="inlineStr">
        <is>
          <t>Kommuner</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70545-2021</t>
        </is>
      </c>
      <c r="B5860" s="1" t="n">
        <v>44537</v>
      </c>
      <c r="C5860" s="1" t="n">
        <v>45736</v>
      </c>
      <c r="D5860" t="inlineStr">
        <is>
          <t>VÄRMLANDS LÄN</t>
        </is>
      </c>
      <c r="E5860" t="inlineStr">
        <is>
          <t>SÄFFLE</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70616-2021</t>
        </is>
      </c>
      <c r="B5861" s="1" t="n">
        <v>44537</v>
      </c>
      <c r="C5861" s="1" t="n">
        <v>45736</v>
      </c>
      <c r="D5861" t="inlineStr">
        <is>
          <t>VÄRMLANDS LÄN</t>
        </is>
      </c>
      <c r="E5861" t="inlineStr">
        <is>
          <t>SUNNE</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70712-2021</t>
        </is>
      </c>
      <c r="B5862" s="1" t="n">
        <v>44537</v>
      </c>
      <c r="C5862" s="1" t="n">
        <v>45736</v>
      </c>
      <c r="D5862" t="inlineStr">
        <is>
          <t>VÄRMLANDS LÄN</t>
        </is>
      </c>
      <c r="E5862" t="inlineStr">
        <is>
          <t>HAGFORS</t>
        </is>
      </c>
      <c r="F5862" t="inlineStr">
        <is>
          <t>Kommuner</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70787-2021</t>
        </is>
      </c>
      <c r="B5863" s="1" t="n">
        <v>44537</v>
      </c>
      <c r="C5863" s="1" t="n">
        <v>45736</v>
      </c>
      <c r="D5863" t="inlineStr">
        <is>
          <t>VÄRMLANDS LÄN</t>
        </is>
      </c>
      <c r="E5863" t="inlineStr">
        <is>
          <t>TORSBY</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70832-2021</t>
        </is>
      </c>
      <c r="B5864" s="1" t="n">
        <v>44537</v>
      </c>
      <c r="C5864" s="1" t="n">
        <v>45736</v>
      </c>
      <c r="D5864" t="inlineStr">
        <is>
          <t>VÄRMLANDS LÄN</t>
        </is>
      </c>
      <c r="E5864" t="inlineStr">
        <is>
          <t>SUNNE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70775-2021</t>
        </is>
      </c>
      <c r="B5865" s="1" t="n">
        <v>44537</v>
      </c>
      <c r="C5865" s="1" t="n">
        <v>45736</v>
      </c>
      <c r="D5865" t="inlineStr">
        <is>
          <t>VÄRMLANDS LÄN</t>
        </is>
      </c>
      <c r="E5865" t="inlineStr">
        <is>
          <t>TORSBY</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70785-2021</t>
        </is>
      </c>
      <c r="B5866" s="1" t="n">
        <v>44537</v>
      </c>
      <c r="C5866" s="1" t="n">
        <v>45736</v>
      </c>
      <c r="D5866" t="inlineStr">
        <is>
          <t>VÄRMLANDS LÄN</t>
        </is>
      </c>
      <c r="E5866" t="inlineStr">
        <is>
          <t>TORSBY</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71159-2021</t>
        </is>
      </c>
      <c r="B5867" s="1" t="n">
        <v>44537</v>
      </c>
      <c r="C5867" s="1" t="n">
        <v>45736</v>
      </c>
      <c r="D5867" t="inlineStr">
        <is>
          <t>VÄRMLANDS LÄN</t>
        </is>
      </c>
      <c r="E5867" t="inlineStr">
        <is>
          <t>ÅRJÄNG</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70978-2021</t>
        </is>
      </c>
      <c r="B5868" s="1" t="n">
        <v>44537</v>
      </c>
      <c r="C5868" s="1" t="n">
        <v>45736</v>
      </c>
      <c r="D5868" t="inlineStr">
        <is>
          <t>VÄRMLANDS LÄN</t>
        </is>
      </c>
      <c r="E5868" t="inlineStr">
        <is>
          <t>TORSBY</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70921-2021</t>
        </is>
      </c>
      <c r="B5869" s="1" t="n">
        <v>44537</v>
      </c>
      <c r="C5869" s="1" t="n">
        <v>45736</v>
      </c>
      <c r="D5869" t="inlineStr">
        <is>
          <t>VÄRMLANDS LÄN</t>
        </is>
      </c>
      <c r="E5869" t="inlineStr">
        <is>
          <t>KARLSTAD</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70926-2021</t>
        </is>
      </c>
      <c r="B5870" s="1" t="n">
        <v>44538</v>
      </c>
      <c r="C5870" s="1" t="n">
        <v>45736</v>
      </c>
      <c r="D5870" t="inlineStr">
        <is>
          <t>VÄRMLANDS LÄN</t>
        </is>
      </c>
      <c r="E5870" t="inlineStr">
        <is>
          <t>TORSBY</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70861-2021</t>
        </is>
      </c>
      <c r="B5871" s="1" t="n">
        <v>44538</v>
      </c>
      <c r="C5871" s="1" t="n">
        <v>45736</v>
      </c>
      <c r="D5871" t="inlineStr">
        <is>
          <t>VÄRMLANDS LÄN</t>
        </is>
      </c>
      <c r="E5871" t="inlineStr">
        <is>
          <t>EDA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70878-2021</t>
        </is>
      </c>
      <c r="B5872" s="1" t="n">
        <v>44538</v>
      </c>
      <c r="C5872" s="1" t="n">
        <v>45736</v>
      </c>
      <c r="D5872" t="inlineStr">
        <is>
          <t>VÄRMLANDS LÄN</t>
        </is>
      </c>
      <c r="E5872" t="inlineStr">
        <is>
          <t>SUNNE</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70924-2021</t>
        </is>
      </c>
      <c r="B5873" s="1" t="n">
        <v>44538</v>
      </c>
      <c r="C5873" s="1" t="n">
        <v>45736</v>
      </c>
      <c r="D5873" t="inlineStr">
        <is>
          <t>VÄRMLANDS LÄN</t>
        </is>
      </c>
      <c r="E5873" t="inlineStr">
        <is>
          <t>TORSBY</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70883-2021</t>
        </is>
      </c>
      <c r="B5874" s="1" t="n">
        <v>44538</v>
      </c>
      <c r="C5874" s="1" t="n">
        <v>45736</v>
      </c>
      <c r="D5874" t="inlineStr">
        <is>
          <t>VÄRMLANDS LÄN</t>
        </is>
      </c>
      <c r="E5874" t="inlineStr">
        <is>
          <t>ÅRJÄNG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70942-2021</t>
        </is>
      </c>
      <c r="B5875" s="1" t="n">
        <v>44538</v>
      </c>
      <c r="C5875" s="1" t="n">
        <v>45736</v>
      </c>
      <c r="D5875" t="inlineStr">
        <is>
          <t>VÄRMLANDS LÄN</t>
        </is>
      </c>
      <c r="E5875" t="inlineStr">
        <is>
          <t>KIL</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70962-2021</t>
        </is>
      </c>
      <c r="B5876" s="1" t="n">
        <v>44538</v>
      </c>
      <c r="C5876" s="1" t="n">
        <v>45736</v>
      </c>
      <c r="D5876" t="inlineStr">
        <is>
          <t>VÄRMLANDS LÄN</t>
        </is>
      </c>
      <c r="E5876" t="inlineStr">
        <is>
          <t>SÄFFLE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71081-2021</t>
        </is>
      </c>
      <c r="B5877" s="1" t="n">
        <v>44538</v>
      </c>
      <c r="C5877" s="1" t="n">
        <v>45736</v>
      </c>
      <c r="D5877" t="inlineStr">
        <is>
          <t>VÄRMLANDS LÄN</t>
        </is>
      </c>
      <c r="E5877" t="inlineStr">
        <is>
          <t>HAGFORS</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71255-2021</t>
        </is>
      </c>
      <c r="B5878" s="1" t="n">
        <v>44538</v>
      </c>
      <c r="C5878" s="1" t="n">
        <v>45736</v>
      </c>
      <c r="D5878" t="inlineStr">
        <is>
          <t>VÄRMLANDS LÄN</t>
        </is>
      </c>
      <c r="E5878" t="inlineStr">
        <is>
          <t>TORSBY</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71084-2021</t>
        </is>
      </c>
      <c r="B5879" s="1" t="n">
        <v>44539</v>
      </c>
      <c r="C5879" s="1" t="n">
        <v>45736</v>
      </c>
      <c r="D5879" t="inlineStr">
        <is>
          <t>VÄRMLANDS LÄN</t>
        </is>
      </c>
      <c r="E5879" t="inlineStr">
        <is>
          <t>TORSBY</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71292-2021</t>
        </is>
      </c>
      <c r="B5880" s="1" t="n">
        <v>44538</v>
      </c>
      <c r="C5880" s="1" t="n">
        <v>45736</v>
      </c>
      <c r="D5880" t="inlineStr">
        <is>
          <t>VÄRMLANDS LÄN</t>
        </is>
      </c>
      <c r="E5880" t="inlineStr">
        <is>
          <t>SÄFFLE</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71082-2021</t>
        </is>
      </c>
      <c r="B5881" s="1" t="n">
        <v>44538</v>
      </c>
      <c r="C5881" s="1" t="n">
        <v>45736</v>
      </c>
      <c r="D5881" t="inlineStr">
        <is>
          <t>VÄRMLANDS LÄN</t>
        </is>
      </c>
      <c r="E5881" t="inlineStr">
        <is>
          <t>HAGFORS</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71224-2021</t>
        </is>
      </c>
      <c r="B5882" s="1" t="n">
        <v>44538</v>
      </c>
      <c r="C5882" s="1" t="n">
        <v>45736</v>
      </c>
      <c r="D5882" t="inlineStr">
        <is>
          <t>VÄRMLANDS LÄN</t>
        </is>
      </c>
      <c r="E5882" t="inlineStr">
        <is>
          <t>EDA</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71194-2021</t>
        </is>
      </c>
      <c r="B5883" s="1" t="n">
        <v>44539</v>
      </c>
      <c r="C5883" s="1" t="n">
        <v>45736</v>
      </c>
      <c r="D5883" t="inlineStr">
        <is>
          <t>VÄRMLANDS LÄN</t>
        </is>
      </c>
      <c r="E5883" t="inlineStr">
        <is>
          <t>SUNNE</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71180-2021</t>
        </is>
      </c>
      <c r="B5884" s="1" t="n">
        <v>44539</v>
      </c>
      <c r="C5884" s="1" t="n">
        <v>45736</v>
      </c>
      <c r="D5884" t="inlineStr">
        <is>
          <t>VÄRMLANDS LÄN</t>
        </is>
      </c>
      <c r="E5884" t="inlineStr">
        <is>
          <t>SUNNE</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71193-2021</t>
        </is>
      </c>
      <c r="B5885" s="1" t="n">
        <v>44539</v>
      </c>
      <c r="C5885" s="1" t="n">
        <v>45736</v>
      </c>
      <c r="D5885" t="inlineStr">
        <is>
          <t>VÄRMLANDS LÄN</t>
        </is>
      </c>
      <c r="E5885" t="inlineStr">
        <is>
          <t>ARVIKA</t>
        </is>
      </c>
      <c r="F5885" t="inlineStr">
        <is>
          <t>Bergvik skog väst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71130-2021</t>
        </is>
      </c>
      <c r="B5886" s="1" t="n">
        <v>44539</v>
      </c>
      <c r="C5886" s="1" t="n">
        <v>45736</v>
      </c>
      <c r="D5886" t="inlineStr">
        <is>
          <t>VÄRMLANDS LÄN</t>
        </is>
      </c>
      <c r="E5886" t="inlineStr">
        <is>
          <t>ARVIKA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71179-2021</t>
        </is>
      </c>
      <c r="B5887" s="1" t="n">
        <v>44539</v>
      </c>
      <c r="C5887" s="1" t="n">
        <v>45736</v>
      </c>
      <c r="D5887" t="inlineStr">
        <is>
          <t>VÄRMLANDS LÄN</t>
        </is>
      </c>
      <c r="E5887" t="inlineStr">
        <is>
          <t>ARVIKA</t>
        </is>
      </c>
      <c r="F5887" t="inlineStr">
        <is>
          <t>Bergvik skog väst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71195-2021</t>
        </is>
      </c>
      <c r="B5888" s="1" t="n">
        <v>44539</v>
      </c>
      <c r="C5888" s="1" t="n">
        <v>45736</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71812-2021</t>
        </is>
      </c>
      <c r="B5889" s="1" t="n">
        <v>44539</v>
      </c>
      <c r="C5889" s="1" t="n">
        <v>45736</v>
      </c>
      <c r="D5889" t="inlineStr">
        <is>
          <t>VÄRMLANDS LÄN</t>
        </is>
      </c>
      <c r="E5889" t="inlineStr">
        <is>
          <t>ÅRJÄNG</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71485-2021</t>
        </is>
      </c>
      <c r="B5890" s="1" t="n">
        <v>44539</v>
      </c>
      <c r="C5890" s="1" t="n">
        <v>45736</v>
      </c>
      <c r="D5890" t="inlineStr">
        <is>
          <t>VÄRMLANDS LÄN</t>
        </is>
      </c>
      <c r="E5890" t="inlineStr">
        <is>
          <t>SUNNE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71781-2021</t>
        </is>
      </c>
      <c r="B5891" s="1" t="n">
        <v>44539</v>
      </c>
      <c r="C5891" s="1" t="n">
        <v>45736</v>
      </c>
      <c r="D5891" t="inlineStr">
        <is>
          <t>VÄRMLANDS LÄN</t>
        </is>
      </c>
      <c r="E5891" t="inlineStr">
        <is>
          <t>GRUMS</t>
        </is>
      </c>
      <c r="F5891" t="inlineStr">
        <is>
          <t>Bergvik skog väst AB</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71809-2021</t>
        </is>
      </c>
      <c r="B5892" s="1" t="n">
        <v>44539</v>
      </c>
      <c r="C5892" s="1" t="n">
        <v>45736</v>
      </c>
      <c r="D5892" t="inlineStr">
        <is>
          <t>VÄRMLANDS LÄN</t>
        </is>
      </c>
      <c r="E5892" t="inlineStr">
        <is>
          <t>ÅRJÄNG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71472-2021</t>
        </is>
      </c>
      <c r="B5893" s="1" t="n">
        <v>44540</v>
      </c>
      <c r="C5893" s="1" t="n">
        <v>45736</v>
      </c>
      <c r="D5893" t="inlineStr">
        <is>
          <t>VÄRMLANDS LÄN</t>
        </is>
      </c>
      <c r="E5893" t="inlineStr">
        <is>
          <t>ÅRJÄNG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71399-2021</t>
        </is>
      </c>
      <c r="B5894" s="1" t="n">
        <v>44540</v>
      </c>
      <c r="C5894" s="1" t="n">
        <v>45736</v>
      </c>
      <c r="D5894" t="inlineStr">
        <is>
          <t>VÄRMLANDS LÄN</t>
        </is>
      </c>
      <c r="E5894" t="inlineStr">
        <is>
          <t>ARVIKA</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71492-2021</t>
        </is>
      </c>
      <c r="B5895" s="1" t="n">
        <v>44540</v>
      </c>
      <c r="C5895" s="1" t="n">
        <v>45736</v>
      </c>
      <c r="D5895" t="inlineStr">
        <is>
          <t>VÄRMLANDS LÄN</t>
        </is>
      </c>
      <c r="E5895" t="inlineStr">
        <is>
          <t>ÅRJÄNG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71393-2021</t>
        </is>
      </c>
      <c r="B5896" s="1" t="n">
        <v>44540</v>
      </c>
      <c r="C5896" s="1" t="n">
        <v>45736</v>
      </c>
      <c r="D5896" t="inlineStr">
        <is>
          <t>VÄRMLANDS LÄN</t>
        </is>
      </c>
      <c r="E5896" t="inlineStr">
        <is>
          <t>HAGFORS</t>
        </is>
      </c>
      <c r="F5896" t="inlineStr">
        <is>
          <t>Bergvik skog väst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71469-2021</t>
        </is>
      </c>
      <c r="B5897" s="1" t="n">
        <v>44540</v>
      </c>
      <c r="C5897" s="1" t="n">
        <v>45736</v>
      </c>
      <c r="D5897" t="inlineStr">
        <is>
          <t>VÄRMLANDS LÄN</t>
        </is>
      </c>
      <c r="E5897" t="inlineStr">
        <is>
          <t>TORSBY</t>
        </is>
      </c>
      <c r="F5897" t="inlineStr">
        <is>
          <t>Övriga Aktiebolag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71491-2021</t>
        </is>
      </c>
      <c r="B5898" s="1" t="n">
        <v>44540</v>
      </c>
      <c r="C5898" s="1" t="n">
        <v>45736</v>
      </c>
      <c r="D5898" t="inlineStr">
        <is>
          <t>VÄRMLANDS LÄN</t>
        </is>
      </c>
      <c r="E5898" t="inlineStr">
        <is>
          <t>HAGFORS</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71447-2021</t>
        </is>
      </c>
      <c r="B5899" s="1" t="n">
        <v>44540</v>
      </c>
      <c r="C5899" s="1" t="n">
        <v>45736</v>
      </c>
      <c r="D5899" t="inlineStr">
        <is>
          <t>VÄRMLANDS LÄN</t>
        </is>
      </c>
      <c r="E5899" t="inlineStr">
        <is>
          <t>HAGFORS</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71819-2021</t>
        </is>
      </c>
      <c r="B5900" s="1" t="n">
        <v>44540</v>
      </c>
      <c r="C5900" s="1" t="n">
        <v>45736</v>
      </c>
      <c r="D5900" t="inlineStr">
        <is>
          <t>VÄRMLANDS LÄN</t>
        </is>
      </c>
      <c r="E5900" t="inlineStr">
        <is>
          <t>ÅRJÄNG</t>
        </is>
      </c>
      <c r="F5900" t="inlineStr">
        <is>
          <t>Övriga Aktiebolag</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71625-2021</t>
        </is>
      </c>
      <c r="B5901" s="1" t="n">
        <v>44542</v>
      </c>
      <c r="C5901" s="1" t="n">
        <v>45736</v>
      </c>
      <c r="D5901" t="inlineStr">
        <is>
          <t>VÄRMLANDS LÄN</t>
        </is>
      </c>
      <c r="E5901" t="inlineStr">
        <is>
          <t>FORSHAGA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71629-2021</t>
        </is>
      </c>
      <c r="B5902" s="1" t="n">
        <v>44542</v>
      </c>
      <c r="C5902" s="1" t="n">
        <v>45736</v>
      </c>
      <c r="D5902" t="inlineStr">
        <is>
          <t>VÄRMLANDS LÄN</t>
        </is>
      </c>
      <c r="E5902" t="inlineStr">
        <is>
          <t>FORSHAGA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71679-2021</t>
        </is>
      </c>
      <c r="B5903" s="1" t="n">
        <v>44543</v>
      </c>
      <c r="C5903" s="1" t="n">
        <v>45736</v>
      </c>
      <c r="D5903" t="inlineStr">
        <is>
          <t>VÄRMLANDS LÄN</t>
        </is>
      </c>
      <c r="E5903" t="inlineStr">
        <is>
          <t>TORSBY</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71742-2021</t>
        </is>
      </c>
      <c r="B5904" s="1" t="n">
        <v>44543</v>
      </c>
      <c r="C5904" s="1" t="n">
        <v>45736</v>
      </c>
      <c r="D5904" t="inlineStr">
        <is>
          <t>VÄRMLANDS LÄN</t>
        </is>
      </c>
      <c r="E5904" t="inlineStr">
        <is>
          <t>SÄFFLE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71778-2021</t>
        </is>
      </c>
      <c r="B5905" s="1" t="n">
        <v>44543</v>
      </c>
      <c r="C5905" s="1" t="n">
        <v>45736</v>
      </c>
      <c r="D5905" t="inlineStr">
        <is>
          <t>VÄRMLANDS LÄN</t>
        </is>
      </c>
      <c r="E5905" t="inlineStr">
        <is>
          <t>ARVIKA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71842-2021</t>
        </is>
      </c>
      <c r="B5906" s="1" t="n">
        <v>44543</v>
      </c>
      <c r="C5906" s="1" t="n">
        <v>45736</v>
      </c>
      <c r="D5906" t="inlineStr">
        <is>
          <t>VÄRMLANDS LÄN</t>
        </is>
      </c>
      <c r="E5906" t="inlineStr">
        <is>
          <t>ÅRJÄNG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71706-2021</t>
        </is>
      </c>
      <c r="B5907" s="1" t="n">
        <v>44543</v>
      </c>
      <c r="C5907" s="1" t="n">
        <v>45736</v>
      </c>
      <c r="D5907" t="inlineStr">
        <is>
          <t>VÄRMLANDS LÄN</t>
        </is>
      </c>
      <c r="E5907" t="inlineStr">
        <is>
          <t>GRUMS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71728-2021</t>
        </is>
      </c>
      <c r="B5908" s="1" t="n">
        <v>44543</v>
      </c>
      <c r="C5908" s="1" t="n">
        <v>45736</v>
      </c>
      <c r="D5908" t="inlineStr">
        <is>
          <t>VÄRMLANDS LÄN</t>
        </is>
      </c>
      <c r="E5908" t="inlineStr">
        <is>
          <t>KIL</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71818-2021</t>
        </is>
      </c>
      <c r="B5909" s="1" t="n">
        <v>44543</v>
      </c>
      <c r="C5909" s="1" t="n">
        <v>45736</v>
      </c>
      <c r="D5909" t="inlineStr">
        <is>
          <t>VÄRMLANDS LÄN</t>
        </is>
      </c>
      <c r="E5909" t="inlineStr">
        <is>
          <t>SUNNE</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71834-2021</t>
        </is>
      </c>
      <c r="B5910" s="1" t="n">
        <v>44543</v>
      </c>
      <c r="C5910" s="1" t="n">
        <v>45736</v>
      </c>
      <c r="D5910" t="inlineStr">
        <is>
          <t>VÄRMLANDS LÄN</t>
        </is>
      </c>
      <c r="E5910" t="inlineStr">
        <is>
          <t>ÅRJÄNG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71724-2021</t>
        </is>
      </c>
      <c r="B5911" s="1" t="n">
        <v>44543</v>
      </c>
      <c r="C5911" s="1" t="n">
        <v>45736</v>
      </c>
      <c r="D5911" t="inlineStr">
        <is>
          <t>VÄRMLANDS LÄN</t>
        </is>
      </c>
      <c r="E5911" t="inlineStr">
        <is>
          <t>EDA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71837-2021</t>
        </is>
      </c>
      <c r="B5912" s="1" t="n">
        <v>44543</v>
      </c>
      <c r="C5912" s="1" t="n">
        <v>45736</v>
      </c>
      <c r="D5912" t="inlineStr">
        <is>
          <t>VÄRMLANDS LÄN</t>
        </is>
      </c>
      <c r="E5912" t="inlineStr">
        <is>
          <t>ÅRJÄNG</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71903-2021</t>
        </is>
      </c>
      <c r="B5913" s="1" t="n">
        <v>44543</v>
      </c>
      <c r="C5913" s="1" t="n">
        <v>45736</v>
      </c>
      <c r="D5913" t="inlineStr">
        <is>
          <t>VÄRMLANDS LÄN</t>
        </is>
      </c>
      <c r="E5913" t="inlineStr">
        <is>
          <t>GRUMS</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71840-2021</t>
        </is>
      </c>
      <c r="B5914" s="1" t="n">
        <v>44543</v>
      </c>
      <c r="C5914" s="1" t="n">
        <v>45736</v>
      </c>
      <c r="D5914" t="inlineStr">
        <is>
          <t>VÄRMLANDS LÄN</t>
        </is>
      </c>
      <c r="E5914" t="inlineStr">
        <is>
          <t>ÅRJÄNG</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71886-2021</t>
        </is>
      </c>
      <c r="B5915" s="1" t="n">
        <v>44543</v>
      </c>
      <c r="C5915" s="1" t="n">
        <v>45736</v>
      </c>
      <c r="D5915" t="inlineStr">
        <is>
          <t>VÄRMLANDS LÄN</t>
        </is>
      </c>
      <c r="E5915" t="inlineStr">
        <is>
          <t>ARVIKA</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71895-2021</t>
        </is>
      </c>
      <c r="B5916" s="1" t="n">
        <v>44543</v>
      </c>
      <c r="C5916" s="1" t="n">
        <v>45736</v>
      </c>
      <c r="D5916" t="inlineStr">
        <is>
          <t>VÄRMLANDS LÄN</t>
        </is>
      </c>
      <c r="E5916" t="inlineStr">
        <is>
          <t>ÅRJÄNG</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72118-2021</t>
        </is>
      </c>
      <c r="B5917" s="1" t="n">
        <v>44543</v>
      </c>
      <c r="C5917" s="1" t="n">
        <v>45736</v>
      </c>
      <c r="D5917" t="inlineStr">
        <is>
          <t>VÄRMLANDS LÄN</t>
        </is>
      </c>
      <c r="E5917" t="inlineStr">
        <is>
          <t>FILIPSTAD</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71994-2021</t>
        </is>
      </c>
      <c r="B5918" s="1" t="n">
        <v>44544</v>
      </c>
      <c r="C5918" s="1" t="n">
        <v>45736</v>
      </c>
      <c r="D5918" t="inlineStr">
        <is>
          <t>VÄRMLANDS LÄN</t>
        </is>
      </c>
      <c r="E5918" t="inlineStr">
        <is>
          <t>SUNNE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72013-2021</t>
        </is>
      </c>
      <c r="B5919" s="1" t="n">
        <v>44544</v>
      </c>
      <c r="C5919" s="1" t="n">
        <v>45736</v>
      </c>
      <c r="D5919" t="inlineStr">
        <is>
          <t>VÄRMLANDS LÄN</t>
        </is>
      </c>
      <c r="E5919" t="inlineStr">
        <is>
          <t>KARLSTAD</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71971-2021</t>
        </is>
      </c>
      <c r="B5920" s="1" t="n">
        <v>44544</v>
      </c>
      <c r="C5920" s="1" t="n">
        <v>45736</v>
      </c>
      <c r="D5920" t="inlineStr">
        <is>
          <t>VÄRMLANDS LÄN</t>
        </is>
      </c>
      <c r="E5920" t="inlineStr">
        <is>
          <t>FILIPSTAD</t>
        </is>
      </c>
      <c r="F5920" t="inlineStr">
        <is>
          <t>Bergvik skog väst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72072-2021</t>
        </is>
      </c>
      <c r="B5921" s="1" t="n">
        <v>44544</v>
      </c>
      <c r="C5921" s="1" t="n">
        <v>45736</v>
      </c>
      <c r="D5921" t="inlineStr">
        <is>
          <t>VÄRMLANDS LÄN</t>
        </is>
      </c>
      <c r="E5921" t="inlineStr">
        <is>
          <t>KARLSTAD</t>
        </is>
      </c>
      <c r="F5921" t="inlineStr">
        <is>
          <t>Kommuner</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71990-2021</t>
        </is>
      </c>
      <c r="B5922" s="1" t="n">
        <v>44544</v>
      </c>
      <c r="C5922" s="1" t="n">
        <v>45736</v>
      </c>
      <c r="D5922" t="inlineStr">
        <is>
          <t>VÄRMLANDS LÄN</t>
        </is>
      </c>
      <c r="E5922" t="inlineStr">
        <is>
          <t>TORSBY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72076-2021</t>
        </is>
      </c>
      <c r="B5923" s="1" t="n">
        <v>44544</v>
      </c>
      <c r="C5923" s="1" t="n">
        <v>45736</v>
      </c>
      <c r="D5923" t="inlineStr">
        <is>
          <t>VÄRMLANDS LÄN</t>
        </is>
      </c>
      <c r="E5923" t="inlineStr">
        <is>
          <t>FILIPSTAD</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72073-2021</t>
        </is>
      </c>
      <c r="B5924" s="1" t="n">
        <v>44544</v>
      </c>
      <c r="C5924" s="1" t="n">
        <v>45736</v>
      </c>
      <c r="D5924" t="inlineStr">
        <is>
          <t>VÄRMLANDS LÄN</t>
        </is>
      </c>
      <c r="E5924" t="inlineStr">
        <is>
          <t>KIL</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72339-2021</t>
        </is>
      </c>
      <c r="B5925" s="1" t="n">
        <v>44544</v>
      </c>
      <c r="C5925" s="1" t="n">
        <v>45736</v>
      </c>
      <c r="D5925" t="inlineStr">
        <is>
          <t>VÄRMLANDS LÄN</t>
        </is>
      </c>
      <c r="E5925" t="inlineStr">
        <is>
          <t>KARLSTAD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72200-2021</t>
        </is>
      </c>
      <c r="B5926" s="1" t="n">
        <v>44544</v>
      </c>
      <c r="C5926" s="1" t="n">
        <v>45736</v>
      </c>
      <c r="D5926" t="inlineStr">
        <is>
          <t>VÄRMLANDS LÄN</t>
        </is>
      </c>
      <c r="E5926" t="inlineStr">
        <is>
          <t>TORSBY</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72240-2021</t>
        </is>
      </c>
      <c r="B5927" s="1" t="n">
        <v>44544</v>
      </c>
      <c r="C5927" s="1" t="n">
        <v>45736</v>
      </c>
      <c r="D5927" t="inlineStr">
        <is>
          <t>VÄRMLANDS LÄN</t>
        </is>
      </c>
      <c r="E5927" t="inlineStr">
        <is>
          <t>FORSHAGA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72346-2021</t>
        </is>
      </c>
      <c r="B5928" s="1" t="n">
        <v>44544</v>
      </c>
      <c r="C5928" s="1" t="n">
        <v>45736</v>
      </c>
      <c r="D5928" t="inlineStr">
        <is>
          <t>VÄRMLANDS LÄN</t>
        </is>
      </c>
      <c r="E5928" t="inlineStr">
        <is>
          <t>KARLSTAD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72250-2021</t>
        </is>
      </c>
      <c r="B5929" s="1" t="n">
        <v>44544</v>
      </c>
      <c r="C5929" s="1" t="n">
        <v>45736</v>
      </c>
      <c r="D5929" t="inlineStr">
        <is>
          <t>VÄRMLANDS LÄN</t>
        </is>
      </c>
      <c r="E5929" t="inlineStr">
        <is>
          <t>TORSBY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72334-2021</t>
        </is>
      </c>
      <c r="B5930" s="1" t="n">
        <v>44545</v>
      </c>
      <c r="C5930" s="1" t="n">
        <v>45736</v>
      </c>
      <c r="D5930" t="inlineStr">
        <is>
          <t>VÄRMLANDS LÄN</t>
        </is>
      </c>
      <c r="E5930" t="inlineStr">
        <is>
          <t>FILIPSTAD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72410-2021</t>
        </is>
      </c>
      <c r="B5931" s="1" t="n">
        <v>44545</v>
      </c>
      <c r="C5931" s="1" t="n">
        <v>45736</v>
      </c>
      <c r="D5931" t="inlineStr">
        <is>
          <t>VÄRMLANDS LÄN</t>
        </is>
      </c>
      <c r="E5931" t="inlineStr">
        <is>
          <t>SUNNE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72375-2021</t>
        </is>
      </c>
      <c r="B5932" s="1" t="n">
        <v>44545</v>
      </c>
      <c r="C5932" s="1" t="n">
        <v>45736</v>
      </c>
      <c r="D5932" t="inlineStr">
        <is>
          <t>VÄRMLANDS LÄN</t>
        </is>
      </c>
      <c r="E5932" t="inlineStr">
        <is>
          <t>HAGFORS</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72407-2021</t>
        </is>
      </c>
      <c r="B5933" s="1" t="n">
        <v>44545</v>
      </c>
      <c r="C5933" s="1" t="n">
        <v>45736</v>
      </c>
      <c r="D5933" t="inlineStr">
        <is>
          <t>VÄRMLANDS LÄN</t>
        </is>
      </c>
      <c r="E5933" t="inlineStr">
        <is>
          <t>SUNNE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72412-2021</t>
        </is>
      </c>
      <c r="B5934" s="1" t="n">
        <v>44545</v>
      </c>
      <c r="C5934" s="1" t="n">
        <v>45736</v>
      </c>
      <c r="D5934" t="inlineStr">
        <is>
          <t>VÄRMLANDS LÄN</t>
        </is>
      </c>
      <c r="E5934" t="inlineStr">
        <is>
          <t>HAGFORS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72291-2021</t>
        </is>
      </c>
      <c r="B5935" s="1" t="n">
        <v>44545</v>
      </c>
      <c r="C5935" s="1" t="n">
        <v>45736</v>
      </c>
      <c r="D5935" t="inlineStr">
        <is>
          <t>VÄRMLANDS LÄN</t>
        </is>
      </c>
      <c r="E5935" t="inlineStr">
        <is>
          <t>ÅRJÄNG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72365-2021</t>
        </is>
      </c>
      <c r="B5936" s="1" t="n">
        <v>44545</v>
      </c>
      <c r="C5936" s="1" t="n">
        <v>45736</v>
      </c>
      <c r="D5936" t="inlineStr">
        <is>
          <t>VÄRMLANDS LÄN</t>
        </is>
      </c>
      <c r="E5936" t="inlineStr">
        <is>
          <t>HAGFORS</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72476-2021</t>
        </is>
      </c>
      <c r="B5937" s="1" t="n">
        <v>44545</v>
      </c>
      <c r="C5937" s="1" t="n">
        <v>45736</v>
      </c>
      <c r="D5937" t="inlineStr">
        <is>
          <t>VÄRMLANDS LÄN</t>
        </is>
      </c>
      <c r="E5937" t="inlineStr">
        <is>
          <t>ÅRJÄNG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72454-2021</t>
        </is>
      </c>
      <c r="B5938" s="1" t="n">
        <v>44545</v>
      </c>
      <c r="C5938" s="1" t="n">
        <v>45736</v>
      </c>
      <c r="D5938" t="inlineStr">
        <is>
          <t>VÄRMLANDS LÄN</t>
        </is>
      </c>
      <c r="E5938" t="inlineStr">
        <is>
          <t>HAGFORS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72520-2021</t>
        </is>
      </c>
      <c r="B5939" s="1" t="n">
        <v>44546</v>
      </c>
      <c r="C5939" s="1" t="n">
        <v>45736</v>
      </c>
      <c r="D5939" t="inlineStr">
        <is>
          <t>VÄRMLANDS LÄN</t>
        </is>
      </c>
      <c r="E5939" t="inlineStr">
        <is>
          <t>SUNNE</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72517-2021</t>
        </is>
      </c>
      <c r="B5940" s="1" t="n">
        <v>44546</v>
      </c>
      <c r="C5940" s="1" t="n">
        <v>45736</v>
      </c>
      <c r="D5940" t="inlineStr">
        <is>
          <t>VÄRMLANDS LÄN</t>
        </is>
      </c>
      <c r="E5940" t="inlineStr">
        <is>
          <t>ARVIKA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72564-2021</t>
        </is>
      </c>
      <c r="B5941" s="1" t="n">
        <v>44546</v>
      </c>
      <c r="C5941" s="1" t="n">
        <v>45736</v>
      </c>
      <c r="D5941" t="inlineStr">
        <is>
          <t>VÄRMLANDS LÄN</t>
        </is>
      </c>
      <c r="E5941" t="inlineStr">
        <is>
          <t>FILIPSTAD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72609-2021</t>
        </is>
      </c>
      <c r="B5942" s="1" t="n">
        <v>44546</v>
      </c>
      <c r="C5942" s="1" t="n">
        <v>45736</v>
      </c>
      <c r="D5942" t="inlineStr">
        <is>
          <t>VÄRMLANDS LÄN</t>
        </is>
      </c>
      <c r="E5942" t="inlineStr">
        <is>
          <t>ÅRJÄNG</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72619-2021</t>
        </is>
      </c>
      <c r="B5943" s="1" t="n">
        <v>44546</v>
      </c>
      <c r="C5943" s="1" t="n">
        <v>45736</v>
      </c>
      <c r="D5943" t="inlineStr">
        <is>
          <t>VÄRMLANDS LÄN</t>
        </is>
      </c>
      <c r="E5943" t="inlineStr">
        <is>
          <t>ÅRJÄNG</t>
        </is>
      </c>
      <c r="F5943" t="inlineStr">
        <is>
          <t>Kyrkan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72658-2021</t>
        </is>
      </c>
      <c r="B5944" s="1" t="n">
        <v>44546</v>
      </c>
      <c r="C5944" s="1" t="n">
        <v>45736</v>
      </c>
      <c r="D5944" t="inlineStr">
        <is>
          <t>VÄRMLANDS LÄN</t>
        </is>
      </c>
      <c r="E5944" t="inlineStr">
        <is>
          <t>SUNNE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72688-2021</t>
        </is>
      </c>
      <c r="B5945" s="1" t="n">
        <v>44546</v>
      </c>
      <c r="C5945" s="1" t="n">
        <v>45736</v>
      </c>
      <c r="D5945" t="inlineStr">
        <is>
          <t>VÄRMLANDS LÄN</t>
        </is>
      </c>
      <c r="E5945" t="inlineStr">
        <is>
          <t>FORSHAGA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72812-2021</t>
        </is>
      </c>
      <c r="B5946" s="1" t="n">
        <v>44546</v>
      </c>
      <c r="C5946" s="1" t="n">
        <v>45736</v>
      </c>
      <c r="D5946" t="inlineStr">
        <is>
          <t>VÄRMLANDS LÄN</t>
        </is>
      </c>
      <c r="E5946" t="inlineStr">
        <is>
          <t>ÅRJÄNG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72669-2021</t>
        </is>
      </c>
      <c r="B5947" s="1" t="n">
        <v>44546</v>
      </c>
      <c r="C5947" s="1" t="n">
        <v>45736</v>
      </c>
      <c r="D5947" t="inlineStr">
        <is>
          <t>VÄRMLANDS LÄN</t>
        </is>
      </c>
      <c r="E5947" t="inlineStr">
        <is>
          <t>EDA</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72718-2021</t>
        </is>
      </c>
      <c r="B5948" s="1" t="n">
        <v>44546</v>
      </c>
      <c r="C5948" s="1" t="n">
        <v>45736</v>
      </c>
      <c r="D5948" t="inlineStr">
        <is>
          <t>VÄRMLANDS LÄN</t>
        </is>
      </c>
      <c r="E5948" t="inlineStr">
        <is>
          <t>ÅRJÄNG</t>
        </is>
      </c>
      <c r="F5948" t="inlineStr">
        <is>
          <t>Kyrkan</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72662-2021</t>
        </is>
      </c>
      <c r="B5949" s="1" t="n">
        <v>44546</v>
      </c>
      <c r="C5949" s="1" t="n">
        <v>45736</v>
      </c>
      <c r="D5949" t="inlineStr">
        <is>
          <t>VÄRMLANDS LÄN</t>
        </is>
      </c>
      <c r="E5949" t="inlineStr">
        <is>
          <t>ARVIKA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72722-2021</t>
        </is>
      </c>
      <c r="B5950" s="1" t="n">
        <v>44546</v>
      </c>
      <c r="C5950" s="1" t="n">
        <v>45736</v>
      </c>
      <c r="D5950" t="inlineStr">
        <is>
          <t>VÄRMLANDS LÄN</t>
        </is>
      </c>
      <c r="E5950" t="inlineStr">
        <is>
          <t>EDA</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73115-2021</t>
        </is>
      </c>
      <c r="B5951" s="1" t="n">
        <v>44546</v>
      </c>
      <c r="C5951" s="1" t="n">
        <v>45736</v>
      </c>
      <c r="D5951" t="inlineStr">
        <is>
          <t>VÄRMLANDS LÄN</t>
        </is>
      </c>
      <c r="E5951" t="inlineStr">
        <is>
          <t>SÄFFLE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72652-2021</t>
        </is>
      </c>
      <c r="B5952" s="1" t="n">
        <v>44546</v>
      </c>
      <c r="C5952" s="1" t="n">
        <v>45736</v>
      </c>
      <c r="D5952" t="inlineStr">
        <is>
          <t>VÄRMLANDS LÄN</t>
        </is>
      </c>
      <c r="E5952" t="inlineStr">
        <is>
          <t>ÅRJÄNG</t>
        </is>
      </c>
      <c r="F5952" t="inlineStr">
        <is>
          <t>Kyrkan</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72783-2021</t>
        </is>
      </c>
      <c r="B5953" s="1" t="n">
        <v>44547</v>
      </c>
      <c r="C5953" s="1" t="n">
        <v>45736</v>
      </c>
      <c r="D5953" t="inlineStr">
        <is>
          <t>VÄRMLANDS LÄN</t>
        </is>
      </c>
      <c r="E5953" t="inlineStr">
        <is>
          <t>SUNNE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72772-2021</t>
        </is>
      </c>
      <c r="B5954" s="1" t="n">
        <v>44547</v>
      </c>
      <c r="C5954" s="1" t="n">
        <v>45736</v>
      </c>
      <c r="D5954" t="inlineStr">
        <is>
          <t>VÄRMLANDS LÄN</t>
        </is>
      </c>
      <c r="E5954" t="inlineStr">
        <is>
          <t>KARLSTAD</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72861-2021</t>
        </is>
      </c>
      <c r="B5955" s="1" t="n">
        <v>44547</v>
      </c>
      <c r="C5955" s="1" t="n">
        <v>45736</v>
      </c>
      <c r="D5955" t="inlineStr">
        <is>
          <t>VÄRMLANDS LÄN</t>
        </is>
      </c>
      <c r="E5955" t="inlineStr">
        <is>
          <t>SUNNE</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72781-2021</t>
        </is>
      </c>
      <c r="B5956" s="1" t="n">
        <v>44547</v>
      </c>
      <c r="C5956" s="1" t="n">
        <v>45736</v>
      </c>
      <c r="D5956" t="inlineStr">
        <is>
          <t>VÄRMLANDS LÄN</t>
        </is>
      </c>
      <c r="E5956" t="inlineStr">
        <is>
          <t>SUNNE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73004-2021</t>
        </is>
      </c>
      <c r="B5957" s="1" t="n">
        <v>44547</v>
      </c>
      <c r="C5957" s="1" t="n">
        <v>45736</v>
      </c>
      <c r="D5957" t="inlineStr">
        <is>
          <t>VÄRMLANDS LÄN</t>
        </is>
      </c>
      <c r="E5957" t="inlineStr">
        <is>
          <t>KARLSTAD</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73310-2021</t>
        </is>
      </c>
      <c r="B5958" s="1" t="n">
        <v>44547</v>
      </c>
      <c r="C5958" s="1" t="n">
        <v>45736</v>
      </c>
      <c r="D5958" t="inlineStr">
        <is>
          <t>VÄRMLANDS LÄN</t>
        </is>
      </c>
      <c r="E5958" t="inlineStr">
        <is>
          <t>GRUMS</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73319-2021</t>
        </is>
      </c>
      <c r="B5959" s="1" t="n">
        <v>44547</v>
      </c>
      <c r="C5959" s="1" t="n">
        <v>45736</v>
      </c>
      <c r="D5959" t="inlineStr">
        <is>
          <t>VÄRMLANDS LÄN</t>
        </is>
      </c>
      <c r="E5959" t="inlineStr">
        <is>
          <t>GRUMS</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72937-2021</t>
        </is>
      </c>
      <c r="B5960" s="1" t="n">
        <v>44547</v>
      </c>
      <c r="C5960" s="1" t="n">
        <v>45736</v>
      </c>
      <c r="D5960" t="inlineStr">
        <is>
          <t>VÄRMLANDS LÄN</t>
        </is>
      </c>
      <c r="E5960" t="inlineStr">
        <is>
          <t>HAGFORS</t>
        </is>
      </c>
      <c r="F5960" t="inlineStr">
        <is>
          <t>Bergvik skog väst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73306-2021</t>
        </is>
      </c>
      <c r="B5961" s="1" t="n">
        <v>44547</v>
      </c>
      <c r="C5961" s="1" t="n">
        <v>45736</v>
      </c>
      <c r="D5961" t="inlineStr">
        <is>
          <t>VÄRMLANDS LÄN</t>
        </is>
      </c>
      <c r="E5961" t="inlineStr">
        <is>
          <t>GRUMS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72976-2021</t>
        </is>
      </c>
      <c r="B5962" s="1" t="n">
        <v>44548</v>
      </c>
      <c r="C5962" s="1" t="n">
        <v>45736</v>
      </c>
      <c r="D5962" t="inlineStr">
        <is>
          <t>VÄRMLANDS LÄN</t>
        </is>
      </c>
      <c r="E5962" t="inlineStr">
        <is>
          <t>ARVIKA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72991-2021</t>
        </is>
      </c>
      <c r="B5963" s="1" t="n">
        <v>44549</v>
      </c>
      <c r="C5963" s="1" t="n">
        <v>45736</v>
      </c>
      <c r="D5963" t="inlineStr">
        <is>
          <t>VÄRMLANDS LÄN</t>
        </is>
      </c>
      <c r="E5963" t="inlineStr">
        <is>
          <t>FORSHAGA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72996-2021</t>
        </is>
      </c>
      <c r="B5964" s="1" t="n">
        <v>44549</v>
      </c>
      <c r="C5964" s="1" t="n">
        <v>45736</v>
      </c>
      <c r="D5964" t="inlineStr">
        <is>
          <t>VÄRMLANDS LÄN</t>
        </is>
      </c>
      <c r="E5964" t="inlineStr">
        <is>
          <t>ÅRJÄNG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73022-2021</t>
        </is>
      </c>
      <c r="B5965" s="1" t="n">
        <v>44550</v>
      </c>
      <c r="C5965" s="1" t="n">
        <v>45736</v>
      </c>
      <c r="D5965" t="inlineStr">
        <is>
          <t>VÄRMLANDS LÄN</t>
        </is>
      </c>
      <c r="E5965" t="inlineStr">
        <is>
          <t>KIL</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73033-2021</t>
        </is>
      </c>
      <c r="B5966" s="1" t="n">
        <v>44550</v>
      </c>
      <c r="C5966" s="1" t="n">
        <v>45736</v>
      </c>
      <c r="D5966" t="inlineStr">
        <is>
          <t>VÄRMLANDS LÄN</t>
        </is>
      </c>
      <c r="E5966" t="inlineStr">
        <is>
          <t>GRUMS</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73162-2021</t>
        </is>
      </c>
      <c r="B5967" s="1" t="n">
        <v>44550</v>
      </c>
      <c r="C5967" s="1" t="n">
        <v>45736</v>
      </c>
      <c r="D5967" t="inlineStr">
        <is>
          <t>VÄRMLANDS LÄN</t>
        </is>
      </c>
      <c r="E5967" t="inlineStr">
        <is>
          <t>SÄFFLE</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73050-2021</t>
        </is>
      </c>
      <c r="B5968" s="1" t="n">
        <v>44550</v>
      </c>
      <c r="C5968" s="1" t="n">
        <v>45736</v>
      </c>
      <c r="D5968" t="inlineStr">
        <is>
          <t>VÄRMLANDS LÄN</t>
        </is>
      </c>
      <c r="E5968" t="inlineStr">
        <is>
          <t>SUNNE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73138-2021</t>
        </is>
      </c>
      <c r="B5969" s="1" t="n">
        <v>44550</v>
      </c>
      <c r="C5969" s="1" t="n">
        <v>45736</v>
      </c>
      <c r="D5969" t="inlineStr">
        <is>
          <t>VÄRMLANDS LÄN</t>
        </is>
      </c>
      <c r="E5969" t="inlineStr">
        <is>
          <t>ÅRJÄNG</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73030-2021</t>
        </is>
      </c>
      <c r="B5970" s="1" t="n">
        <v>44550</v>
      </c>
      <c r="C5970" s="1" t="n">
        <v>45736</v>
      </c>
      <c r="D5970" t="inlineStr">
        <is>
          <t>VÄRMLANDS LÄN</t>
        </is>
      </c>
      <c r="E5970" t="inlineStr">
        <is>
          <t>ARVIKA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73055-2021</t>
        </is>
      </c>
      <c r="B5971" s="1" t="n">
        <v>44550</v>
      </c>
      <c r="C5971" s="1" t="n">
        <v>45736</v>
      </c>
      <c r="D5971" t="inlineStr">
        <is>
          <t>VÄRMLANDS LÄN</t>
        </is>
      </c>
      <c r="E5971" t="inlineStr">
        <is>
          <t>TORSBY</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73232-2021</t>
        </is>
      </c>
      <c r="B5972" s="1" t="n">
        <v>44550</v>
      </c>
      <c r="C5972" s="1" t="n">
        <v>45736</v>
      </c>
      <c r="D5972" t="inlineStr">
        <is>
          <t>VÄRMLANDS LÄN</t>
        </is>
      </c>
      <c r="E5972" t="inlineStr">
        <is>
          <t>SUNNE</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73247-2021</t>
        </is>
      </c>
      <c r="B5973" s="1" t="n">
        <v>44550</v>
      </c>
      <c r="C5973" s="1" t="n">
        <v>45736</v>
      </c>
      <c r="D5973" t="inlineStr">
        <is>
          <t>VÄRMLANDS LÄN</t>
        </is>
      </c>
      <c r="E5973" t="inlineStr">
        <is>
          <t>SUNNE</t>
        </is>
      </c>
      <c r="G5973" t="n">
        <v>24.7</v>
      </c>
      <c r="H5973" t="n">
        <v>0</v>
      </c>
      <c r="I5973" t="n">
        <v>0</v>
      </c>
      <c r="J5973" t="n">
        <v>0</v>
      </c>
      <c r="K5973" t="n">
        <v>0</v>
      </c>
      <c r="L5973" t="n">
        <v>0</v>
      </c>
      <c r="M5973" t="n">
        <v>0</v>
      </c>
      <c r="N5973" t="n">
        <v>0</v>
      </c>
      <c r="O5973" t="n">
        <v>0</v>
      </c>
      <c r="P5973" t="n">
        <v>0</v>
      </c>
      <c r="Q5973" t="n">
        <v>0</v>
      </c>
      <c r="R5973" s="2" t="inlineStr"/>
    </row>
    <row r="5974" ht="15" customHeight="1">
      <c r="A5974" t="inlineStr">
        <is>
          <t>A 73209-2021</t>
        </is>
      </c>
      <c r="B5974" s="1" t="n">
        <v>44550</v>
      </c>
      <c r="C5974" s="1" t="n">
        <v>45736</v>
      </c>
      <c r="D5974" t="inlineStr">
        <is>
          <t>VÄRMLANDS LÄN</t>
        </is>
      </c>
      <c r="E5974" t="inlineStr">
        <is>
          <t>SUNNE</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73157-2021</t>
        </is>
      </c>
      <c r="B5975" s="1" t="n">
        <v>44550</v>
      </c>
      <c r="C5975" s="1" t="n">
        <v>45736</v>
      </c>
      <c r="D5975" t="inlineStr">
        <is>
          <t>VÄRMLANDS LÄN</t>
        </is>
      </c>
      <c r="E5975" t="inlineStr">
        <is>
          <t>SÄFFLE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73231-2021</t>
        </is>
      </c>
      <c r="B5976" s="1" t="n">
        <v>44550</v>
      </c>
      <c r="C5976" s="1" t="n">
        <v>45736</v>
      </c>
      <c r="D5976" t="inlineStr">
        <is>
          <t>VÄRMLANDS LÄN</t>
        </is>
      </c>
      <c r="E5976" t="inlineStr">
        <is>
          <t>SUNNE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73264-2021</t>
        </is>
      </c>
      <c r="B5977" s="1" t="n">
        <v>44550</v>
      </c>
      <c r="C5977" s="1" t="n">
        <v>45736</v>
      </c>
      <c r="D5977" t="inlineStr">
        <is>
          <t>VÄRMLANDS LÄN</t>
        </is>
      </c>
      <c r="E5977" t="inlineStr">
        <is>
          <t>FORSHAGA</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73207-2021</t>
        </is>
      </c>
      <c r="B5978" s="1" t="n">
        <v>44550</v>
      </c>
      <c r="C5978" s="1" t="n">
        <v>45736</v>
      </c>
      <c r="D5978" t="inlineStr">
        <is>
          <t>VÄRMLANDS LÄN</t>
        </is>
      </c>
      <c r="E5978" t="inlineStr">
        <is>
          <t>HAGFORS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73266-2021</t>
        </is>
      </c>
      <c r="B5979" s="1" t="n">
        <v>44550</v>
      </c>
      <c r="C5979" s="1" t="n">
        <v>45736</v>
      </c>
      <c r="D5979" t="inlineStr">
        <is>
          <t>VÄRMLANDS LÄN</t>
        </is>
      </c>
      <c r="E5979" t="inlineStr">
        <is>
          <t>FORSHAGA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73324-2021</t>
        </is>
      </c>
      <c r="B5980" s="1" t="n">
        <v>44550</v>
      </c>
      <c r="C5980" s="1" t="n">
        <v>45736</v>
      </c>
      <c r="D5980" t="inlineStr">
        <is>
          <t>VÄRMLANDS LÄN</t>
        </is>
      </c>
      <c r="E5980" t="inlineStr">
        <is>
          <t>TORSBY</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73265-2021</t>
        </is>
      </c>
      <c r="B5981" s="1" t="n">
        <v>44550</v>
      </c>
      <c r="C5981" s="1" t="n">
        <v>45736</v>
      </c>
      <c r="D5981" t="inlineStr">
        <is>
          <t>VÄRMLANDS LÄN</t>
        </is>
      </c>
      <c r="E5981" t="inlineStr">
        <is>
          <t>FORSHAGA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73359-2021</t>
        </is>
      </c>
      <c r="B5982" s="1" t="n">
        <v>44550</v>
      </c>
      <c r="C5982" s="1" t="n">
        <v>45736</v>
      </c>
      <c r="D5982" t="inlineStr">
        <is>
          <t>VÄRMLANDS LÄN</t>
        </is>
      </c>
      <c r="E5982" t="inlineStr">
        <is>
          <t>SÄFFLE</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73318-2021</t>
        </is>
      </c>
      <c r="B5983" s="1" t="n">
        <v>44550</v>
      </c>
      <c r="C5983" s="1" t="n">
        <v>45736</v>
      </c>
      <c r="D5983" t="inlineStr">
        <is>
          <t>VÄRMLANDS LÄN</t>
        </is>
      </c>
      <c r="E5983" t="inlineStr">
        <is>
          <t>KARLSTAD</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73355-2021</t>
        </is>
      </c>
      <c r="B5984" s="1" t="n">
        <v>44550</v>
      </c>
      <c r="C5984" s="1" t="n">
        <v>45736</v>
      </c>
      <c r="D5984" t="inlineStr">
        <is>
          <t>VÄRMLANDS LÄN</t>
        </is>
      </c>
      <c r="E5984" t="inlineStr">
        <is>
          <t>SÄFFLE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73165-2021</t>
        </is>
      </c>
      <c r="B5985" s="1" t="n">
        <v>44550</v>
      </c>
      <c r="C5985" s="1" t="n">
        <v>45736</v>
      </c>
      <c r="D5985" t="inlineStr">
        <is>
          <t>VÄRMLANDS LÄN</t>
        </is>
      </c>
      <c r="E5985" t="inlineStr">
        <is>
          <t>TORSBY</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73208-2021</t>
        </is>
      </c>
      <c r="B5986" s="1" t="n">
        <v>44550</v>
      </c>
      <c r="C5986" s="1" t="n">
        <v>45736</v>
      </c>
      <c r="D5986" t="inlineStr">
        <is>
          <t>VÄRMLANDS LÄN</t>
        </is>
      </c>
      <c r="E5986" t="inlineStr">
        <is>
          <t>ARVIKA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73214-2021</t>
        </is>
      </c>
      <c r="B5987" s="1" t="n">
        <v>44550</v>
      </c>
      <c r="C5987" s="1" t="n">
        <v>45736</v>
      </c>
      <c r="D5987" t="inlineStr">
        <is>
          <t>VÄRMLANDS LÄN</t>
        </is>
      </c>
      <c r="E5987" t="inlineStr">
        <is>
          <t>SUNNE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73267-2021</t>
        </is>
      </c>
      <c r="B5988" s="1" t="n">
        <v>44550</v>
      </c>
      <c r="C5988" s="1" t="n">
        <v>45736</v>
      </c>
      <c r="D5988" t="inlineStr">
        <is>
          <t>VÄRMLANDS LÄN</t>
        </is>
      </c>
      <c r="E5988" t="inlineStr">
        <is>
          <t>FORSHAGA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73315-2021</t>
        </is>
      </c>
      <c r="B5989" s="1" t="n">
        <v>44550</v>
      </c>
      <c r="C5989" s="1" t="n">
        <v>45736</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73363-2021</t>
        </is>
      </c>
      <c r="B5990" s="1" t="n">
        <v>44550</v>
      </c>
      <c r="C5990" s="1" t="n">
        <v>45736</v>
      </c>
      <c r="D5990" t="inlineStr">
        <is>
          <t>VÄRMLANDS LÄN</t>
        </is>
      </c>
      <c r="E5990" t="inlineStr">
        <is>
          <t>ÅRJÄNG</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73251-2021</t>
        </is>
      </c>
      <c r="B5991" s="1" t="n">
        <v>44550</v>
      </c>
      <c r="C5991" s="1" t="n">
        <v>45736</v>
      </c>
      <c r="D5991" t="inlineStr">
        <is>
          <t>VÄRMLANDS LÄN</t>
        </is>
      </c>
      <c r="E5991" t="inlineStr">
        <is>
          <t>KIL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73362-2021</t>
        </is>
      </c>
      <c r="B5992" s="1" t="n">
        <v>44550</v>
      </c>
      <c r="C5992" s="1" t="n">
        <v>45736</v>
      </c>
      <c r="D5992" t="inlineStr">
        <is>
          <t>VÄRMLANDS LÄN</t>
        </is>
      </c>
      <c r="E5992" t="inlineStr">
        <is>
          <t>SÄFFLE</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73382-2021</t>
        </is>
      </c>
      <c r="B5993" s="1" t="n">
        <v>44550</v>
      </c>
      <c r="C5993" s="1" t="n">
        <v>45736</v>
      </c>
      <c r="D5993" t="inlineStr">
        <is>
          <t>VÄRMLANDS LÄN</t>
        </is>
      </c>
      <c r="E5993" t="inlineStr">
        <is>
          <t>SÄFFLE</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73442-2021</t>
        </is>
      </c>
      <c r="B5994" s="1" t="n">
        <v>44551</v>
      </c>
      <c r="C5994" s="1" t="n">
        <v>45736</v>
      </c>
      <c r="D5994" t="inlineStr">
        <is>
          <t>VÄRMLANDS LÄN</t>
        </is>
      </c>
      <c r="E5994" t="inlineStr">
        <is>
          <t>TORSBY</t>
        </is>
      </c>
      <c r="F5994" t="inlineStr">
        <is>
          <t>Bergvik skog väst AB</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73492-2021</t>
        </is>
      </c>
      <c r="B5995" s="1" t="n">
        <v>44551</v>
      </c>
      <c r="C5995" s="1" t="n">
        <v>45736</v>
      </c>
      <c r="D5995" t="inlineStr">
        <is>
          <t>VÄRMLANDS LÄN</t>
        </is>
      </c>
      <c r="E5995" t="inlineStr">
        <is>
          <t>SUNNE</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73322-2021</t>
        </is>
      </c>
      <c r="B5996" s="1" t="n">
        <v>44551</v>
      </c>
      <c r="C5996" s="1" t="n">
        <v>45736</v>
      </c>
      <c r="D5996" t="inlineStr">
        <is>
          <t>VÄRMLANDS LÄN</t>
        </is>
      </c>
      <c r="E5996" t="inlineStr">
        <is>
          <t>SUNNE</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73467-2021</t>
        </is>
      </c>
      <c r="B5997" s="1" t="n">
        <v>44551</v>
      </c>
      <c r="C5997" s="1" t="n">
        <v>45736</v>
      </c>
      <c r="D5997" t="inlineStr">
        <is>
          <t>VÄRMLANDS LÄN</t>
        </is>
      </c>
      <c r="E5997" t="inlineStr">
        <is>
          <t>SUNNE</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73476-2021</t>
        </is>
      </c>
      <c r="B5998" s="1" t="n">
        <v>44551</v>
      </c>
      <c r="C5998" s="1" t="n">
        <v>45736</v>
      </c>
      <c r="D5998" t="inlineStr">
        <is>
          <t>VÄRMLANDS LÄN</t>
        </is>
      </c>
      <c r="E5998" t="inlineStr">
        <is>
          <t>SUNNE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73470-2021</t>
        </is>
      </c>
      <c r="B5999" s="1" t="n">
        <v>44551</v>
      </c>
      <c r="C5999" s="1" t="n">
        <v>45736</v>
      </c>
      <c r="D5999" t="inlineStr">
        <is>
          <t>VÄRMLANDS LÄN</t>
        </is>
      </c>
      <c r="E5999" t="inlineStr">
        <is>
          <t>SUNNE</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73553-2021</t>
        </is>
      </c>
      <c r="B6000" s="1" t="n">
        <v>44551</v>
      </c>
      <c r="C6000" s="1" t="n">
        <v>45736</v>
      </c>
      <c r="D6000" t="inlineStr">
        <is>
          <t>VÄRMLANDS LÄN</t>
        </is>
      </c>
      <c r="E6000" t="inlineStr">
        <is>
          <t>TORSBY</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73521-2021</t>
        </is>
      </c>
      <c r="B6001" s="1" t="n">
        <v>44551</v>
      </c>
      <c r="C6001" s="1" t="n">
        <v>45736</v>
      </c>
      <c r="D6001" t="inlineStr">
        <is>
          <t>VÄRMLANDS LÄN</t>
        </is>
      </c>
      <c r="E6001" t="inlineStr">
        <is>
          <t>TORSBY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73608-2021</t>
        </is>
      </c>
      <c r="B6002" s="1" t="n">
        <v>44551</v>
      </c>
      <c r="C6002" s="1" t="n">
        <v>45736</v>
      </c>
      <c r="D6002" t="inlineStr">
        <is>
          <t>VÄRMLANDS LÄN</t>
        </is>
      </c>
      <c r="E6002" t="inlineStr">
        <is>
          <t>EDA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73568-2021</t>
        </is>
      </c>
      <c r="B6003" s="1" t="n">
        <v>44551</v>
      </c>
      <c r="C6003" s="1" t="n">
        <v>45736</v>
      </c>
      <c r="D6003" t="inlineStr">
        <is>
          <t>VÄRMLANDS LÄN</t>
        </is>
      </c>
      <c r="E6003" t="inlineStr">
        <is>
          <t>KRISTINEHAMN</t>
        </is>
      </c>
      <c r="G6003" t="n">
        <v>13.9</v>
      </c>
      <c r="H6003" t="n">
        <v>0</v>
      </c>
      <c r="I6003" t="n">
        <v>0</v>
      </c>
      <c r="J6003" t="n">
        <v>0</v>
      </c>
      <c r="K6003" t="n">
        <v>0</v>
      </c>
      <c r="L6003" t="n">
        <v>0</v>
      </c>
      <c r="M6003" t="n">
        <v>0</v>
      </c>
      <c r="N6003" t="n">
        <v>0</v>
      </c>
      <c r="O6003" t="n">
        <v>0</v>
      </c>
      <c r="P6003" t="n">
        <v>0</v>
      </c>
      <c r="Q6003" t="n">
        <v>0</v>
      </c>
      <c r="R6003" s="2" t="inlineStr"/>
    </row>
    <row r="6004" ht="15" customHeight="1">
      <c r="A6004" t="inlineStr">
        <is>
          <t>A 73623-2021</t>
        </is>
      </c>
      <c r="B6004" s="1" t="n">
        <v>44552</v>
      </c>
      <c r="C6004" s="1" t="n">
        <v>45736</v>
      </c>
      <c r="D6004" t="inlineStr">
        <is>
          <t>VÄRMLANDS LÄN</t>
        </is>
      </c>
      <c r="E6004" t="inlineStr">
        <is>
          <t>ÅRJÄNG</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73651-2021</t>
        </is>
      </c>
      <c r="B6005" s="1" t="n">
        <v>44552</v>
      </c>
      <c r="C6005" s="1" t="n">
        <v>45736</v>
      </c>
      <c r="D6005" t="inlineStr">
        <is>
          <t>VÄRMLANDS LÄN</t>
        </is>
      </c>
      <c r="E6005" t="inlineStr">
        <is>
          <t>ÅRJÄNG</t>
        </is>
      </c>
      <c r="G6005" t="n">
        <v>15.3</v>
      </c>
      <c r="H6005" t="n">
        <v>0</v>
      </c>
      <c r="I6005" t="n">
        <v>0</v>
      </c>
      <c r="J6005" t="n">
        <v>0</v>
      </c>
      <c r="K6005" t="n">
        <v>0</v>
      </c>
      <c r="L6005" t="n">
        <v>0</v>
      </c>
      <c r="M6005" t="n">
        <v>0</v>
      </c>
      <c r="N6005" t="n">
        <v>0</v>
      </c>
      <c r="O6005" t="n">
        <v>0</v>
      </c>
      <c r="P6005" t="n">
        <v>0</v>
      </c>
      <c r="Q6005" t="n">
        <v>0</v>
      </c>
      <c r="R6005" s="2" t="inlineStr"/>
    </row>
    <row r="6006" ht="15" customHeight="1">
      <c r="A6006" t="inlineStr">
        <is>
          <t>A 73595-2021</t>
        </is>
      </c>
      <c r="B6006" s="1" t="n">
        <v>44552</v>
      </c>
      <c r="C6006" s="1" t="n">
        <v>45736</v>
      </c>
      <c r="D6006" t="inlineStr">
        <is>
          <t>VÄRMLANDS LÄN</t>
        </is>
      </c>
      <c r="E6006" t="inlineStr">
        <is>
          <t>SÄFFLE</t>
        </is>
      </c>
      <c r="F6006" t="inlineStr">
        <is>
          <t>Kyrkan</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73664-2021</t>
        </is>
      </c>
      <c r="B6007" s="1" t="n">
        <v>44552</v>
      </c>
      <c r="C6007" s="1" t="n">
        <v>45736</v>
      </c>
      <c r="D6007" t="inlineStr">
        <is>
          <t>VÄRMLANDS LÄN</t>
        </is>
      </c>
      <c r="E6007" t="inlineStr">
        <is>
          <t>FILIPSTAD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73758-2021</t>
        </is>
      </c>
      <c r="B6008" s="1" t="n">
        <v>44552</v>
      </c>
      <c r="C6008" s="1" t="n">
        <v>45736</v>
      </c>
      <c r="D6008" t="inlineStr">
        <is>
          <t>VÄRMLANDS LÄN</t>
        </is>
      </c>
      <c r="E6008" t="inlineStr">
        <is>
          <t>SÄFFLE</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73662-2021</t>
        </is>
      </c>
      <c r="B6009" s="1" t="n">
        <v>44552</v>
      </c>
      <c r="C6009" s="1" t="n">
        <v>45736</v>
      </c>
      <c r="D6009" t="inlineStr">
        <is>
          <t>VÄRMLANDS LÄN</t>
        </is>
      </c>
      <c r="E6009" t="inlineStr">
        <is>
          <t>SÄFFLE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73753-2021</t>
        </is>
      </c>
      <c r="B6010" s="1" t="n">
        <v>44552</v>
      </c>
      <c r="C6010" s="1" t="n">
        <v>45736</v>
      </c>
      <c r="D6010" t="inlineStr">
        <is>
          <t>VÄRMLANDS LÄN</t>
        </is>
      </c>
      <c r="E6010" t="inlineStr">
        <is>
          <t>KARLSTAD</t>
        </is>
      </c>
      <c r="F6010" t="inlineStr">
        <is>
          <t>Kyrkan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73702-2021</t>
        </is>
      </c>
      <c r="B6011" s="1" t="n">
        <v>44552</v>
      </c>
      <c r="C6011" s="1" t="n">
        <v>45736</v>
      </c>
      <c r="D6011" t="inlineStr">
        <is>
          <t>VÄRMLANDS LÄN</t>
        </is>
      </c>
      <c r="E6011" t="inlineStr">
        <is>
          <t>ÅRJÄNG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73730-2021</t>
        </is>
      </c>
      <c r="B6012" s="1" t="n">
        <v>44552</v>
      </c>
      <c r="C6012" s="1" t="n">
        <v>45736</v>
      </c>
      <c r="D6012" t="inlineStr">
        <is>
          <t>VÄRMLANDS LÄN</t>
        </is>
      </c>
      <c r="E6012" t="inlineStr">
        <is>
          <t>SUNNE</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73805-2021</t>
        </is>
      </c>
      <c r="B6013" s="1" t="n">
        <v>44552</v>
      </c>
      <c r="C6013" s="1" t="n">
        <v>45736</v>
      </c>
      <c r="D6013" t="inlineStr">
        <is>
          <t>VÄRMLANDS LÄN</t>
        </is>
      </c>
      <c r="E6013" t="inlineStr">
        <is>
          <t>ARVIKA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73901-2021</t>
        </is>
      </c>
      <c r="B6014" s="1" t="n">
        <v>44552</v>
      </c>
      <c r="C6014" s="1" t="n">
        <v>45736</v>
      </c>
      <c r="D6014" t="inlineStr">
        <is>
          <t>VÄRMLANDS LÄN</t>
        </is>
      </c>
      <c r="E6014" t="inlineStr">
        <is>
          <t>GRUMS</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73936-2021</t>
        </is>
      </c>
      <c r="B6015" s="1" t="n">
        <v>44552</v>
      </c>
      <c r="C6015" s="1" t="n">
        <v>45736</v>
      </c>
      <c r="D6015" t="inlineStr">
        <is>
          <t>VÄRMLANDS LÄN</t>
        </is>
      </c>
      <c r="E6015" t="inlineStr">
        <is>
          <t>ARVIKA</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73882-2021</t>
        </is>
      </c>
      <c r="B6016" s="1" t="n">
        <v>44553</v>
      </c>
      <c r="C6016" s="1" t="n">
        <v>45736</v>
      </c>
      <c r="D6016" t="inlineStr">
        <is>
          <t>VÄRMLANDS LÄN</t>
        </is>
      </c>
      <c r="E6016" t="inlineStr">
        <is>
          <t>TORSBY</t>
        </is>
      </c>
      <c r="F6016" t="inlineStr">
        <is>
          <t>Kyrkan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73874-2021</t>
        </is>
      </c>
      <c r="B6017" s="1" t="n">
        <v>44553</v>
      </c>
      <c r="C6017" s="1" t="n">
        <v>45736</v>
      </c>
      <c r="D6017" t="inlineStr">
        <is>
          <t>VÄRMLANDS LÄN</t>
        </is>
      </c>
      <c r="E6017" t="inlineStr">
        <is>
          <t>TORSBY</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74012-2021</t>
        </is>
      </c>
      <c r="B6018" s="1" t="n">
        <v>44553</v>
      </c>
      <c r="C6018" s="1" t="n">
        <v>45736</v>
      </c>
      <c r="D6018" t="inlineStr">
        <is>
          <t>VÄRMLANDS LÄN</t>
        </is>
      </c>
      <c r="E6018" t="inlineStr">
        <is>
          <t>TORSBY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74189-2021</t>
        </is>
      </c>
      <c r="B6019" s="1" t="n">
        <v>44553</v>
      </c>
      <c r="C6019" s="1" t="n">
        <v>45736</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74187-2021</t>
        </is>
      </c>
      <c r="B6020" s="1" t="n">
        <v>44553</v>
      </c>
      <c r="C6020" s="1" t="n">
        <v>45736</v>
      </c>
      <c r="D6020" t="inlineStr">
        <is>
          <t>VÄRMLANDS LÄN</t>
        </is>
      </c>
      <c r="E6020" t="inlineStr">
        <is>
          <t>ÅRJÄNG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74004-2021</t>
        </is>
      </c>
      <c r="B6021" s="1" t="n">
        <v>44557</v>
      </c>
      <c r="C6021" s="1" t="n">
        <v>45736</v>
      </c>
      <c r="D6021" t="inlineStr">
        <is>
          <t>VÄRMLANDS LÄN</t>
        </is>
      </c>
      <c r="E6021" t="inlineStr">
        <is>
          <t>ARVIKA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74059-2021</t>
        </is>
      </c>
      <c r="B6022" s="1" t="n">
        <v>44557</v>
      </c>
      <c r="C6022" s="1" t="n">
        <v>45736</v>
      </c>
      <c r="D6022" t="inlineStr">
        <is>
          <t>VÄRMLANDS LÄN</t>
        </is>
      </c>
      <c r="E6022" t="inlineStr">
        <is>
          <t>SUNNE</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74069-2021</t>
        </is>
      </c>
      <c r="B6023" s="1" t="n">
        <v>44557</v>
      </c>
      <c r="C6023" s="1" t="n">
        <v>45736</v>
      </c>
      <c r="D6023" t="inlineStr">
        <is>
          <t>VÄRMLANDS LÄN</t>
        </is>
      </c>
      <c r="E6023" t="inlineStr">
        <is>
          <t>EDA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74079-2021</t>
        </is>
      </c>
      <c r="B6024" s="1" t="n">
        <v>44557</v>
      </c>
      <c r="C6024" s="1" t="n">
        <v>45736</v>
      </c>
      <c r="D6024" t="inlineStr">
        <is>
          <t>VÄRMLANDS LÄN</t>
        </is>
      </c>
      <c r="E6024" t="inlineStr">
        <is>
          <t>TORSBY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74087-2021</t>
        </is>
      </c>
      <c r="B6025" s="1" t="n">
        <v>44557</v>
      </c>
      <c r="C6025" s="1" t="n">
        <v>45736</v>
      </c>
      <c r="D6025" t="inlineStr">
        <is>
          <t>VÄRMLANDS LÄN</t>
        </is>
      </c>
      <c r="E6025" t="inlineStr">
        <is>
          <t>ÅRJÄNG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74086-2021</t>
        </is>
      </c>
      <c r="B6026" s="1" t="n">
        <v>44557</v>
      </c>
      <c r="C6026" s="1" t="n">
        <v>45736</v>
      </c>
      <c r="D6026" t="inlineStr">
        <is>
          <t>VÄRMLANDS LÄN</t>
        </is>
      </c>
      <c r="E6026" t="inlineStr">
        <is>
          <t>ÅRJÄNG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74085-2021</t>
        </is>
      </c>
      <c r="B6027" s="1" t="n">
        <v>44557</v>
      </c>
      <c r="C6027" s="1" t="n">
        <v>45736</v>
      </c>
      <c r="D6027" t="inlineStr">
        <is>
          <t>VÄRMLANDS LÄN</t>
        </is>
      </c>
      <c r="E6027" t="inlineStr">
        <is>
          <t>EDA</t>
        </is>
      </c>
      <c r="F6027" t="inlineStr">
        <is>
          <t>Övriga Aktiebolag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74129-2021</t>
        </is>
      </c>
      <c r="B6028" s="1" t="n">
        <v>44557</v>
      </c>
      <c r="C6028" s="1" t="n">
        <v>45736</v>
      </c>
      <c r="D6028" t="inlineStr">
        <is>
          <t>VÄRMLANDS LÄN</t>
        </is>
      </c>
      <c r="E6028" t="inlineStr">
        <is>
          <t>ARVIKA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74147-2021</t>
        </is>
      </c>
      <c r="B6029" s="1" t="n">
        <v>44557</v>
      </c>
      <c r="C6029" s="1" t="n">
        <v>45736</v>
      </c>
      <c r="D6029" t="inlineStr">
        <is>
          <t>VÄRMLANDS LÄN</t>
        </is>
      </c>
      <c r="E6029" t="inlineStr">
        <is>
          <t>SÄFFLE</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74007-2021</t>
        </is>
      </c>
      <c r="B6030" s="1" t="n">
        <v>44557</v>
      </c>
      <c r="C6030" s="1" t="n">
        <v>45736</v>
      </c>
      <c r="D6030" t="inlineStr">
        <is>
          <t>VÄRMLANDS LÄN</t>
        </is>
      </c>
      <c r="E6030" t="inlineStr">
        <is>
          <t>FORSHAGA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74131-2021</t>
        </is>
      </c>
      <c r="B6031" s="1" t="n">
        <v>44557</v>
      </c>
      <c r="C6031" s="1" t="n">
        <v>45736</v>
      </c>
      <c r="D6031" t="inlineStr">
        <is>
          <t>VÄRMLANDS LÄN</t>
        </is>
      </c>
      <c r="E6031" t="inlineStr">
        <is>
          <t>KRISTINEHAMN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74216-2021</t>
        </is>
      </c>
      <c r="B6032" s="1" t="n">
        <v>44558</v>
      </c>
      <c r="C6032" s="1" t="n">
        <v>45736</v>
      </c>
      <c r="D6032" t="inlineStr">
        <is>
          <t>VÄRMLANDS LÄN</t>
        </is>
      </c>
      <c r="E6032" t="inlineStr">
        <is>
          <t>ARVIKA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74227-2021</t>
        </is>
      </c>
      <c r="B6033" s="1" t="n">
        <v>44558</v>
      </c>
      <c r="C6033" s="1" t="n">
        <v>45736</v>
      </c>
      <c r="D6033" t="inlineStr">
        <is>
          <t>VÄRMLANDS LÄN</t>
        </is>
      </c>
      <c r="E6033" t="inlineStr">
        <is>
          <t>SUNNE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74166-2021</t>
        </is>
      </c>
      <c r="B6034" s="1" t="n">
        <v>44558</v>
      </c>
      <c r="C6034" s="1" t="n">
        <v>45736</v>
      </c>
      <c r="D6034" t="inlineStr">
        <is>
          <t>VÄRMLANDS LÄN</t>
        </is>
      </c>
      <c r="E6034" t="inlineStr">
        <is>
          <t>ÅRJÄNG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74221-2021</t>
        </is>
      </c>
      <c r="B6035" s="1" t="n">
        <v>44558</v>
      </c>
      <c r="C6035" s="1" t="n">
        <v>45736</v>
      </c>
      <c r="D6035" t="inlineStr">
        <is>
          <t>VÄRMLANDS LÄN</t>
        </is>
      </c>
      <c r="E6035" t="inlineStr">
        <is>
          <t>ARVIKA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74233-2021</t>
        </is>
      </c>
      <c r="B6036" s="1" t="n">
        <v>44558</v>
      </c>
      <c r="C6036" s="1" t="n">
        <v>45736</v>
      </c>
      <c r="D6036" t="inlineStr">
        <is>
          <t>VÄRMLANDS LÄN</t>
        </is>
      </c>
      <c r="E6036" t="inlineStr">
        <is>
          <t>SUNNE</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74268-2021</t>
        </is>
      </c>
      <c r="B6037" s="1" t="n">
        <v>44558</v>
      </c>
      <c r="C6037" s="1" t="n">
        <v>45736</v>
      </c>
      <c r="D6037" t="inlineStr">
        <is>
          <t>VÄRMLANDS LÄN</t>
        </is>
      </c>
      <c r="E6037" t="inlineStr">
        <is>
          <t>SUNNE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74218-2021</t>
        </is>
      </c>
      <c r="B6038" s="1" t="n">
        <v>44558</v>
      </c>
      <c r="C6038" s="1" t="n">
        <v>45736</v>
      </c>
      <c r="D6038" t="inlineStr">
        <is>
          <t>VÄRMLANDS LÄN</t>
        </is>
      </c>
      <c r="E6038" t="inlineStr">
        <is>
          <t>ARVIKA</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74230-2021</t>
        </is>
      </c>
      <c r="B6039" s="1" t="n">
        <v>44558</v>
      </c>
      <c r="C6039" s="1" t="n">
        <v>45736</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74271-2021</t>
        </is>
      </c>
      <c r="B6040" s="1" t="n">
        <v>44558</v>
      </c>
      <c r="C6040" s="1" t="n">
        <v>45736</v>
      </c>
      <c r="D6040" t="inlineStr">
        <is>
          <t>VÄRMLANDS LÄN</t>
        </is>
      </c>
      <c r="E6040" t="inlineStr">
        <is>
          <t>ARVIKA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74331-2021</t>
        </is>
      </c>
      <c r="B6041" s="1" t="n">
        <v>44559</v>
      </c>
      <c r="C6041" s="1" t="n">
        <v>45736</v>
      </c>
      <c r="D6041" t="inlineStr">
        <is>
          <t>VÄRMLANDS LÄN</t>
        </is>
      </c>
      <c r="E6041" t="inlineStr">
        <is>
          <t>ARVIKA</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74300-2021</t>
        </is>
      </c>
      <c r="B6042" s="1" t="n">
        <v>44559</v>
      </c>
      <c r="C6042" s="1" t="n">
        <v>45736</v>
      </c>
      <c r="D6042" t="inlineStr">
        <is>
          <t>VÄRMLANDS LÄN</t>
        </is>
      </c>
      <c r="E6042" t="inlineStr">
        <is>
          <t>ARVIKA</t>
        </is>
      </c>
      <c r="F6042" t="inlineStr">
        <is>
          <t>Bergvik skog väst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74330-2021</t>
        </is>
      </c>
      <c r="B6043" s="1" t="n">
        <v>44559</v>
      </c>
      <c r="C6043" s="1" t="n">
        <v>45736</v>
      </c>
      <c r="D6043" t="inlineStr">
        <is>
          <t>VÄRMLANDS LÄN</t>
        </is>
      </c>
      <c r="E6043" t="inlineStr">
        <is>
          <t>ARVIKA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74375-2021</t>
        </is>
      </c>
      <c r="B6044" s="1" t="n">
        <v>44559</v>
      </c>
      <c r="C6044" s="1" t="n">
        <v>45736</v>
      </c>
      <c r="D6044" t="inlineStr">
        <is>
          <t>VÄRMLANDS LÄN</t>
        </is>
      </c>
      <c r="E6044" t="inlineStr">
        <is>
          <t>TORSBY</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74403-2021</t>
        </is>
      </c>
      <c r="B6045" s="1" t="n">
        <v>44559</v>
      </c>
      <c r="C6045" s="1" t="n">
        <v>45736</v>
      </c>
      <c r="D6045" t="inlineStr">
        <is>
          <t>VÄRMLANDS LÄN</t>
        </is>
      </c>
      <c r="E6045" t="inlineStr">
        <is>
          <t>KRISTINEHAMN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74363-2021</t>
        </is>
      </c>
      <c r="B6046" s="1" t="n">
        <v>44559</v>
      </c>
      <c r="C6046" s="1" t="n">
        <v>45736</v>
      </c>
      <c r="D6046" t="inlineStr">
        <is>
          <t>VÄRMLANDS LÄN</t>
        </is>
      </c>
      <c r="E6046" t="inlineStr">
        <is>
          <t>ÅRJÄNG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74374-2021</t>
        </is>
      </c>
      <c r="B6047" s="1" t="n">
        <v>44559</v>
      </c>
      <c r="C6047" s="1" t="n">
        <v>45736</v>
      </c>
      <c r="D6047" t="inlineStr">
        <is>
          <t>VÄRMLANDS LÄN</t>
        </is>
      </c>
      <c r="E6047" t="inlineStr">
        <is>
          <t>TORSBY</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74351-2021</t>
        </is>
      </c>
      <c r="B6048" s="1" t="n">
        <v>44559</v>
      </c>
      <c r="C6048" s="1" t="n">
        <v>45736</v>
      </c>
      <c r="D6048" t="inlineStr">
        <is>
          <t>VÄRMLANDS LÄN</t>
        </is>
      </c>
      <c r="E6048" t="inlineStr">
        <is>
          <t>TORSBY</t>
        </is>
      </c>
      <c r="F6048" t="inlineStr">
        <is>
          <t>Bergvik skog väst AB</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74372-2021</t>
        </is>
      </c>
      <c r="B6049" s="1" t="n">
        <v>44559</v>
      </c>
      <c r="C6049" s="1" t="n">
        <v>45736</v>
      </c>
      <c r="D6049" t="inlineStr">
        <is>
          <t>VÄRMLANDS LÄN</t>
        </is>
      </c>
      <c r="E6049" t="inlineStr">
        <is>
          <t>ÅRJÄNG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74419-2021</t>
        </is>
      </c>
      <c r="B6050" s="1" t="n">
        <v>44560</v>
      </c>
      <c r="C6050" s="1" t="n">
        <v>45736</v>
      </c>
      <c r="D6050" t="inlineStr">
        <is>
          <t>VÄRMLANDS LÄN</t>
        </is>
      </c>
      <c r="E6050" t="inlineStr">
        <is>
          <t>KIL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74463-2021</t>
        </is>
      </c>
      <c r="B6051" s="1" t="n">
        <v>44560</v>
      </c>
      <c r="C6051" s="1" t="n">
        <v>45736</v>
      </c>
      <c r="D6051" t="inlineStr">
        <is>
          <t>VÄRMLANDS LÄN</t>
        </is>
      </c>
      <c r="E6051" t="inlineStr">
        <is>
          <t>ÅRJÄNG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74448-2021</t>
        </is>
      </c>
      <c r="B6052" s="1" t="n">
        <v>44560</v>
      </c>
      <c r="C6052" s="1" t="n">
        <v>45736</v>
      </c>
      <c r="D6052" t="inlineStr">
        <is>
          <t>VÄRMLANDS LÄN</t>
        </is>
      </c>
      <c r="E6052" t="inlineStr">
        <is>
          <t>ÅRJÄNG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74424-2021</t>
        </is>
      </c>
      <c r="B6053" s="1" t="n">
        <v>44560</v>
      </c>
      <c r="C6053" s="1" t="n">
        <v>45736</v>
      </c>
      <c r="D6053" t="inlineStr">
        <is>
          <t>VÄRMLANDS LÄN</t>
        </is>
      </c>
      <c r="E6053" t="inlineStr">
        <is>
          <t>EDA</t>
        </is>
      </c>
      <c r="F6053" t="inlineStr">
        <is>
          <t>Bergvik skog väst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74430-2021</t>
        </is>
      </c>
      <c r="B6054" s="1" t="n">
        <v>44560</v>
      </c>
      <c r="C6054" s="1" t="n">
        <v>45736</v>
      </c>
      <c r="D6054" t="inlineStr">
        <is>
          <t>VÄRMLANDS LÄN</t>
        </is>
      </c>
      <c r="E6054" t="inlineStr">
        <is>
          <t>ÅRJÄNG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74514-2021</t>
        </is>
      </c>
      <c r="B6055" s="1" t="n">
        <v>44561</v>
      </c>
      <c r="C6055" s="1" t="n">
        <v>45736</v>
      </c>
      <c r="D6055" t="inlineStr">
        <is>
          <t>VÄRMLANDS LÄN</t>
        </is>
      </c>
      <c r="E6055" t="inlineStr">
        <is>
          <t>ÅRJÄNG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74512-2021</t>
        </is>
      </c>
      <c r="B6056" s="1" t="n">
        <v>44561</v>
      </c>
      <c r="C6056" s="1" t="n">
        <v>45736</v>
      </c>
      <c r="D6056" t="inlineStr">
        <is>
          <t>VÄRMLANDS LÄN</t>
        </is>
      </c>
      <c r="E6056" t="inlineStr">
        <is>
          <t>KARLSTAD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74513-2021</t>
        </is>
      </c>
      <c r="B6057" s="1" t="n">
        <v>44561</v>
      </c>
      <c r="C6057" s="1" t="n">
        <v>45736</v>
      </c>
      <c r="D6057" t="inlineStr">
        <is>
          <t>VÄRMLANDS LÄN</t>
        </is>
      </c>
      <c r="E6057" t="inlineStr">
        <is>
          <t>SUNNE</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6-2022</t>
        </is>
      </c>
      <c r="B6058" s="1" t="n">
        <v>44563</v>
      </c>
      <c r="C6058" s="1" t="n">
        <v>45736</v>
      </c>
      <c r="D6058" t="inlineStr">
        <is>
          <t>VÄRMLANDS LÄN</t>
        </is>
      </c>
      <c r="E6058" t="inlineStr">
        <is>
          <t>SUNNE</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203-2022</t>
        </is>
      </c>
      <c r="B6059" s="1" t="n">
        <v>44563</v>
      </c>
      <c r="C6059" s="1" t="n">
        <v>45736</v>
      </c>
      <c r="D6059" t="inlineStr">
        <is>
          <t>VÄRMLANDS LÄN</t>
        </is>
      </c>
      <c r="E6059" t="inlineStr">
        <is>
          <t>ARVIKA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82-2022</t>
        </is>
      </c>
      <c r="B6060" s="1" t="n">
        <v>44564</v>
      </c>
      <c r="C6060" s="1" t="n">
        <v>45736</v>
      </c>
      <c r="D6060" t="inlineStr">
        <is>
          <t>VÄRMLANDS LÄN</t>
        </is>
      </c>
      <c r="E6060" t="inlineStr">
        <is>
          <t>SUNNE</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129-2022</t>
        </is>
      </c>
      <c r="B6061" s="1" t="n">
        <v>44564</v>
      </c>
      <c r="C6061" s="1" t="n">
        <v>45736</v>
      </c>
      <c r="D6061" t="inlineStr">
        <is>
          <t>VÄRMLANDS LÄN</t>
        </is>
      </c>
      <c r="E6061" t="inlineStr">
        <is>
          <t>EDA</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92-2022</t>
        </is>
      </c>
      <c r="B6062" s="1" t="n">
        <v>44564</v>
      </c>
      <c r="C6062" s="1" t="n">
        <v>45736</v>
      </c>
      <c r="D6062" t="inlineStr">
        <is>
          <t>VÄRMLANDS LÄN</t>
        </is>
      </c>
      <c r="E6062" t="inlineStr">
        <is>
          <t>ÅRJÄNG</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87-2022</t>
        </is>
      </c>
      <c r="B6063" s="1" t="n">
        <v>44564</v>
      </c>
      <c r="C6063" s="1" t="n">
        <v>45736</v>
      </c>
      <c r="D6063" t="inlineStr">
        <is>
          <t>VÄRMLANDS LÄN</t>
        </is>
      </c>
      <c r="E6063" t="inlineStr">
        <is>
          <t>SÄFFLE</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102-2022</t>
        </is>
      </c>
      <c r="B6064" s="1" t="n">
        <v>44564</v>
      </c>
      <c r="C6064" s="1" t="n">
        <v>45736</v>
      </c>
      <c r="D6064" t="inlineStr">
        <is>
          <t>VÄRMLANDS LÄN</t>
        </is>
      </c>
      <c r="E6064" t="inlineStr">
        <is>
          <t>HAGFORS</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101-2022</t>
        </is>
      </c>
      <c r="B6065" s="1" t="n">
        <v>44564</v>
      </c>
      <c r="C6065" s="1" t="n">
        <v>45736</v>
      </c>
      <c r="D6065" t="inlineStr">
        <is>
          <t>VÄRMLANDS LÄN</t>
        </is>
      </c>
      <c r="E6065" t="inlineStr">
        <is>
          <t>SÄFFLE</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207-2022</t>
        </is>
      </c>
      <c r="B6066" s="1" t="n">
        <v>44564</v>
      </c>
      <c r="C6066" s="1" t="n">
        <v>45736</v>
      </c>
      <c r="D6066" t="inlineStr">
        <is>
          <t>VÄRMLANDS LÄN</t>
        </is>
      </c>
      <c r="E6066" t="inlineStr">
        <is>
          <t>SUNNE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61-2022</t>
        </is>
      </c>
      <c r="B6067" s="1" t="n">
        <v>44564</v>
      </c>
      <c r="C6067" s="1" t="n">
        <v>45736</v>
      </c>
      <c r="D6067" t="inlineStr">
        <is>
          <t>VÄRMLANDS LÄN</t>
        </is>
      </c>
      <c r="E6067" t="inlineStr">
        <is>
          <t>SÄFFLE</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55-2022</t>
        </is>
      </c>
      <c r="B6068" s="1" t="n">
        <v>44564</v>
      </c>
      <c r="C6068" s="1" t="n">
        <v>45736</v>
      </c>
      <c r="D6068" t="inlineStr">
        <is>
          <t>VÄRMLANDS LÄN</t>
        </is>
      </c>
      <c r="E6068" t="inlineStr">
        <is>
          <t>SÄFFLE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66-2022</t>
        </is>
      </c>
      <c r="B6069" s="1" t="n">
        <v>44564</v>
      </c>
      <c r="C6069" s="1" t="n">
        <v>45736</v>
      </c>
      <c r="D6069" t="inlineStr">
        <is>
          <t>VÄRMLANDS LÄN</t>
        </is>
      </c>
      <c r="E6069" t="inlineStr">
        <is>
          <t>SÄFFLE</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303-2022</t>
        </is>
      </c>
      <c r="B6070" s="1" t="n">
        <v>44565</v>
      </c>
      <c r="C6070" s="1" t="n">
        <v>45736</v>
      </c>
      <c r="D6070" t="inlineStr">
        <is>
          <t>VÄRMLANDS LÄN</t>
        </is>
      </c>
      <c r="E6070" t="inlineStr">
        <is>
          <t>SUNNE</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361-2022</t>
        </is>
      </c>
      <c r="B6071" s="1" t="n">
        <v>44565</v>
      </c>
      <c r="C6071" s="1" t="n">
        <v>45736</v>
      </c>
      <c r="D6071" t="inlineStr">
        <is>
          <t>VÄRMLANDS LÄN</t>
        </is>
      </c>
      <c r="E6071" t="inlineStr">
        <is>
          <t>TORSBY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252-2022</t>
        </is>
      </c>
      <c r="B6072" s="1" t="n">
        <v>44565</v>
      </c>
      <c r="C6072" s="1" t="n">
        <v>45736</v>
      </c>
      <c r="D6072" t="inlineStr">
        <is>
          <t>VÄRMLANDS LÄN</t>
        </is>
      </c>
      <c r="E6072" t="inlineStr">
        <is>
          <t>SUNNE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259-2022</t>
        </is>
      </c>
      <c r="B6073" s="1" t="n">
        <v>44565</v>
      </c>
      <c r="C6073" s="1" t="n">
        <v>45736</v>
      </c>
      <c r="D6073" t="inlineStr">
        <is>
          <t>VÄRMLANDS LÄN</t>
        </is>
      </c>
      <c r="E6073" t="inlineStr">
        <is>
          <t>SUNNE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293-2022</t>
        </is>
      </c>
      <c r="B6074" s="1" t="n">
        <v>44565</v>
      </c>
      <c r="C6074" s="1" t="n">
        <v>45736</v>
      </c>
      <c r="D6074" t="inlineStr">
        <is>
          <t>VÄRMLANDS LÄN</t>
        </is>
      </c>
      <c r="E6074" t="inlineStr">
        <is>
          <t>HAGFORS</t>
        </is>
      </c>
      <c r="F6074" t="inlineStr">
        <is>
          <t>Bergvik skog väst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249-2022</t>
        </is>
      </c>
      <c r="B6075" s="1" t="n">
        <v>44565</v>
      </c>
      <c r="C6075" s="1" t="n">
        <v>45736</v>
      </c>
      <c r="D6075" t="inlineStr">
        <is>
          <t>VÄRMLANDS LÄN</t>
        </is>
      </c>
      <c r="E6075" t="inlineStr">
        <is>
          <t>KIL</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449-2022</t>
        </is>
      </c>
      <c r="B6076" s="1" t="n">
        <v>44566</v>
      </c>
      <c r="C6076" s="1" t="n">
        <v>45736</v>
      </c>
      <c r="D6076" t="inlineStr">
        <is>
          <t>VÄRMLANDS LÄN</t>
        </is>
      </c>
      <c r="E6076" t="inlineStr">
        <is>
          <t>MUNKFORS</t>
        </is>
      </c>
      <c r="F6076" t="inlineStr">
        <is>
          <t>Bergvik skog väst AB</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546-2022</t>
        </is>
      </c>
      <c r="B6077" s="1" t="n">
        <v>44566</v>
      </c>
      <c r="C6077" s="1" t="n">
        <v>45736</v>
      </c>
      <c r="D6077" t="inlineStr">
        <is>
          <t>VÄRMLANDS LÄN</t>
        </is>
      </c>
      <c r="E6077" t="inlineStr">
        <is>
          <t>KARLSTAD</t>
        </is>
      </c>
      <c r="F6077" t="inlineStr">
        <is>
          <t>Bergvik skog väst AB</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658-2022</t>
        </is>
      </c>
      <c r="B6078" s="1" t="n">
        <v>44566</v>
      </c>
      <c r="C6078" s="1" t="n">
        <v>45736</v>
      </c>
      <c r="D6078" t="inlineStr">
        <is>
          <t>VÄRMLANDS LÄN</t>
        </is>
      </c>
      <c r="E6078" t="inlineStr">
        <is>
          <t>HAGFORS</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444-2022</t>
        </is>
      </c>
      <c r="B6079" s="1" t="n">
        <v>44566</v>
      </c>
      <c r="C6079" s="1" t="n">
        <v>45736</v>
      </c>
      <c r="D6079" t="inlineStr">
        <is>
          <t>VÄRMLANDS LÄN</t>
        </is>
      </c>
      <c r="E6079" t="inlineStr">
        <is>
          <t>EDA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463-2022</t>
        </is>
      </c>
      <c r="B6080" s="1" t="n">
        <v>44566</v>
      </c>
      <c r="C6080" s="1" t="n">
        <v>45736</v>
      </c>
      <c r="D6080" t="inlineStr">
        <is>
          <t>VÄRMLANDS LÄN</t>
        </is>
      </c>
      <c r="E6080" t="inlineStr">
        <is>
          <t>FORSHAGA</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509-2022</t>
        </is>
      </c>
      <c r="B6081" s="1" t="n">
        <v>44566</v>
      </c>
      <c r="C6081" s="1" t="n">
        <v>45736</v>
      </c>
      <c r="D6081" t="inlineStr">
        <is>
          <t>VÄRMLANDS LÄN</t>
        </is>
      </c>
      <c r="E6081" t="inlineStr">
        <is>
          <t>ÅRJÄNG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460-2022</t>
        </is>
      </c>
      <c r="B6082" s="1" t="n">
        <v>44566</v>
      </c>
      <c r="C6082" s="1" t="n">
        <v>45736</v>
      </c>
      <c r="D6082" t="inlineStr">
        <is>
          <t>VÄRMLANDS LÄN</t>
        </is>
      </c>
      <c r="E6082" t="inlineStr">
        <is>
          <t>KARLSTAD</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474-2022</t>
        </is>
      </c>
      <c r="B6083" s="1" t="n">
        <v>44566</v>
      </c>
      <c r="C6083" s="1" t="n">
        <v>45736</v>
      </c>
      <c r="D6083" t="inlineStr">
        <is>
          <t>VÄRMLANDS LÄN</t>
        </is>
      </c>
      <c r="E6083" t="inlineStr">
        <is>
          <t>KARLSTAD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516-2022</t>
        </is>
      </c>
      <c r="B6084" s="1" t="n">
        <v>44566</v>
      </c>
      <c r="C6084" s="1" t="n">
        <v>45736</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530-2022</t>
        </is>
      </c>
      <c r="B6085" s="1" t="n">
        <v>44566</v>
      </c>
      <c r="C6085" s="1" t="n">
        <v>45736</v>
      </c>
      <c r="D6085" t="inlineStr">
        <is>
          <t>VÄRMLANDS LÄN</t>
        </is>
      </c>
      <c r="E6085" t="inlineStr">
        <is>
          <t>EDA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633-2022</t>
        </is>
      </c>
      <c r="B6086" s="1" t="n">
        <v>44566</v>
      </c>
      <c r="C6086" s="1" t="n">
        <v>45736</v>
      </c>
      <c r="D6086" t="inlineStr">
        <is>
          <t>VÄRMLANDS LÄN</t>
        </is>
      </c>
      <c r="E6086" t="inlineStr">
        <is>
          <t>HAGFORS</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653-2022</t>
        </is>
      </c>
      <c r="B6087" s="1" t="n">
        <v>44566</v>
      </c>
      <c r="C6087" s="1" t="n">
        <v>45736</v>
      </c>
      <c r="D6087" t="inlineStr">
        <is>
          <t>VÄRMLANDS LÄN</t>
        </is>
      </c>
      <c r="E6087" t="inlineStr">
        <is>
          <t>HAGFORS</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594-2022</t>
        </is>
      </c>
      <c r="B6088" s="1" t="n">
        <v>44567</v>
      </c>
      <c r="C6088" s="1" t="n">
        <v>45736</v>
      </c>
      <c r="D6088" t="inlineStr">
        <is>
          <t>VÄRMLANDS LÄN</t>
        </is>
      </c>
      <c r="E6088" t="inlineStr">
        <is>
          <t>HAGFORS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735-2022</t>
        </is>
      </c>
      <c r="B6089" s="1" t="n">
        <v>44568</v>
      </c>
      <c r="C6089" s="1" t="n">
        <v>45736</v>
      </c>
      <c r="D6089" t="inlineStr">
        <is>
          <t>VÄRMLANDS LÄN</t>
        </is>
      </c>
      <c r="E6089" t="inlineStr">
        <is>
          <t>ARVIKA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675-2022</t>
        </is>
      </c>
      <c r="B6090" s="1" t="n">
        <v>44568</v>
      </c>
      <c r="C6090" s="1" t="n">
        <v>45736</v>
      </c>
      <c r="D6090" t="inlineStr">
        <is>
          <t>VÄRMLANDS LÄN</t>
        </is>
      </c>
      <c r="E6090" t="inlineStr">
        <is>
          <t>SUNNE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719-2022</t>
        </is>
      </c>
      <c r="B6091" s="1" t="n">
        <v>44568</v>
      </c>
      <c r="C6091" s="1" t="n">
        <v>45736</v>
      </c>
      <c r="D6091" t="inlineStr">
        <is>
          <t>VÄRMLANDS LÄN</t>
        </is>
      </c>
      <c r="E6091" t="inlineStr">
        <is>
          <t>ARVIKA</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662-2022</t>
        </is>
      </c>
      <c r="B6092" s="1" t="n">
        <v>44568</v>
      </c>
      <c r="C6092" s="1" t="n">
        <v>45736</v>
      </c>
      <c r="D6092" t="inlineStr">
        <is>
          <t>VÄRMLANDS LÄN</t>
        </is>
      </c>
      <c r="E6092" t="inlineStr">
        <is>
          <t>ÅRJÄNG</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739-2022</t>
        </is>
      </c>
      <c r="B6093" s="1" t="n">
        <v>44568</v>
      </c>
      <c r="C6093" s="1" t="n">
        <v>45736</v>
      </c>
      <c r="D6093" t="inlineStr">
        <is>
          <t>VÄRMLANDS LÄN</t>
        </is>
      </c>
      <c r="E6093" t="inlineStr">
        <is>
          <t>TORSBY</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969-2022</t>
        </is>
      </c>
      <c r="B6094" s="1" t="n">
        <v>44571</v>
      </c>
      <c r="C6094" s="1" t="n">
        <v>45736</v>
      </c>
      <c r="D6094" t="inlineStr">
        <is>
          <t>VÄRMLANDS LÄN</t>
        </is>
      </c>
      <c r="E6094" t="inlineStr">
        <is>
          <t>KIL</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920-2022</t>
        </is>
      </c>
      <c r="B6095" s="1" t="n">
        <v>44571</v>
      </c>
      <c r="C6095" s="1" t="n">
        <v>45736</v>
      </c>
      <c r="D6095" t="inlineStr">
        <is>
          <t>VÄRMLANDS LÄN</t>
        </is>
      </c>
      <c r="E6095" t="inlineStr">
        <is>
          <t>HAGFORS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997-2022</t>
        </is>
      </c>
      <c r="B6096" s="1" t="n">
        <v>44571</v>
      </c>
      <c r="C6096" s="1" t="n">
        <v>45736</v>
      </c>
      <c r="D6096" t="inlineStr">
        <is>
          <t>VÄRMLANDS LÄN</t>
        </is>
      </c>
      <c r="E6096" t="inlineStr">
        <is>
          <t>TORSBY</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925-2022</t>
        </is>
      </c>
      <c r="B6097" s="1" t="n">
        <v>44571</v>
      </c>
      <c r="C6097" s="1" t="n">
        <v>45736</v>
      </c>
      <c r="D6097" t="inlineStr">
        <is>
          <t>VÄRMLANDS LÄN</t>
        </is>
      </c>
      <c r="E6097" t="inlineStr">
        <is>
          <t>KIL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970-2022</t>
        </is>
      </c>
      <c r="B6098" s="1" t="n">
        <v>44571</v>
      </c>
      <c r="C6098" s="1" t="n">
        <v>45736</v>
      </c>
      <c r="D6098" t="inlineStr">
        <is>
          <t>VÄRMLANDS LÄN</t>
        </is>
      </c>
      <c r="E6098" t="inlineStr">
        <is>
          <t>KARLSTAD</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2141-2022</t>
        </is>
      </c>
      <c r="B6099" s="1" t="n">
        <v>44571</v>
      </c>
      <c r="C6099" s="1" t="n">
        <v>45736</v>
      </c>
      <c r="D6099" t="inlineStr">
        <is>
          <t>VÄRMLANDS LÄN</t>
        </is>
      </c>
      <c r="E6099" t="inlineStr">
        <is>
          <t>ÅRJÄNG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2143-2022</t>
        </is>
      </c>
      <c r="B6100" s="1" t="n">
        <v>44571</v>
      </c>
      <c r="C6100" s="1" t="n">
        <v>45736</v>
      </c>
      <c r="D6100" t="inlineStr">
        <is>
          <t>VÄRMLANDS LÄN</t>
        </is>
      </c>
      <c r="E6100" t="inlineStr">
        <is>
          <t>ÅRJÄNG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1256-2022</t>
        </is>
      </c>
      <c r="B6101" s="1" t="n">
        <v>44572</v>
      </c>
      <c r="C6101" s="1" t="n">
        <v>45736</v>
      </c>
      <c r="D6101" t="inlineStr">
        <is>
          <t>VÄRMLANDS LÄN</t>
        </is>
      </c>
      <c r="E6101" t="inlineStr">
        <is>
          <t>KIL</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1212-2022</t>
        </is>
      </c>
      <c r="B6102" s="1" t="n">
        <v>44572</v>
      </c>
      <c r="C6102" s="1" t="n">
        <v>45736</v>
      </c>
      <c r="D6102" t="inlineStr">
        <is>
          <t>VÄRMLANDS LÄN</t>
        </is>
      </c>
      <c r="E6102" t="inlineStr">
        <is>
          <t>ARVIKA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1329-2022</t>
        </is>
      </c>
      <c r="B6103" s="1" t="n">
        <v>44572</v>
      </c>
      <c r="C6103" s="1" t="n">
        <v>45736</v>
      </c>
      <c r="D6103" t="inlineStr">
        <is>
          <t>VÄRMLANDS LÄN</t>
        </is>
      </c>
      <c r="E6103" t="inlineStr">
        <is>
          <t>ARVIKA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1285-2022</t>
        </is>
      </c>
      <c r="B6104" s="1" t="n">
        <v>44572</v>
      </c>
      <c r="C6104" s="1" t="n">
        <v>45736</v>
      </c>
      <c r="D6104" t="inlineStr">
        <is>
          <t>VÄRMLANDS LÄN</t>
        </is>
      </c>
      <c r="E6104" t="inlineStr">
        <is>
          <t>SÄFFLE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1301-2022</t>
        </is>
      </c>
      <c r="B6105" s="1" t="n">
        <v>44572</v>
      </c>
      <c r="C6105" s="1" t="n">
        <v>45736</v>
      </c>
      <c r="D6105" t="inlineStr">
        <is>
          <t>VÄRMLANDS LÄN</t>
        </is>
      </c>
      <c r="E6105" t="inlineStr">
        <is>
          <t>SUNNE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1330-2022</t>
        </is>
      </c>
      <c r="B6106" s="1" t="n">
        <v>44572</v>
      </c>
      <c r="C6106" s="1" t="n">
        <v>45736</v>
      </c>
      <c r="D6106" t="inlineStr">
        <is>
          <t>VÄRMLANDS LÄN</t>
        </is>
      </c>
      <c r="E6106" t="inlineStr">
        <is>
          <t>KIL</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1449-2022</t>
        </is>
      </c>
      <c r="B6107" s="1" t="n">
        <v>44573</v>
      </c>
      <c r="C6107" s="1" t="n">
        <v>45736</v>
      </c>
      <c r="D6107" t="inlineStr">
        <is>
          <t>VÄRMLANDS LÄN</t>
        </is>
      </c>
      <c r="E6107" t="inlineStr">
        <is>
          <t>EDA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1453-2022</t>
        </is>
      </c>
      <c r="B6108" s="1" t="n">
        <v>44573</v>
      </c>
      <c r="C6108" s="1" t="n">
        <v>45736</v>
      </c>
      <c r="D6108" t="inlineStr">
        <is>
          <t>VÄRMLANDS LÄN</t>
        </is>
      </c>
      <c r="E6108" t="inlineStr">
        <is>
          <t>ARVIKA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1405-2022</t>
        </is>
      </c>
      <c r="B6109" s="1" t="n">
        <v>44573</v>
      </c>
      <c r="C6109" s="1" t="n">
        <v>45736</v>
      </c>
      <c r="D6109" t="inlineStr">
        <is>
          <t>VÄRMLANDS LÄN</t>
        </is>
      </c>
      <c r="E6109" t="inlineStr">
        <is>
          <t>EDA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1496-2022</t>
        </is>
      </c>
      <c r="B6110" s="1" t="n">
        <v>44573</v>
      </c>
      <c r="C6110" s="1" t="n">
        <v>45736</v>
      </c>
      <c r="D6110" t="inlineStr">
        <is>
          <t>VÄRMLANDS LÄN</t>
        </is>
      </c>
      <c r="E6110" t="inlineStr">
        <is>
          <t>KARLSTAD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1418-2022</t>
        </is>
      </c>
      <c r="B6111" s="1" t="n">
        <v>44573</v>
      </c>
      <c r="C6111" s="1" t="n">
        <v>45736</v>
      </c>
      <c r="D6111" t="inlineStr">
        <is>
          <t>VÄRMLANDS LÄN</t>
        </is>
      </c>
      <c r="E6111" t="inlineStr">
        <is>
          <t>ÅRJÄNG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1450-2022</t>
        </is>
      </c>
      <c r="B6112" s="1" t="n">
        <v>44573</v>
      </c>
      <c r="C6112" s="1" t="n">
        <v>45736</v>
      </c>
      <c r="D6112" t="inlineStr">
        <is>
          <t>VÄRMLANDS LÄN</t>
        </is>
      </c>
      <c r="E6112" t="inlineStr">
        <is>
          <t>KRISTINEHAMN</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1504-2022</t>
        </is>
      </c>
      <c r="B6113" s="1" t="n">
        <v>44573</v>
      </c>
      <c r="C6113" s="1" t="n">
        <v>45736</v>
      </c>
      <c r="D6113" t="inlineStr">
        <is>
          <t>VÄRMLANDS LÄN</t>
        </is>
      </c>
      <c r="E6113" t="inlineStr">
        <is>
          <t>ARVIKA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1574-2022</t>
        </is>
      </c>
      <c r="B6114" s="1" t="n">
        <v>44573</v>
      </c>
      <c r="C6114" s="1" t="n">
        <v>45736</v>
      </c>
      <c r="D6114" t="inlineStr">
        <is>
          <t>VÄRMLANDS LÄN</t>
        </is>
      </c>
      <c r="E6114" t="inlineStr">
        <is>
          <t>ÅRJÄNG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1567-2022</t>
        </is>
      </c>
      <c r="B6115" s="1" t="n">
        <v>44573</v>
      </c>
      <c r="C6115" s="1" t="n">
        <v>45736</v>
      </c>
      <c r="D6115" t="inlineStr">
        <is>
          <t>VÄRMLANDS LÄN</t>
        </is>
      </c>
      <c r="E6115" t="inlineStr">
        <is>
          <t>ÅRJÄNG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1605-2022</t>
        </is>
      </c>
      <c r="B6116" s="1" t="n">
        <v>44573</v>
      </c>
      <c r="C6116" s="1" t="n">
        <v>45736</v>
      </c>
      <c r="D6116" t="inlineStr">
        <is>
          <t>VÄRMLANDS LÄN</t>
        </is>
      </c>
      <c r="E6116" t="inlineStr">
        <is>
          <t>SUNNE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1674-2022</t>
        </is>
      </c>
      <c r="B6117" s="1" t="n">
        <v>44574</v>
      </c>
      <c r="C6117" s="1" t="n">
        <v>45736</v>
      </c>
      <c r="D6117" t="inlineStr">
        <is>
          <t>VÄRMLANDS LÄN</t>
        </is>
      </c>
      <c r="E6117" t="inlineStr">
        <is>
          <t>ARVIKA</t>
        </is>
      </c>
      <c r="F6117" t="inlineStr">
        <is>
          <t>Bergvik skog väst AB</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1723-2022</t>
        </is>
      </c>
      <c r="B6118" s="1" t="n">
        <v>44574</v>
      </c>
      <c r="C6118" s="1" t="n">
        <v>45736</v>
      </c>
      <c r="D6118" t="inlineStr">
        <is>
          <t>VÄRMLANDS LÄN</t>
        </is>
      </c>
      <c r="E6118" t="inlineStr">
        <is>
          <t>ARVIKA</t>
        </is>
      </c>
      <c r="F6118" t="inlineStr">
        <is>
          <t>Bergvik skog väst AB</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1759-2022</t>
        </is>
      </c>
      <c r="B6119" s="1" t="n">
        <v>44574</v>
      </c>
      <c r="C6119" s="1" t="n">
        <v>45736</v>
      </c>
      <c r="D6119" t="inlineStr">
        <is>
          <t>VÄRMLANDS LÄN</t>
        </is>
      </c>
      <c r="E6119" t="inlineStr">
        <is>
          <t>SUNNE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1737-2022</t>
        </is>
      </c>
      <c r="B6120" s="1" t="n">
        <v>44574</v>
      </c>
      <c r="C6120" s="1" t="n">
        <v>45736</v>
      </c>
      <c r="D6120" t="inlineStr">
        <is>
          <t>VÄRMLANDS LÄN</t>
        </is>
      </c>
      <c r="E6120" t="inlineStr">
        <is>
          <t>ARVIKA</t>
        </is>
      </c>
      <c r="F6120" t="inlineStr">
        <is>
          <t>Bergvik skog väst AB</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1783-2022</t>
        </is>
      </c>
      <c r="B6121" s="1" t="n">
        <v>44574</v>
      </c>
      <c r="C6121" s="1" t="n">
        <v>45736</v>
      </c>
      <c r="D6121" t="inlineStr">
        <is>
          <t>VÄRMLANDS LÄN</t>
        </is>
      </c>
      <c r="E6121" t="inlineStr">
        <is>
          <t>SÄFFLE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1839-2022</t>
        </is>
      </c>
      <c r="B6122" s="1" t="n">
        <v>44574</v>
      </c>
      <c r="C6122" s="1" t="n">
        <v>45736</v>
      </c>
      <c r="D6122" t="inlineStr">
        <is>
          <t>VÄRMLANDS LÄN</t>
        </is>
      </c>
      <c r="E6122" t="inlineStr">
        <is>
          <t>TORSBY</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1811-2022</t>
        </is>
      </c>
      <c r="B6123" s="1" t="n">
        <v>44574</v>
      </c>
      <c r="C6123" s="1" t="n">
        <v>45736</v>
      </c>
      <c r="D6123" t="inlineStr">
        <is>
          <t>VÄRMLANDS LÄN</t>
        </is>
      </c>
      <c r="E6123" t="inlineStr">
        <is>
          <t>KARLSTAD</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1911-2022</t>
        </is>
      </c>
      <c r="B6124" s="1" t="n">
        <v>44575</v>
      </c>
      <c r="C6124" s="1" t="n">
        <v>45736</v>
      </c>
      <c r="D6124" t="inlineStr">
        <is>
          <t>VÄRMLANDS LÄN</t>
        </is>
      </c>
      <c r="E6124" t="inlineStr">
        <is>
          <t>TORSBY</t>
        </is>
      </c>
      <c r="F6124" t="inlineStr">
        <is>
          <t>Kommuner</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1898-2022</t>
        </is>
      </c>
      <c r="B6125" s="1" t="n">
        <v>44575</v>
      </c>
      <c r="C6125" s="1" t="n">
        <v>45736</v>
      </c>
      <c r="D6125" t="inlineStr">
        <is>
          <t>VÄRMLANDS LÄN</t>
        </is>
      </c>
      <c r="E6125" t="inlineStr">
        <is>
          <t>GRUMS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1928-2022</t>
        </is>
      </c>
      <c r="B6126" s="1" t="n">
        <v>44575</v>
      </c>
      <c r="C6126" s="1" t="n">
        <v>45736</v>
      </c>
      <c r="D6126" t="inlineStr">
        <is>
          <t>VÄRMLANDS LÄN</t>
        </is>
      </c>
      <c r="E6126" t="inlineStr">
        <is>
          <t>EDA</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1932-2022</t>
        </is>
      </c>
      <c r="B6127" s="1" t="n">
        <v>44575</v>
      </c>
      <c r="C6127" s="1" t="n">
        <v>45736</v>
      </c>
      <c r="D6127" t="inlineStr">
        <is>
          <t>VÄRMLANDS LÄN</t>
        </is>
      </c>
      <c r="E6127" t="inlineStr">
        <is>
          <t>ÅRJÄNG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2062-2022</t>
        </is>
      </c>
      <c r="B6128" s="1" t="n">
        <v>44575</v>
      </c>
      <c r="C6128" s="1" t="n">
        <v>45736</v>
      </c>
      <c r="D6128" t="inlineStr">
        <is>
          <t>VÄRMLANDS LÄN</t>
        </is>
      </c>
      <c r="E6128" t="inlineStr">
        <is>
          <t>ÅRJÄNG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2087-2022</t>
        </is>
      </c>
      <c r="B6129" s="1" t="n">
        <v>44576</v>
      </c>
      <c r="C6129" s="1" t="n">
        <v>45736</v>
      </c>
      <c r="D6129" t="inlineStr">
        <is>
          <t>VÄRMLANDS LÄN</t>
        </is>
      </c>
      <c r="E6129" t="inlineStr">
        <is>
          <t>KRISTINEHAMN</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2088-2022</t>
        </is>
      </c>
      <c r="B6130" s="1" t="n">
        <v>44576</v>
      </c>
      <c r="C6130" s="1" t="n">
        <v>45736</v>
      </c>
      <c r="D6130" t="inlineStr">
        <is>
          <t>VÄRMLANDS LÄN</t>
        </is>
      </c>
      <c r="E6130" t="inlineStr">
        <is>
          <t>KRISTINEHAMN</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2086-2022</t>
        </is>
      </c>
      <c r="B6131" s="1" t="n">
        <v>44576</v>
      </c>
      <c r="C6131" s="1" t="n">
        <v>45736</v>
      </c>
      <c r="D6131" t="inlineStr">
        <is>
          <t>VÄRMLANDS LÄN</t>
        </is>
      </c>
      <c r="E6131" t="inlineStr">
        <is>
          <t>GRUMS</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2109-2022</t>
        </is>
      </c>
      <c r="B6132" s="1" t="n">
        <v>44577</v>
      </c>
      <c r="C6132" s="1" t="n">
        <v>45736</v>
      </c>
      <c r="D6132" t="inlineStr">
        <is>
          <t>VÄRMLANDS LÄN</t>
        </is>
      </c>
      <c r="E6132" t="inlineStr">
        <is>
          <t>KRISTINEHAMN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2091-2022</t>
        </is>
      </c>
      <c r="B6133" s="1" t="n">
        <v>44577</v>
      </c>
      <c r="C6133" s="1" t="n">
        <v>45736</v>
      </c>
      <c r="D6133" t="inlineStr">
        <is>
          <t>VÄRMLANDS LÄN</t>
        </is>
      </c>
      <c r="E6133" t="inlineStr">
        <is>
          <t>ÅRJÄNG</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2089-2022</t>
        </is>
      </c>
      <c r="B6134" s="1" t="n">
        <v>44577</v>
      </c>
      <c r="C6134" s="1" t="n">
        <v>45736</v>
      </c>
      <c r="D6134" t="inlineStr">
        <is>
          <t>VÄRMLANDS LÄN</t>
        </is>
      </c>
      <c r="E6134" t="inlineStr">
        <is>
          <t>GRUMS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2135-2022</t>
        </is>
      </c>
      <c r="B6135" s="1" t="n">
        <v>44578</v>
      </c>
      <c r="C6135" s="1" t="n">
        <v>45736</v>
      </c>
      <c r="D6135" t="inlineStr">
        <is>
          <t>VÄRMLANDS LÄN</t>
        </is>
      </c>
      <c r="E6135" t="inlineStr">
        <is>
          <t>KARLSTAD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2184-2022</t>
        </is>
      </c>
      <c r="B6136" s="1" t="n">
        <v>44578</v>
      </c>
      <c r="C6136" s="1" t="n">
        <v>45736</v>
      </c>
      <c r="D6136" t="inlineStr">
        <is>
          <t>VÄRMLANDS LÄN</t>
        </is>
      </c>
      <c r="E6136" t="inlineStr">
        <is>
          <t>ÅRJÄNG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2214-2022</t>
        </is>
      </c>
      <c r="B6137" s="1" t="n">
        <v>44578</v>
      </c>
      <c r="C6137" s="1" t="n">
        <v>45736</v>
      </c>
      <c r="D6137" t="inlineStr">
        <is>
          <t>VÄRMLANDS LÄN</t>
        </is>
      </c>
      <c r="E6137" t="inlineStr">
        <is>
          <t>ARVIKA</t>
        </is>
      </c>
      <c r="F6137" t="inlineStr">
        <is>
          <t>Bergvik skog väst AB</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2278-2022</t>
        </is>
      </c>
      <c r="B6138" s="1" t="n">
        <v>44578</v>
      </c>
      <c r="C6138" s="1" t="n">
        <v>45736</v>
      </c>
      <c r="D6138" t="inlineStr">
        <is>
          <t>VÄRMLANDS LÄN</t>
        </is>
      </c>
      <c r="E6138" t="inlineStr">
        <is>
          <t>FORSHAGA</t>
        </is>
      </c>
      <c r="F6138" t="inlineStr">
        <is>
          <t>Bergvik skog väst AB</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2177-2022</t>
        </is>
      </c>
      <c r="B6139" s="1" t="n">
        <v>44578</v>
      </c>
      <c r="C6139" s="1" t="n">
        <v>45736</v>
      </c>
      <c r="D6139" t="inlineStr">
        <is>
          <t>VÄRMLANDS LÄN</t>
        </is>
      </c>
      <c r="E6139" t="inlineStr">
        <is>
          <t>SUNNE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2314-2022</t>
        </is>
      </c>
      <c r="B6140" s="1" t="n">
        <v>44578</v>
      </c>
      <c r="C6140" s="1" t="n">
        <v>45736</v>
      </c>
      <c r="D6140" t="inlineStr">
        <is>
          <t>VÄRMLANDS LÄN</t>
        </is>
      </c>
      <c r="E6140" t="inlineStr">
        <is>
          <t>KIL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2440-2022</t>
        </is>
      </c>
      <c r="B6141" s="1" t="n">
        <v>44579</v>
      </c>
      <c r="C6141" s="1" t="n">
        <v>45736</v>
      </c>
      <c r="D6141" t="inlineStr">
        <is>
          <t>VÄRMLANDS LÄN</t>
        </is>
      </c>
      <c r="E6141" t="inlineStr">
        <is>
          <t>FILIPSTAD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2384-2022</t>
        </is>
      </c>
      <c r="B6142" s="1" t="n">
        <v>44579</v>
      </c>
      <c r="C6142" s="1" t="n">
        <v>45736</v>
      </c>
      <c r="D6142" t="inlineStr">
        <is>
          <t>VÄRMLANDS LÄN</t>
        </is>
      </c>
      <c r="E6142" t="inlineStr">
        <is>
          <t>SUNNE</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2414-2022</t>
        </is>
      </c>
      <c r="B6143" s="1" t="n">
        <v>44579</v>
      </c>
      <c r="C6143" s="1" t="n">
        <v>45736</v>
      </c>
      <c r="D6143" t="inlineStr">
        <is>
          <t>VÄRMLANDS LÄN</t>
        </is>
      </c>
      <c r="E6143" t="inlineStr">
        <is>
          <t>TORSBY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2421-2022</t>
        </is>
      </c>
      <c r="B6144" s="1" t="n">
        <v>44579</v>
      </c>
      <c r="C6144" s="1" t="n">
        <v>45736</v>
      </c>
      <c r="D6144" t="inlineStr">
        <is>
          <t>VÄRMLANDS LÄN</t>
        </is>
      </c>
      <c r="E6144" t="inlineStr">
        <is>
          <t>TORSBY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2397-2022</t>
        </is>
      </c>
      <c r="B6145" s="1" t="n">
        <v>44579</v>
      </c>
      <c r="C6145" s="1" t="n">
        <v>45736</v>
      </c>
      <c r="D6145" t="inlineStr">
        <is>
          <t>VÄRMLANDS LÄN</t>
        </is>
      </c>
      <c r="E6145" t="inlineStr">
        <is>
          <t>SUNNE</t>
        </is>
      </c>
      <c r="G6145" t="n">
        <v>9.5</v>
      </c>
      <c r="H6145" t="n">
        <v>0</v>
      </c>
      <c r="I6145" t="n">
        <v>0</v>
      </c>
      <c r="J6145" t="n">
        <v>0</v>
      </c>
      <c r="K6145" t="n">
        <v>0</v>
      </c>
      <c r="L6145" t="n">
        <v>0</v>
      </c>
      <c r="M6145" t="n">
        <v>0</v>
      </c>
      <c r="N6145" t="n">
        <v>0</v>
      </c>
      <c r="O6145" t="n">
        <v>0</v>
      </c>
      <c r="P6145" t="n">
        <v>0</v>
      </c>
      <c r="Q6145" t="n">
        <v>0</v>
      </c>
      <c r="R6145" s="2" t="inlineStr"/>
    </row>
    <row r="6146" ht="15" customHeight="1">
      <c r="A6146" t="inlineStr">
        <is>
          <t>A 2419-2022</t>
        </is>
      </c>
      <c r="B6146" s="1" t="n">
        <v>44579</v>
      </c>
      <c r="C6146" s="1" t="n">
        <v>45736</v>
      </c>
      <c r="D6146" t="inlineStr">
        <is>
          <t>VÄRMLANDS LÄN</t>
        </is>
      </c>
      <c r="E6146" t="inlineStr">
        <is>
          <t>HAGFORS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2443-2022</t>
        </is>
      </c>
      <c r="B6147" s="1" t="n">
        <v>44579</v>
      </c>
      <c r="C6147" s="1" t="n">
        <v>45736</v>
      </c>
      <c r="D6147" t="inlineStr">
        <is>
          <t>VÄRMLANDS LÄN</t>
        </is>
      </c>
      <c r="E6147" t="inlineStr">
        <is>
          <t>FILIPSTAD</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2461-2022</t>
        </is>
      </c>
      <c r="B6148" s="1" t="n">
        <v>44579</v>
      </c>
      <c r="C6148" s="1" t="n">
        <v>45736</v>
      </c>
      <c r="D6148" t="inlineStr">
        <is>
          <t>VÄRMLANDS LÄN</t>
        </is>
      </c>
      <c r="E6148" t="inlineStr">
        <is>
          <t>SUNNE</t>
        </is>
      </c>
      <c r="F6148" t="inlineStr">
        <is>
          <t>Kommuner</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2519-2022</t>
        </is>
      </c>
      <c r="B6149" s="1" t="n">
        <v>44579</v>
      </c>
      <c r="C6149" s="1" t="n">
        <v>45736</v>
      </c>
      <c r="D6149" t="inlineStr">
        <is>
          <t>VÄRMLANDS LÄN</t>
        </is>
      </c>
      <c r="E6149" t="inlineStr">
        <is>
          <t>SUNNE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2691-2022</t>
        </is>
      </c>
      <c r="B6150" s="1" t="n">
        <v>44580</v>
      </c>
      <c r="C6150" s="1" t="n">
        <v>45736</v>
      </c>
      <c r="D6150" t="inlineStr">
        <is>
          <t>VÄRMLANDS LÄN</t>
        </is>
      </c>
      <c r="E6150" t="inlineStr">
        <is>
          <t>SUNNE</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2699-2022</t>
        </is>
      </c>
      <c r="B6151" s="1" t="n">
        <v>44580</v>
      </c>
      <c r="C6151" s="1" t="n">
        <v>45736</v>
      </c>
      <c r="D6151" t="inlineStr">
        <is>
          <t>VÄRMLANDS LÄN</t>
        </is>
      </c>
      <c r="E6151" t="inlineStr">
        <is>
          <t>TORSBY</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2717-2022</t>
        </is>
      </c>
      <c r="B6152" s="1" t="n">
        <v>44580</v>
      </c>
      <c r="C6152" s="1" t="n">
        <v>45736</v>
      </c>
      <c r="D6152" t="inlineStr">
        <is>
          <t>VÄRMLANDS LÄN</t>
        </is>
      </c>
      <c r="E6152" t="inlineStr">
        <is>
          <t>SÄFFLE</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2556-2022</t>
        </is>
      </c>
      <c r="B6153" s="1" t="n">
        <v>44580</v>
      </c>
      <c r="C6153" s="1" t="n">
        <v>45736</v>
      </c>
      <c r="D6153" t="inlineStr">
        <is>
          <t>VÄRMLANDS LÄN</t>
        </is>
      </c>
      <c r="E6153" t="inlineStr">
        <is>
          <t>SÄFFLE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2653-2022</t>
        </is>
      </c>
      <c r="B6154" s="1" t="n">
        <v>44580</v>
      </c>
      <c r="C6154" s="1" t="n">
        <v>45736</v>
      </c>
      <c r="D6154" t="inlineStr">
        <is>
          <t>VÄRMLANDS LÄN</t>
        </is>
      </c>
      <c r="E6154" t="inlineStr">
        <is>
          <t>ARVIKA</t>
        </is>
      </c>
      <c r="F6154" t="inlineStr">
        <is>
          <t>Bergvik skog väst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2744-2022</t>
        </is>
      </c>
      <c r="B6155" s="1" t="n">
        <v>44580</v>
      </c>
      <c r="C6155" s="1" t="n">
        <v>45736</v>
      </c>
      <c r="D6155" t="inlineStr">
        <is>
          <t>VÄRMLANDS LÄN</t>
        </is>
      </c>
      <c r="E6155" t="inlineStr">
        <is>
          <t>SÄFFLE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2743-2022</t>
        </is>
      </c>
      <c r="B6156" s="1" t="n">
        <v>44580</v>
      </c>
      <c r="C6156" s="1" t="n">
        <v>45736</v>
      </c>
      <c r="D6156" t="inlineStr">
        <is>
          <t>VÄRMLANDS LÄN</t>
        </is>
      </c>
      <c r="E6156" t="inlineStr">
        <is>
          <t>SÄFFLE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2818-2022</t>
        </is>
      </c>
      <c r="B6157" s="1" t="n">
        <v>44581</v>
      </c>
      <c r="C6157" s="1" t="n">
        <v>45736</v>
      </c>
      <c r="D6157" t="inlineStr">
        <is>
          <t>VÄRMLANDS LÄN</t>
        </is>
      </c>
      <c r="E6157" t="inlineStr">
        <is>
          <t>FORSHAGA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2843-2022</t>
        </is>
      </c>
      <c r="B6158" s="1" t="n">
        <v>44581</v>
      </c>
      <c r="C6158" s="1" t="n">
        <v>45736</v>
      </c>
      <c r="D6158" t="inlineStr">
        <is>
          <t>VÄRMLANDS LÄN</t>
        </is>
      </c>
      <c r="E6158" t="inlineStr">
        <is>
          <t>FORSHAGA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2930-2022</t>
        </is>
      </c>
      <c r="B6159" s="1" t="n">
        <v>44581</v>
      </c>
      <c r="C6159" s="1" t="n">
        <v>45736</v>
      </c>
      <c r="D6159" t="inlineStr">
        <is>
          <t>VÄRMLANDS LÄN</t>
        </is>
      </c>
      <c r="E6159" t="inlineStr">
        <is>
          <t>SUNNE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2966-2022</t>
        </is>
      </c>
      <c r="B6160" s="1" t="n">
        <v>44581</v>
      </c>
      <c r="C6160" s="1" t="n">
        <v>45736</v>
      </c>
      <c r="D6160" t="inlineStr">
        <is>
          <t>VÄRMLANDS LÄN</t>
        </is>
      </c>
      <c r="E6160" t="inlineStr">
        <is>
          <t>ÅRJÄNG</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2980-2022</t>
        </is>
      </c>
      <c r="B6161" s="1" t="n">
        <v>44581</v>
      </c>
      <c r="C6161" s="1" t="n">
        <v>45736</v>
      </c>
      <c r="D6161" t="inlineStr">
        <is>
          <t>VÄRMLANDS LÄN</t>
        </is>
      </c>
      <c r="E6161" t="inlineStr">
        <is>
          <t>SUNNE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2985-2022</t>
        </is>
      </c>
      <c r="B6162" s="1" t="n">
        <v>44581</v>
      </c>
      <c r="C6162" s="1" t="n">
        <v>45736</v>
      </c>
      <c r="D6162" t="inlineStr">
        <is>
          <t>VÄRMLANDS LÄN</t>
        </is>
      </c>
      <c r="E6162" t="inlineStr">
        <is>
          <t>SUNNE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2812-2022</t>
        </is>
      </c>
      <c r="B6163" s="1" t="n">
        <v>44581</v>
      </c>
      <c r="C6163" s="1" t="n">
        <v>45736</v>
      </c>
      <c r="D6163" t="inlineStr">
        <is>
          <t>VÄRMLANDS LÄN</t>
        </is>
      </c>
      <c r="E6163" t="inlineStr">
        <is>
          <t>KARLSTAD</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2834-2022</t>
        </is>
      </c>
      <c r="B6164" s="1" t="n">
        <v>44581</v>
      </c>
      <c r="C6164" s="1" t="n">
        <v>45736</v>
      </c>
      <c r="D6164" t="inlineStr">
        <is>
          <t>VÄRMLANDS LÄN</t>
        </is>
      </c>
      <c r="E6164" t="inlineStr">
        <is>
          <t>FORSHAGA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2862-2022</t>
        </is>
      </c>
      <c r="B6165" s="1" t="n">
        <v>44581</v>
      </c>
      <c r="C6165" s="1" t="n">
        <v>45736</v>
      </c>
      <c r="D6165" t="inlineStr">
        <is>
          <t>VÄRMLANDS LÄN</t>
        </is>
      </c>
      <c r="E6165" t="inlineStr">
        <is>
          <t>SÄFFLE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2988-2022</t>
        </is>
      </c>
      <c r="B6166" s="1" t="n">
        <v>44581</v>
      </c>
      <c r="C6166" s="1" t="n">
        <v>45736</v>
      </c>
      <c r="D6166" t="inlineStr">
        <is>
          <t>VÄRMLANDS LÄN</t>
        </is>
      </c>
      <c r="E6166" t="inlineStr">
        <is>
          <t>SÄFFLE</t>
        </is>
      </c>
      <c r="G6166" t="n">
        <v>10.4</v>
      </c>
      <c r="H6166" t="n">
        <v>0</v>
      </c>
      <c r="I6166" t="n">
        <v>0</v>
      </c>
      <c r="J6166" t="n">
        <v>0</v>
      </c>
      <c r="K6166" t="n">
        <v>0</v>
      </c>
      <c r="L6166" t="n">
        <v>0</v>
      </c>
      <c r="M6166" t="n">
        <v>0</v>
      </c>
      <c r="N6166" t="n">
        <v>0</v>
      </c>
      <c r="O6166" t="n">
        <v>0</v>
      </c>
      <c r="P6166" t="n">
        <v>0</v>
      </c>
      <c r="Q6166" t="n">
        <v>0</v>
      </c>
      <c r="R6166" s="2" t="inlineStr"/>
    </row>
    <row r="6167" ht="15" customHeight="1">
      <c r="A6167" t="inlineStr">
        <is>
          <t>A 3028-2022</t>
        </is>
      </c>
      <c r="B6167" s="1" t="n">
        <v>44582</v>
      </c>
      <c r="C6167" s="1" t="n">
        <v>45736</v>
      </c>
      <c r="D6167" t="inlineStr">
        <is>
          <t>VÄRMLANDS LÄN</t>
        </is>
      </c>
      <c r="E6167" t="inlineStr">
        <is>
          <t>EDA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2978-2022</t>
        </is>
      </c>
      <c r="B6168" s="1" t="n">
        <v>44581</v>
      </c>
      <c r="C6168" s="1" t="n">
        <v>45736</v>
      </c>
      <c r="D6168" t="inlineStr">
        <is>
          <t>VÄRMLANDS LÄN</t>
        </is>
      </c>
      <c r="E6168" t="inlineStr">
        <is>
          <t>SUNNE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2990-2022</t>
        </is>
      </c>
      <c r="B6169" s="1" t="n">
        <v>44581</v>
      </c>
      <c r="C6169" s="1" t="n">
        <v>45736</v>
      </c>
      <c r="D6169" t="inlineStr">
        <is>
          <t>VÄRMLANDS LÄN</t>
        </is>
      </c>
      <c r="E6169" t="inlineStr">
        <is>
          <t>KIL</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2994-2022</t>
        </is>
      </c>
      <c r="B6170" s="1" t="n">
        <v>44581</v>
      </c>
      <c r="C6170" s="1" t="n">
        <v>45736</v>
      </c>
      <c r="D6170" t="inlineStr">
        <is>
          <t>VÄRMLANDS LÄN</t>
        </is>
      </c>
      <c r="E6170" t="inlineStr">
        <is>
          <t>KIL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2998-2022</t>
        </is>
      </c>
      <c r="B6171" s="1" t="n">
        <v>44581</v>
      </c>
      <c r="C6171" s="1" t="n">
        <v>45736</v>
      </c>
      <c r="D6171" t="inlineStr">
        <is>
          <t>VÄRMLANDS LÄN</t>
        </is>
      </c>
      <c r="E6171" t="inlineStr">
        <is>
          <t>KIL</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3027-2022</t>
        </is>
      </c>
      <c r="B6172" s="1" t="n">
        <v>44581</v>
      </c>
      <c r="C6172" s="1" t="n">
        <v>45736</v>
      </c>
      <c r="D6172" t="inlineStr">
        <is>
          <t>VÄRMLANDS LÄN</t>
        </is>
      </c>
      <c r="E6172" t="inlineStr">
        <is>
          <t>EDA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2970-2022</t>
        </is>
      </c>
      <c r="B6173" s="1" t="n">
        <v>44581</v>
      </c>
      <c r="C6173" s="1" t="n">
        <v>45736</v>
      </c>
      <c r="D6173" t="inlineStr">
        <is>
          <t>VÄRMLANDS LÄN</t>
        </is>
      </c>
      <c r="E6173" t="inlineStr">
        <is>
          <t>ÅRJÄNG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2989-2022</t>
        </is>
      </c>
      <c r="B6174" s="1" t="n">
        <v>44581</v>
      </c>
      <c r="C6174" s="1" t="n">
        <v>45736</v>
      </c>
      <c r="D6174" t="inlineStr">
        <is>
          <t>VÄRMLANDS LÄN</t>
        </is>
      </c>
      <c r="E6174" t="inlineStr">
        <is>
          <t>SÄFFLE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2993-2022</t>
        </is>
      </c>
      <c r="B6175" s="1" t="n">
        <v>44581</v>
      </c>
      <c r="C6175" s="1" t="n">
        <v>45736</v>
      </c>
      <c r="D6175" t="inlineStr">
        <is>
          <t>VÄRMLANDS LÄN</t>
        </is>
      </c>
      <c r="E6175" t="inlineStr">
        <is>
          <t>KIL</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2997-2022</t>
        </is>
      </c>
      <c r="B6176" s="1" t="n">
        <v>44581</v>
      </c>
      <c r="C6176" s="1" t="n">
        <v>45736</v>
      </c>
      <c r="D6176" t="inlineStr">
        <is>
          <t>VÄRMLANDS LÄN</t>
        </is>
      </c>
      <c r="E6176" t="inlineStr">
        <is>
          <t>KIL</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3029-2022</t>
        </is>
      </c>
      <c r="B6177" s="1" t="n">
        <v>44582</v>
      </c>
      <c r="C6177" s="1" t="n">
        <v>45736</v>
      </c>
      <c r="D6177" t="inlineStr">
        <is>
          <t>VÄRMLANDS LÄN</t>
        </is>
      </c>
      <c r="E6177" t="inlineStr">
        <is>
          <t>EDA</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3071-2022</t>
        </is>
      </c>
      <c r="B6178" s="1" t="n">
        <v>44582</v>
      </c>
      <c r="C6178" s="1" t="n">
        <v>45736</v>
      </c>
      <c r="D6178" t="inlineStr">
        <is>
          <t>VÄRMLANDS LÄN</t>
        </is>
      </c>
      <c r="E6178" t="inlineStr">
        <is>
          <t>TORSBY</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3112-2022</t>
        </is>
      </c>
      <c r="B6179" s="1" t="n">
        <v>44582</v>
      </c>
      <c r="C6179" s="1" t="n">
        <v>45736</v>
      </c>
      <c r="D6179" t="inlineStr">
        <is>
          <t>VÄRMLANDS LÄN</t>
        </is>
      </c>
      <c r="E6179" t="inlineStr">
        <is>
          <t>KIL</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3030-2022</t>
        </is>
      </c>
      <c r="B6180" s="1" t="n">
        <v>44582</v>
      </c>
      <c r="C6180" s="1" t="n">
        <v>45736</v>
      </c>
      <c r="D6180" t="inlineStr">
        <is>
          <t>VÄRMLANDS LÄN</t>
        </is>
      </c>
      <c r="E6180" t="inlineStr">
        <is>
          <t>EDA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3051-2022</t>
        </is>
      </c>
      <c r="B6181" s="1" t="n">
        <v>44582</v>
      </c>
      <c r="C6181" s="1" t="n">
        <v>45736</v>
      </c>
      <c r="D6181" t="inlineStr">
        <is>
          <t>VÄRMLANDS LÄN</t>
        </is>
      </c>
      <c r="E6181" t="inlineStr">
        <is>
          <t>GRUMS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3157-2022</t>
        </is>
      </c>
      <c r="B6182" s="1" t="n">
        <v>44582</v>
      </c>
      <c r="C6182" s="1" t="n">
        <v>45736</v>
      </c>
      <c r="D6182" t="inlineStr">
        <is>
          <t>VÄRMLANDS LÄN</t>
        </is>
      </c>
      <c r="E6182" t="inlineStr">
        <is>
          <t>ÅRJÄNG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3149-2022</t>
        </is>
      </c>
      <c r="B6183" s="1" t="n">
        <v>44582</v>
      </c>
      <c r="C6183" s="1" t="n">
        <v>45736</v>
      </c>
      <c r="D6183" t="inlineStr">
        <is>
          <t>VÄRMLANDS LÄN</t>
        </is>
      </c>
      <c r="E6183" t="inlineStr">
        <is>
          <t>HAGFORS</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3171-2022</t>
        </is>
      </c>
      <c r="B6184" s="1" t="n">
        <v>44582</v>
      </c>
      <c r="C6184" s="1" t="n">
        <v>45736</v>
      </c>
      <c r="D6184" t="inlineStr">
        <is>
          <t>VÄRMLANDS LÄN</t>
        </is>
      </c>
      <c r="E6184" t="inlineStr">
        <is>
          <t>SÄFFLE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3169-2022</t>
        </is>
      </c>
      <c r="B6185" s="1" t="n">
        <v>44582</v>
      </c>
      <c r="C6185" s="1" t="n">
        <v>45736</v>
      </c>
      <c r="D6185" t="inlineStr">
        <is>
          <t>VÄRMLANDS LÄN</t>
        </is>
      </c>
      <c r="E6185" t="inlineStr">
        <is>
          <t>SÄFFLE</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3199-2022</t>
        </is>
      </c>
      <c r="B6186" s="1" t="n">
        <v>44582</v>
      </c>
      <c r="C6186" s="1" t="n">
        <v>45736</v>
      </c>
      <c r="D6186" t="inlineStr">
        <is>
          <t>VÄRMLANDS LÄN</t>
        </is>
      </c>
      <c r="E6186" t="inlineStr">
        <is>
          <t>HAGFORS</t>
        </is>
      </c>
      <c r="F6186" t="inlineStr">
        <is>
          <t>Bergvik skog väst AB</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3272-2022</t>
        </is>
      </c>
      <c r="B6187" s="1" t="n">
        <v>44584</v>
      </c>
      <c r="C6187" s="1" t="n">
        <v>45736</v>
      </c>
      <c r="D6187" t="inlineStr">
        <is>
          <t>VÄRMLANDS LÄN</t>
        </is>
      </c>
      <c r="E6187" t="inlineStr">
        <is>
          <t>HAGFORS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3301-2022</t>
        </is>
      </c>
      <c r="B6188" s="1" t="n">
        <v>44584</v>
      </c>
      <c r="C6188" s="1" t="n">
        <v>45736</v>
      </c>
      <c r="D6188" t="inlineStr">
        <is>
          <t>VÄRMLANDS LÄN</t>
        </is>
      </c>
      <c r="E6188" t="inlineStr">
        <is>
          <t>KRISTINEHAMN</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3278-2022</t>
        </is>
      </c>
      <c r="B6189" s="1" t="n">
        <v>44584</v>
      </c>
      <c r="C6189" s="1" t="n">
        <v>45736</v>
      </c>
      <c r="D6189" t="inlineStr">
        <is>
          <t>VÄRMLANDS LÄN</t>
        </is>
      </c>
      <c r="E6189" t="inlineStr">
        <is>
          <t>KRISTINEHAMN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3285-2022</t>
        </is>
      </c>
      <c r="B6190" s="1" t="n">
        <v>44584</v>
      </c>
      <c r="C6190" s="1" t="n">
        <v>45736</v>
      </c>
      <c r="D6190" t="inlineStr">
        <is>
          <t>VÄRMLANDS LÄN</t>
        </is>
      </c>
      <c r="E6190" t="inlineStr">
        <is>
          <t>EDA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3292-2022</t>
        </is>
      </c>
      <c r="B6191" s="1" t="n">
        <v>44584</v>
      </c>
      <c r="C6191" s="1" t="n">
        <v>45736</v>
      </c>
      <c r="D6191" t="inlineStr">
        <is>
          <t>VÄRMLANDS LÄN</t>
        </is>
      </c>
      <c r="E6191" t="inlineStr">
        <is>
          <t>ÅRJÄNG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3302-2022</t>
        </is>
      </c>
      <c r="B6192" s="1" t="n">
        <v>44584</v>
      </c>
      <c r="C6192" s="1" t="n">
        <v>45736</v>
      </c>
      <c r="D6192" t="inlineStr">
        <is>
          <t>VÄRMLANDS LÄN</t>
        </is>
      </c>
      <c r="E6192" t="inlineStr">
        <is>
          <t>KRISTINEHAMN</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3348-2022</t>
        </is>
      </c>
      <c r="B6193" s="1" t="n">
        <v>44585</v>
      </c>
      <c r="C6193" s="1" t="n">
        <v>45736</v>
      </c>
      <c r="D6193" t="inlineStr">
        <is>
          <t>VÄRMLANDS LÄN</t>
        </is>
      </c>
      <c r="E6193" t="inlineStr">
        <is>
          <t>EDA</t>
        </is>
      </c>
      <c r="F6193" t="inlineStr">
        <is>
          <t>Bergvik skog väst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3355-2022</t>
        </is>
      </c>
      <c r="B6194" s="1" t="n">
        <v>44585</v>
      </c>
      <c r="C6194" s="1" t="n">
        <v>45736</v>
      </c>
      <c r="D6194" t="inlineStr">
        <is>
          <t>VÄRMLANDS LÄN</t>
        </is>
      </c>
      <c r="E6194" t="inlineStr">
        <is>
          <t>ARVIKA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3369-2022</t>
        </is>
      </c>
      <c r="B6195" s="1" t="n">
        <v>44585</v>
      </c>
      <c r="C6195" s="1" t="n">
        <v>45736</v>
      </c>
      <c r="D6195" t="inlineStr">
        <is>
          <t>VÄRMLANDS LÄN</t>
        </is>
      </c>
      <c r="E6195" t="inlineStr">
        <is>
          <t>TORSBY</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3385-2022</t>
        </is>
      </c>
      <c r="B6196" s="1" t="n">
        <v>44585</v>
      </c>
      <c r="C6196" s="1" t="n">
        <v>45736</v>
      </c>
      <c r="D6196" t="inlineStr">
        <is>
          <t>VÄRMLANDS LÄN</t>
        </is>
      </c>
      <c r="E6196" t="inlineStr">
        <is>
          <t>TORSBY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3397-2022</t>
        </is>
      </c>
      <c r="B6197" s="1" t="n">
        <v>44585</v>
      </c>
      <c r="C6197" s="1" t="n">
        <v>45736</v>
      </c>
      <c r="D6197" t="inlineStr">
        <is>
          <t>VÄRMLANDS LÄN</t>
        </is>
      </c>
      <c r="E6197" t="inlineStr">
        <is>
          <t>TORSBY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3319-2022</t>
        </is>
      </c>
      <c r="B6198" s="1" t="n">
        <v>44585</v>
      </c>
      <c r="C6198" s="1" t="n">
        <v>45736</v>
      </c>
      <c r="D6198" t="inlineStr">
        <is>
          <t>VÄRMLANDS LÄN</t>
        </is>
      </c>
      <c r="E6198" t="inlineStr">
        <is>
          <t>ARVIKA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3387-2022</t>
        </is>
      </c>
      <c r="B6199" s="1" t="n">
        <v>44585</v>
      </c>
      <c r="C6199" s="1" t="n">
        <v>45736</v>
      </c>
      <c r="D6199" t="inlineStr">
        <is>
          <t>VÄRMLANDS LÄN</t>
        </is>
      </c>
      <c r="E6199" t="inlineStr">
        <is>
          <t>TORSBY</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3382-2022</t>
        </is>
      </c>
      <c r="B6200" s="1" t="n">
        <v>44585</v>
      </c>
      <c r="C6200" s="1" t="n">
        <v>45736</v>
      </c>
      <c r="D6200" t="inlineStr">
        <is>
          <t>VÄRMLANDS LÄN</t>
        </is>
      </c>
      <c r="E6200" t="inlineStr">
        <is>
          <t>TORSBY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3390-2022</t>
        </is>
      </c>
      <c r="B6201" s="1" t="n">
        <v>44585</v>
      </c>
      <c r="C6201" s="1" t="n">
        <v>45736</v>
      </c>
      <c r="D6201" t="inlineStr">
        <is>
          <t>VÄRMLANDS LÄN</t>
        </is>
      </c>
      <c r="E6201" t="inlineStr">
        <is>
          <t>TORSBY</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3440-2022</t>
        </is>
      </c>
      <c r="B6202" s="1" t="n">
        <v>44585</v>
      </c>
      <c r="C6202" s="1" t="n">
        <v>45736</v>
      </c>
      <c r="D6202" t="inlineStr">
        <is>
          <t>VÄRMLANDS LÄN</t>
        </is>
      </c>
      <c r="E6202" t="inlineStr">
        <is>
          <t>KARLSTAD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3393-2022</t>
        </is>
      </c>
      <c r="B6203" s="1" t="n">
        <v>44585</v>
      </c>
      <c r="C6203" s="1" t="n">
        <v>45736</v>
      </c>
      <c r="D6203" t="inlineStr">
        <is>
          <t>VÄRMLANDS LÄN</t>
        </is>
      </c>
      <c r="E6203" t="inlineStr">
        <is>
          <t>TORSBY</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3443-2022</t>
        </is>
      </c>
      <c r="B6204" s="1" t="n">
        <v>44585</v>
      </c>
      <c r="C6204" s="1" t="n">
        <v>45736</v>
      </c>
      <c r="D6204" t="inlineStr">
        <is>
          <t>VÄRMLANDS LÄN</t>
        </is>
      </c>
      <c r="E6204" t="inlineStr">
        <is>
          <t>ARVIKA</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3530-2022</t>
        </is>
      </c>
      <c r="B6205" s="1" t="n">
        <v>44585</v>
      </c>
      <c r="C6205" s="1" t="n">
        <v>45736</v>
      </c>
      <c r="D6205" t="inlineStr">
        <is>
          <t>VÄRMLANDS LÄN</t>
        </is>
      </c>
      <c r="E6205" t="inlineStr">
        <is>
          <t>SUNNE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3482-2022</t>
        </is>
      </c>
      <c r="B6206" s="1" t="n">
        <v>44585</v>
      </c>
      <c r="C6206" s="1" t="n">
        <v>45736</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3471-2022</t>
        </is>
      </c>
      <c r="B6207" s="1" t="n">
        <v>44585</v>
      </c>
      <c r="C6207" s="1" t="n">
        <v>45736</v>
      </c>
      <c r="D6207" t="inlineStr">
        <is>
          <t>VÄRMLANDS LÄN</t>
        </is>
      </c>
      <c r="E6207" t="inlineStr">
        <is>
          <t>ÅRJÄNG</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3582-2022</t>
        </is>
      </c>
      <c r="B6208" s="1" t="n">
        <v>44586</v>
      </c>
      <c r="C6208" s="1" t="n">
        <v>45736</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3643-2022</t>
        </is>
      </c>
      <c r="B6209" s="1" t="n">
        <v>44586</v>
      </c>
      <c r="C6209" s="1" t="n">
        <v>45736</v>
      </c>
      <c r="D6209" t="inlineStr">
        <is>
          <t>VÄRMLANDS LÄN</t>
        </is>
      </c>
      <c r="E6209" t="inlineStr">
        <is>
          <t>ARVIKA</t>
        </is>
      </c>
      <c r="F6209" t="inlineStr">
        <is>
          <t>Bergvik skog väst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3656-2022</t>
        </is>
      </c>
      <c r="B6210" s="1" t="n">
        <v>44586</v>
      </c>
      <c r="C6210" s="1" t="n">
        <v>45736</v>
      </c>
      <c r="D6210" t="inlineStr">
        <is>
          <t>VÄRMLANDS LÄN</t>
        </is>
      </c>
      <c r="E6210" t="inlineStr">
        <is>
          <t>ÅRJÄNG</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3570-2022</t>
        </is>
      </c>
      <c r="B6211" s="1" t="n">
        <v>44586</v>
      </c>
      <c r="C6211" s="1" t="n">
        <v>45736</v>
      </c>
      <c r="D6211" t="inlineStr">
        <is>
          <t>VÄRMLANDS LÄN</t>
        </is>
      </c>
      <c r="E6211" t="inlineStr">
        <is>
          <t>EDA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3684-2022</t>
        </is>
      </c>
      <c r="B6212" s="1" t="n">
        <v>44586</v>
      </c>
      <c r="C6212" s="1" t="n">
        <v>45736</v>
      </c>
      <c r="D6212" t="inlineStr">
        <is>
          <t>VÄRMLANDS LÄN</t>
        </is>
      </c>
      <c r="E6212" t="inlineStr">
        <is>
          <t>SUNNE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3753-2022</t>
        </is>
      </c>
      <c r="B6213" s="1" t="n">
        <v>44586</v>
      </c>
      <c r="C6213" s="1" t="n">
        <v>45736</v>
      </c>
      <c r="D6213" t="inlineStr">
        <is>
          <t>VÄRMLANDS LÄN</t>
        </is>
      </c>
      <c r="E6213" t="inlineStr">
        <is>
          <t>EDA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3749-2022</t>
        </is>
      </c>
      <c r="B6214" s="1" t="n">
        <v>44586</v>
      </c>
      <c r="C6214" s="1" t="n">
        <v>45736</v>
      </c>
      <c r="D6214" t="inlineStr">
        <is>
          <t>VÄRMLANDS LÄN</t>
        </is>
      </c>
      <c r="E6214" t="inlineStr">
        <is>
          <t>TORSBY</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3580-2022</t>
        </is>
      </c>
      <c r="B6215" s="1" t="n">
        <v>44586</v>
      </c>
      <c r="C6215" s="1" t="n">
        <v>45736</v>
      </c>
      <c r="D6215" t="inlineStr">
        <is>
          <t>VÄRMLANDS LÄN</t>
        </is>
      </c>
      <c r="E6215" t="inlineStr">
        <is>
          <t>ÅRJÄNG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3804-2022</t>
        </is>
      </c>
      <c r="B6216" s="1" t="n">
        <v>44587</v>
      </c>
      <c r="C6216" s="1" t="n">
        <v>45736</v>
      </c>
      <c r="D6216" t="inlineStr">
        <is>
          <t>VÄRMLANDS LÄN</t>
        </is>
      </c>
      <c r="E6216" t="inlineStr">
        <is>
          <t>HAGFORS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3841-2022</t>
        </is>
      </c>
      <c r="B6217" s="1" t="n">
        <v>44587</v>
      </c>
      <c r="C6217" s="1" t="n">
        <v>45736</v>
      </c>
      <c r="D6217" t="inlineStr">
        <is>
          <t>VÄRMLANDS LÄN</t>
        </is>
      </c>
      <c r="E6217" t="inlineStr">
        <is>
          <t>TORSBY</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3887-2022</t>
        </is>
      </c>
      <c r="B6218" s="1" t="n">
        <v>44587</v>
      </c>
      <c r="C6218" s="1" t="n">
        <v>45736</v>
      </c>
      <c r="D6218" t="inlineStr">
        <is>
          <t>VÄRMLANDS LÄN</t>
        </is>
      </c>
      <c r="E6218" t="inlineStr">
        <is>
          <t>TORSBY</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3917-2022</t>
        </is>
      </c>
      <c r="B6219" s="1" t="n">
        <v>44587</v>
      </c>
      <c r="C6219" s="1" t="n">
        <v>45736</v>
      </c>
      <c r="D6219" t="inlineStr">
        <is>
          <t>VÄRMLANDS LÄN</t>
        </is>
      </c>
      <c r="E6219" t="inlineStr">
        <is>
          <t>ÅRJÄNG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3803-2022</t>
        </is>
      </c>
      <c r="B6220" s="1" t="n">
        <v>44587</v>
      </c>
      <c r="C6220" s="1" t="n">
        <v>45736</v>
      </c>
      <c r="D6220" t="inlineStr">
        <is>
          <t>VÄRMLANDS LÄN</t>
        </is>
      </c>
      <c r="E6220" t="inlineStr">
        <is>
          <t>HAGFORS</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3993-2022</t>
        </is>
      </c>
      <c r="B6221" s="1" t="n">
        <v>44587</v>
      </c>
      <c r="C6221" s="1" t="n">
        <v>45736</v>
      </c>
      <c r="D6221" t="inlineStr">
        <is>
          <t>VÄRMLANDS LÄN</t>
        </is>
      </c>
      <c r="E6221" t="inlineStr">
        <is>
          <t>KIL</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3950-2022</t>
        </is>
      </c>
      <c r="B6222" s="1" t="n">
        <v>44587</v>
      </c>
      <c r="C6222" s="1" t="n">
        <v>45736</v>
      </c>
      <c r="D6222" t="inlineStr">
        <is>
          <t>VÄRMLANDS LÄN</t>
        </is>
      </c>
      <c r="E6222" t="inlineStr">
        <is>
          <t>SÄFFLE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3996-2022</t>
        </is>
      </c>
      <c r="B6223" s="1" t="n">
        <v>44587</v>
      </c>
      <c r="C6223" s="1" t="n">
        <v>45736</v>
      </c>
      <c r="D6223" t="inlineStr">
        <is>
          <t>VÄRMLANDS LÄN</t>
        </is>
      </c>
      <c r="E6223" t="inlineStr">
        <is>
          <t>KIL</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3995-2022</t>
        </is>
      </c>
      <c r="B6224" s="1" t="n">
        <v>44587</v>
      </c>
      <c r="C6224" s="1" t="n">
        <v>45736</v>
      </c>
      <c r="D6224" t="inlineStr">
        <is>
          <t>VÄRMLANDS LÄN</t>
        </is>
      </c>
      <c r="E6224" t="inlineStr">
        <is>
          <t>SUNNE</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4191-2022</t>
        </is>
      </c>
      <c r="B6225" s="1" t="n">
        <v>44588</v>
      </c>
      <c r="C6225" s="1" t="n">
        <v>45736</v>
      </c>
      <c r="D6225" t="inlineStr">
        <is>
          <t>VÄRMLANDS LÄN</t>
        </is>
      </c>
      <c r="E6225" t="inlineStr">
        <is>
          <t>FILIPSTAD</t>
        </is>
      </c>
      <c r="F6225" t="inlineStr">
        <is>
          <t>Kommuner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4075-2022</t>
        </is>
      </c>
      <c r="B6226" s="1" t="n">
        <v>44588</v>
      </c>
      <c r="C6226" s="1" t="n">
        <v>45736</v>
      </c>
      <c r="D6226" t="inlineStr">
        <is>
          <t>VÄRMLANDS LÄN</t>
        </is>
      </c>
      <c r="E6226" t="inlineStr">
        <is>
          <t>ARVIKA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4089-2022</t>
        </is>
      </c>
      <c r="B6227" s="1" t="n">
        <v>44588</v>
      </c>
      <c r="C6227" s="1" t="n">
        <v>45736</v>
      </c>
      <c r="D6227" t="inlineStr">
        <is>
          <t>VÄRMLANDS LÄN</t>
        </is>
      </c>
      <c r="E6227" t="inlineStr">
        <is>
          <t>SUNNE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4096-2022</t>
        </is>
      </c>
      <c r="B6228" s="1" t="n">
        <v>44588</v>
      </c>
      <c r="C6228" s="1" t="n">
        <v>45736</v>
      </c>
      <c r="D6228" t="inlineStr">
        <is>
          <t>VÄRMLANDS LÄN</t>
        </is>
      </c>
      <c r="E6228" t="inlineStr">
        <is>
          <t>EDA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4090-2022</t>
        </is>
      </c>
      <c r="B6229" s="1" t="n">
        <v>44588</v>
      </c>
      <c r="C6229" s="1" t="n">
        <v>45736</v>
      </c>
      <c r="D6229" t="inlineStr">
        <is>
          <t>VÄRMLANDS LÄN</t>
        </is>
      </c>
      <c r="E6229" t="inlineStr">
        <is>
          <t>ARVIKA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4172-2022</t>
        </is>
      </c>
      <c r="B6230" s="1" t="n">
        <v>44588</v>
      </c>
      <c r="C6230" s="1" t="n">
        <v>45736</v>
      </c>
      <c r="D6230" t="inlineStr">
        <is>
          <t>VÄRMLANDS LÄN</t>
        </is>
      </c>
      <c r="E6230" t="inlineStr">
        <is>
          <t>TORSBY</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4178-2022</t>
        </is>
      </c>
      <c r="B6231" s="1" t="n">
        <v>44588</v>
      </c>
      <c r="C6231" s="1" t="n">
        <v>45736</v>
      </c>
      <c r="D6231" t="inlineStr">
        <is>
          <t>VÄRMLANDS LÄN</t>
        </is>
      </c>
      <c r="E6231" t="inlineStr">
        <is>
          <t>GRUMS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4188-2022</t>
        </is>
      </c>
      <c r="B6232" s="1" t="n">
        <v>44588</v>
      </c>
      <c r="C6232" s="1" t="n">
        <v>45736</v>
      </c>
      <c r="D6232" t="inlineStr">
        <is>
          <t>VÄRMLANDS LÄN</t>
        </is>
      </c>
      <c r="E6232" t="inlineStr">
        <is>
          <t>KRISTINEHAMN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4284-2022</t>
        </is>
      </c>
      <c r="B6233" s="1" t="n">
        <v>44588</v>
      </c>
      <c r="C6233" s="1" t="n">
        <v>45736</v>
      </c>
      <c r="D6233" t="inlineStr">
        <is>
          <t>VÄRMLANDS LÄN</t>
        </is>
      </c>
      <c r="E6233" t="inlineStr">
        <is>
          <t>KRISTINEHAMN</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4304-2022</t>
        </is>
      </c>
      <c r="B6234" s="1" t="n">
        <v>44588</v>
      </c>
      <c r="C6234" s="1" t="n">
        <v>45736</v>
      </c>
      <c r="D6234" t="inlineStr">
        <is>
          <t>VÄRMLANDS LÄN</t>
        </is>
      </c>
      <c r="E6234" t="inlineStr">
        <is>
          <t>KRISTINEHAMN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4400-2022</t>
        </is>
      </c>
      <c r="B6235" s="1" t="n">
        <v>44588</v>
      </c>
      <c r="C6235" s="1" t="n">
        <v>45736</v>
      </c>
      <c r="D6235" t="inlineStr">
        <is>
          <t>VÄRMLANDS LÄN</t>
        </is>
      </c>
      <c r="E6235" t="inlineStr">
        <is>
          <t>ÅRJÄNG</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4185-2022</t>
        </is>
      </c>
      <c r="B6236" s="1" t="n">
        <v>44588</v>
      </c>
      <c r="C6236" s="1" t="n">
        <v>45736</v>
      </c>
      <c r="D6236" t="inlineStr">
        <is>
          <t>VÄRMLANDS LÄN</t>
        </is>
      </c>
      <c r="E6236" t="inlineStr">
        <is>
          <t>KRISTINEHAMN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4269-2022</t>
        </is>
      </c>
      <c r="B6237" s="1" t="n">
        <v>44588</v>
      </c>
      <c r="C6237" s="1" t="n">
        <v>45736</v>
      </c>
      <c r="D6237" t="inlineStr">
        <is>
          <t>VÄRMLANDS LÄN</t>
        </is>
      </c>
      <c r="E6237" t="inlineStr">
        <is>
          <t>EDA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4049-2022</t>
        </is>
      </c>
      <c r="B6238" s="1" t="n">
        <v>44588</v>
      </c>
      <c r="C6238" s="1" t="n">
        <v>45736</v>
      </c>
      <c r="D6238" t="inlineStr">
        <is>
          <t>VÄRMLANDS LÄN</t>
        </is>
      </c>
      <c r="E6238" t="inlineStr">
        <is>
          <t>ARVIKA</t>
        </is>
      </c>
      <c r="F6238" t="inlineStr">
        <is>
          <t>Bergvik skog väst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4230-2022</t>
        </is>
      </c>
      <c r="B6239" s="1" t="n">
        <v>44588</v>
      </c>
      <c r="C6239" s="1" t="n">
        <v>45736</v>
      </c>
      <c r="D6239" t="inlineStr">
        <is>
          <t>VÄRMLANDS LÄN</t>
        </is>
      </c>
      <c r="E6239" t="inlineStr">
        <is>
          <t>KARLSTAD</t>
        </is>
      </c>
      <c r="F6239" t="inlineStr">
        <is>
          <t>Bergvik skog väst AB</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4299-2022</t>
        </is>
      </c>
      <c r="B6240" s="1" t="n">
        <v>44588</v>
      </c>
      <c r="C6240" s="1" t="n">
        <v>45736</v>
      </c>
      <c r="D6240" t="inlineStr">
        <is>
          <t>VÄRMLANDS LÄN</t>
        </is>
      </c>
      <c r="E6240" t="inlineStr">
        <is>
          <t>ARVIKA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4380-2022</t>
        </is>
      </c>
      <c r="B6241" s="1" t="n">
        <v>44588</v>
      </c>
      <c r="C6241" s="1" t="n">
        <v>45736</v>
      </c>
      <c r="D6241" t="inlineStr">
        <is>
          <t>VÄRMLANDS LÄN</t>
        </is>
      </c>
      <c r="E6241" t="inlineStr">
        <is>
          <t>GRUMS</t>
        </is>
      </c>
      <c r="F6241" t="inlineStr">
        <is>
          <t>Bergvik skog väst AB</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4439-2022</t>
        </is>
      </c>
      <c r="B6242" s="1" t="n">
        <v>44589</v>
      </c>
      <c r="C6242" s="1" t="n">
        <v>45736</v>
      </c>
      <c r="D6242" t="inlineStr">
        <is>
          <t>VÄRMLANDS LÄN</t>
        </is>
      </c>
      <c r="E6242" t="inlineStr">
        <is>
          <t>ARVIKA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4448-2022</t>
        </is>
      </c>
      <c r="B6243" s="1" t="n">
        <v>44589</v>
      </c>
      <c r="C6243" s="1" t="n">
        <v>45736</v>
      </c>
      <c r="D6243" t="inlineStr">
        <is>
          <t>VÄRMLANDS LÄN</t>
        </is>
      </c>
      <c r="E6243" t="inlineStr">
        <is>
          <t>KIL</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4465-2022</t>
        </is>
      </c>
      <c r="B6244" s="1" t="n">
        <v>44589</v>
      </c>
      <c r="C6244" s="1" t="n">
        <v>45736</v>
      </c>
      <c r="D6244" t="inlineStr">
        <is>
          <t>VÄRMLANDS LÄN</t>
        </is>
      </c>
      <c r="E6244" t="inlineStr">
        <is>
          <t>ÅRJÄNG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4445-2022</t>
        </is>
      </c>
      <c r="B6245" s="1" t="n">
        <v>44589</v>
      </c>
      <c r="C6245" s="1" t="n">
        <v>45736</v>
      </c>
      <c r="D6245" t="inlineStr">
        <is>
          <t>VÄRMLANDS LÄN</t>
        </is>
      </c>
      <c r="E6245" t="inlineStr">
        <is>
          <t>KIL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4450-2022</t>
        </is>
      </c>
      <c r="B6246" s="1" t="n">
        <v>44589</v>
      </c>
      <c r="C6246" s="1" t="n">
        <v>45736</v>
      </c>
      <c r="D6246" t="inlineStr">
        <is>
          <t>VÄRMLANDS LÄN</t>
        </is>
      </c>
      <c r="E6246" t="inlineStr">
        <is>
          <t>KIL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4353-2022</t>
        </is>
      </c>
      <c r="B6247" s="1" t="n">
        <v>44589</v>
      </c>
      <c r="C6247" s="1" t="n">
        <v>45736</v>
      </c>
      <c r="D6247" t="inlineStr">
        <is>
          <t>VÄRMLANDS LÄN</t>
        </is>
      </c>
      <c r="E6247" t="inlineStr">
        <is>
          <t>KIL</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4378-2022</t>
        </is>
      </c>
      <c r="B6248" s="1" t="n">
        <v>44589</v>
      </c>
      <c r="C6248" s="1" t="n">
        <v>45736</v>
      </c>
      <c r="D6248" t="inlineStr">
        <is>
          <t>VÄRMLANDS LÄN</t>
        </is>
      </c>
      <c r="E6248" t="inlineStr">
        <is>
          <t>ÅRJÄNG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4373-2022</t>
        </is>
      </c>
      <c r="B6249" s="1" t="n">
        <v>44589</v>
      </c>
      <c r="C6249" s="1" t="n">
        <v>45736</v>
      </c>
      <c r="D6249" t="inlineStr">
        <is>
          <t>VÄRMLANDS LÄN</t>
        </is>
      </c>
      <c r="E6249" t="inlineStr">
        <is>
          <t>KARLSTAD</t>
        </is>
      </c>
      <c r="F6249" t="inlineStr">
        <is>
          <t>Bergvik skog väst AB</t>
        </is>
      </c>
      <c r="G6249" t="n">
        <v>17.9</v>
      </c>
      <c r="H6249" t="n">
        <v>0</v>
      </c>
      <c r="I6249" t="n">
        <v>0</v>
      </c>
      <c r="J6249" t="n">
        <v>0</v>
      </c>
      <c r="K6249" t="n">
        <v>0</v>
      </c>
      <c r="L6249" t="n">
        <v>0</v>
      </c>
      <c r="M6249" t="n">
        <v>0</v>
      </c>
      <c r="N6249" t="n">
        <v>0</v>
      </c>
      <c r="O6249" t="n">
        <v>0</v>
      </c>
      <c r="P6249" t="n">
        <v>0</v>
      </c>
      <c r="Q6249" t="n">
        <v>0</v>
      </c>
      <c r="R6249" s="2" t="inlineStr"/>
    </row>
    <row r="6250" ht="15" customHeight="1">
      <c r="A6250" t="inlineStr">
        <is>
          <t>A 4397-2022</t>
        </is>
      </c>
      <c r="B6250" s="1" t="n">
        <v>44589</v>
      </c>
      <c r="C6250" s="1" t="n">
        <v>45736</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4506-2022</t>
        </is>
      </c>
      <c r="B6251" s="1" t="n">
        <v>44589</v>
      </c>
      <c r="C6251" s="1" t="n">
        <v>45736</v>
      </c>
      <c r="D6251" t="inlineStr">
        <is>
          <t>VÄRMLANDS LÄN</t>
        </is>
      </c>
      <c r="E6251" t="inlineStr">
        <is>
          <t>ARVIKA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4392-2022</t>
        </is>
      </c>
      <c r="B6252" s="1" t="n">
        <v>44589</v>
      </c>
      <c r="C6252" s="1" t="n">
        <v>45736</v>
      </c>
      <c r="D6252" t="inlineStr">
        <is>
          <t>VÄRMLANDS LÄN</t>
        </is>
      </c>
      <c r="E6252" t="inlineStr">
        <is>
          <t>ÅRJÄNG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4557-2022</t>
        </is>
      </c>
      <c r="B6253" s="1" t="n">
        <v>44591</v>
      </c>
      <c r="C6253" s="1" t="n">
        <v>45736</v>
      </c>
      <c r="D6253" t="inlineStr">
        <is>
          <t>VÄRMLANDS LÄN</t>
        </is>
      </c>
      <c r="E6253" t="inlineStr">
        <is>
          <t>TORSBY</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4571-2022</t>
        </is>
      </c>
      <c r="B6254" s="1" t="n">
        <v>44591</v>
      </c>
      <c r="C6254" s="1" t="n">
        <v>45736</v>
      </c>
      <c r="D6254" t="inlineStr">
        <is>
          <t>VÄRMLANDS LÄN</t>
        </is>
      </c>
      <c r="E6254" t="inlineStr">
        <is>
          <t>KRISTINEHAMN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4556-2022</t>
        </is>
      </c>
      <c r="B6255" s="1" t="n">
        <v>44591</v>
      </c>
      <c r="C6255" s="1" t="n">
        <v>45736</v>
      </c>
      <c r="D6255" t="inlineStr">
        <is>
          <t>VÄRMLANDS LÄN</t>
        </is>
      </c>
      <c r="E6255" t="inlineStr">
        <is>
          <t>ARVIKA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4566-2022</t>
        </is>
      </c>
      <c r="B6256" s="1" t="n">
        <v>44591</v>
      </c>
      <c r="C6256" s="1" t="n">
        <v>45736</v>
      </c>
      <c r="D6256" t="inlineStr">
        <is>
          <t>VÄRMLANDS LÄN</t>
        </is>
      </c>
      <c r="E6256" t="inlineStr">
        <is>
          <t>SUNNE</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4587-2022</t>
        </is>
      </c>
      <c r="B6257" s="1" t="n">
        <v>44591</v>
      </c>
      <c r="C6257" s="1" t="n">
        <v>45736</v>
      </c>
      <c r="D6257" t="inlineStr">
        <is>
          <t>VÄRMLANDS LÄN</t>
        </is>
      </c>
      <c r="E6257" t="inlineStr">
        <is>
          <t>SUNNE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4640-2022</t>
        </is>
      </c>
      <c r="B6258" s="1" t="n">
        <v>44592</v>
      </c>
      <c r="C6258" s="1" t="n">
        <v>45736</v>
      </c>
      <c r="D6258" t="inlineStr">
        <is>
          <t>VÄRMLANDS LÄN</t>
        </is>
      </c>
      <c r="E6258" t="inlineStr">
        <is>
          <t>TORSBY</t>
        </is>
      </c>
      <c r="G6258" t="n">
        <v>9</v>
      </c>
      <c r="H6258" t="n">
        <v>0</v>
      </c>
      <c r="I6258" t="n">
        <v>0</v>
      </c>
      <c r="J6258" t="n">
        <v>0</v>
      </c>
      <c r="K6258" t="n">
        <v>0</v>
      </c>
      <c r="L6258" t="n">
        <v>0</v>
      </c>
      <c r="M6258" t="n">
        <v>0</v>
      </c>
      <c r="N6258" t="n">
        <v>0</v>
      </c>
      <c r="O6258" t="n">
        <v>0</v>
      </c>
      <c r="P6258" t="n">
        <v>0</v>
      </c>
      <c r="Q6258" t="n">
        <v>0</v>
      </c>
      <c r="R6258" s="2" t="inlineStr"/>
    </row>
    <row r="6259" ht="15" customHeight="1">
      <c r="A6259" t="inlineStr">
        <is>
          <t>A 4751-2022</t>
        </is>
      </c>
      <c r="B6259" s="1" t="n">
        <v>44592</v>
      </c>
      <c r="C6259" s="1" t="n">
        <v>45736</v>
      </c>
      <c r="D6259" t="inlineStr">
        <is>
          <t>VÄRMLANDS LÄN</t>
        </is>
      </c>
      <c r="E6259" t="inlineStr">
        <is>
          <t>ARVIKA</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4740-2022</t>
        </is>
      </c>
      <c r="B6260" s="1" t="n">
        <v>44592</v>
      </c>
      <c r="C6260" s="1" t="n">
        <v>45736</v>
      </c>
      <c r="D6260" t="inlineStr">
        <is>
          <t>VÄRMLANDS LÄN</t>
        </is>
      </c>
      <c r="E6260" t="inlineStr">
        <is>
          <t>ARVIKA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4785-2022</t>
        </is>
      </c>
      <c r="B6261" s="1" t="n">
        <v>44592</v>
      </c>
      <c r="C6261" s="1" t="n">
        <v>45736</v>
      </c>
      <c r="D6261" t="inlineStr">
        <is>
          <t>VÄRMLANDS LÄN</t>
        </is>
      </c>
      <c r="E6261" t="inlineStr">
        <is>
          <t>SUNNE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4832-2022</t>
        </is>
      </c>
      <c r="B6262" s="1" t="n">
        <v>44592</v>
      </c>
      <c r="C6262" s="1" t="n">
        <v>45736</v>
      </c>
      <c r="D6262" t="inlineStr">
        <is>
          <t>VÄRMLANDS LÄN</t>
        </is>
      </c>
      <c r="E6262" t="inlineStr">
        <is>
          <t>KIL</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4803-2022</t>
        </is>
      </c>
      <c r="B6263" s="1" t="n">
        <v>44592</v>
      </c>
      <c r="C6263" s="1" t="n">
        <v>45736</v>
      </c>
      <c r="D6263" t="inlineStr">
        <is>
          <t>VÄRMLANDS LÄN</t>
        </is>
      </c>
      <c r="E6263" t="inlineStr">
        <is>
          <t>ARVIKA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4798-2022</t>
        </is>
      </c>
      <c r="B6264" s="1" t="n">
        <v>44592</v>
      </c>
      <c r="C6264" s="1" t="n">
        <v>45736</v>
      </c>
      <c r="D6264" t="inlineStr">
        <is>
          <t>VÄRMLANDS LÄN</t>
        </is>
      </c>
      <c r="E6264" t="inlineStr">
        <is>
          <t>ÅRJÄNG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4942-2022</t>
        </is>
      </c>
      <c r="B6265" s="1" t="n">
        <v>44593</v>
      </c>
      <c r="C6265" s="1" t="n">
        <v>45736</v>
      </c>
      <c r="D6265" t="inlineStr">
        <is>
          <t>VÄRMLANDS LÄN</t>
        </is>
      </c>
      <c r="E6265" t="inlineStr">
        <is>
          <t>ÅRJÄNG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4967-2022</t>
        </is>
      </c>
      <c r="B6266" s="1" t="n">
        <v>44593</v>
      </c>
      <c r="C6266" s="1" t="n">
        <v>45736</v>
      </c>
      <c r="D6266" t="inlineStr">
        <is>
          <t>VÄRMLANDS LÄN</t>
        </is>
      </c>
      <c r="E6266" t="inlineStr">
        <is>
          <t>TORSBY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4915-2022</t>
        </is>
      </c>
      <c r="B6267" s="1" t="n">
        <v>44593</v>
      </c>
      <c r="C6267" s="1" t="n">
        <v>45736</v>
      </c>
      <c r="D6267" t="inlineStr">
        <is>
          <t>VÄRMLANDS LÄN</t>
        </is>
      </c>
      <c r="E6267" t="inlineStr">
        <is>
          <t>ÅRJÄNG</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4960-2022</t>
        </is>
      </c>
      <c r="B6268" s="1" t="n">
        <v>44593</v>
      </c>
      <c r="C6268" s="1" t="n">
        <v>45736</v>
      </c>
      <c r="D6268" t="inlineStr">
        <is>
          <t>VÄRMLANDS LÄN</t>
        </is>
      </c>
      <c r="E6268" t="inlineStr">
        <is>
          <t>TORSBY</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5040-2022</t>
        </is>
      </c>
      <c r="B6269" s="1" t="n">
        <v>44593</v>
      </c>
      <c r="C6269" s="1" t="n">
        <v>45736</v>
      </c>
      <c r="D6269" t="inlineStr">
        <is>
          <t>VÄRMLANDS LÄN</t>
        </is>
      </c>
      <c r="E6269" t="inlineStr">
        <is>
          <t>TORSBY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5088-2022</t>
        </is>
      </c>
      <c r="B6270" s="1" t="n">
        <v>44593</v>
      </c>
      <c r="C6270" s="1" t="n">
        <v>45736</v>
      </c>
      <c r="D6270" t="inlineStr">
        <is>
          <t>VÄRMLANDS LÄN</t>
        </is>
      </c>
      <c r="E6270" t="inlineStr">
        <is>
          <t>SUNNE</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5038-2022</t>
        </is>
      </c>
      <c r="B6271" s="1" t="n">
        <v>44593</v>
      </c>
      <c r="C6271" s="1" t="n">
        <v>45736</v>
      </c>
      <c r="D6271" t="inlineStr">
        <is>
          <t>VÄRMLANDS LÄN</t>
        </is>
      </c>
      <c r="E6271" t="inlineStr">
        <is>
          <t>KARLSTAD</t>
        </is>
      </c>
      <c r="F6271" t="inlineStr">
        <is>
          <t>Kommuner</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5057-2022</t>
        </is>
      </c>
      <c r="B6272" s="1" t="n">
        <v>44593</v>
      </c>
      <c r="C6272" s="1" t="n">
        <v>45736</v>
      </c>
      <c r="D6272" t="inlineStr">
        <is>
          <t>VÄRMLANDS LÄN</t>
        </is>
      </c>
      <c r="E6272" t="inlineStr">
        <is>
          <t>KARLSTAD</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5015-2022</t>
        </is>
      </c>
      <c r="B6273" s="1" t="n">
        <v>44593</v>
      </c>
      <c r="C6273" s="1" t="n">
        <v>45736</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5095-2022</t>
        </is>
      </c>
      <c r="B6274" s="1" t="n">
        <v>44593</v>
      </c>
      <c r="C6274" s="1" t="n">
        <v>45736</v>
      </c>
      <c r="D6274" t="inlineStr">
        <is>
          <t>VÄRMLANDS LÄN</t>
        </is>
      </c>
      <c r="E6274" t="inlineStr">
        <is>
          <t>ÅRJÄNG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5280-2022</t>
        </is>
      </c>
      <c r="B6275" s="1" t="n">
        <v>44593</v>
      </c>
      <c r="C6275" s="1" t="n">
        <v>45736</v>
      </c>
      <c r="D6275" t="inlineStr">
        <is>
          <t>VÄRMLANDS LÄN</t>
        </is>
      </c>
      <c r="E6275" t="inlineStr">
        <is>
          <t>GRUMS</t>
        </is>
      </c>
      <c r="F6275" t="inlineStr">
        <is>
          <t>Bergvik skog väst AB</t>
        </is>
      </c>
      <c r="G6275" t="n">
        <v>37.1</v>
      </c>
      <c r="H6275" t="n">
        <v>0</v>
      </c>
      <c r="I6275" t="n">
        <v>0</v>
      </c>
      <c r="J6275" t="n">
        <v>0</v>
      </c>
      <c r="K6275" t="n">
        <v>0</v>
      </c>
      <c r="L6275" t="n">
        <v>0</v>
      </c>
      <c r="M6275" t="n">
        <v>0</v>
      </c>
      <c r="N6275" t="n">
        <v>0</v>
      </c>
      <c r="O6275" t="n">
        <v>0</v>
      </c>
      <c r="P6275" t="n">
        <v>0</v>
      </c>
      <c r="Q6275" t="n">
        <v>0</v>
      </c>
      <c r="R6275" s="2" t="inlineStr"/>
    </row>
    <row r="6276" ht="15" customHeight="1">
      <c r="A6276" t="inlineStr">
        <is>
          <t>A 5017-2022</t>
        </is>
      </c>
      <c r="B6276" s="1" t="n">
        <v>44593</v>
      </c>
      <c r="C6276" s="1" t="n">
        <v>45736</v>
      </c>
      <c r="D6276" t="inlineStr">
        <is>
          <t>VÄRMLANDS LÄN</t>
        </is>
      </c>
      <c r="E6276" t="inlineStr">
        <is>
          <t>KARLSTAD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5056-2022</t>
        </is>
      </c>
      <c r="B6277" s="1" t="n">
        <v>44593</v>
      </c>
      <c r="C6277" s="1" t="n">
        <v>45736</v>
      </c>
      <c r="D6277" t="inlineStr">
        <is>
          <t>VÄRMLANDS LÄN</t>
        </is>
      </c>
      <c r="E6277" t="inlineStr">
        <is>
          <t>KARLSTAD</t>
        </is>
      </c>
      <c r="F6277" t="inlineStr">
        <is>
          <t>Kommuner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5164-2022</t>
        </is>
      </c>
      <c r="B6278" s="1" t="n">
        <v>44594</v>
      </c>
      <c r="C6278" s="1" t="n">
        <v>45736</v>
      </c>
      <c r="D6278" t="inlineStr">
        <is>
          <t>VÄRMLANDS LÄN</t>
        </is>
      </c>
      <c r="E6278" t="inlineStr">
        <is>
          <t>HAGFORS</t>
        </is>
      </c>
      <c r="F6278" t="inlineStr">
        <is>
          <t>Bergvik skog väst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5202-2022</t>
        </is>
      </c>
      <c r="B6279" s="1" t="n">
        <v>44594</v>
      </c>
      <c r="C6279" s="1" t="n">
        <v>45736</v>
      </c>
      <c r="D6279" t="inlineStr">
        <is>
          <t>VÄRMLANDS LÄN</t>
        </is>
      </c>
      <c r="E6279" t="inlineStr">
        <is>
          <t>HAGFORS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5289-2022</t>
        </is>
      </c>
      <c r="B6280" s="1" t="n">
        <v>44594</v>
      </c>
      <c r="C6280" s="1" t="n">
        <v>45736</v>
      </c>
      <c r="D6280" t="inlineStr">
        <is>
          <t>VÄRMLANDS LÄN</t>
        </is>
      </c>
      <c r="E6280" t="inlineStr">
        <is>
          <t>TORSBY</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5342-2022</t>
        </is>
      </c>
      <c r="B6281" s="1" t="n">
        <v>44594</v>
      </c>
      <c r="C6281" s="1" t="n">
        <v>45736</v>
      </c>
      <c r="D6281" t="inlineStr">
        <is>
          <t>VÄRMLANDS LÄN</t>
        </is>
      </c>
      <c r="E6281" t="inlineStr">
        <is>
          <t>ÅRJÄNG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5346-2022</t>
        </is>
      </c>
      <c r="B6282" s="1" t="n">
        <v>44594</v>
      </c>
      <c r="C6282" s="1" t="n">
        <v>45736</v>
      </c>
      <c r="D6282" t="inlineStr">
        <is>
          <t>VÄRMLANDS LÄN</t>
        </is>
      </c>
      <c r="E6282" t="inlineStr">
        <is>
          <t>ÅRJÄNG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5440-2022</t>
        </is>
      </c>
      <c r="B6283" s="1" t="n">
        <v>44594</v>
      </c>
      <c r="C6283" s="1" t="n">
        <v>45736</v>
      </c>
      <c r="D6283" t="inlineStr">
        <is>
          <t>VÄRMLANDS LÄN</t>
        </is>
      </c>
      <c r="E6283" t="inlineStr">
        <is>
          <t>ARVIKA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5361-2022</t>
        </is>
      </c>
      <c r="B6284" s="1" t="n">
        <v>44594</v>
      </c>
      <c r="C6284" s="1" t="n">
        <v>45736</v>
      </c>
      <c r="D6284" t="inlineStr">
        <is>
          <t>VÄRMLANDS LÄN</t>
        </is>
      </c>
      <c r="E6284" t="inlineStr">
        <is>
          <t>SUNNE</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5448-2022</t>
        </is>
      </c>
      <c r="B6285" s="1" t="n">
        <v>44594</v>
      </c>
      <c r="C6285" s="1" t="n">
        <v>45736</v>
      </c>
      <c r="D6285" t="inlineStr">
        <is>
          <t>VÄRMLANDS LÄN</t>
        </is>
      </c>
      <c r="E6285" t="inlineStr">
        <is>
          <t>KARLSTAD</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5417-2022</t>
        </is>
      </c>
      <c r="B6286" s="1" t="n">
        <v>44594</v>
      </c>
      <c r="C6286" s="1" t="n">
        <v>45736</v>
      </c>
      <c r="D6286" t="inlineStr">
        <is>
          <t>VÄRMLANDS LÄN</t>
        </is>
      </c>
      <c r="E6286" t="inlineStr">
        <is>
          <t>ARVIKA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5461-2022</t>
        </is>
      </c>
      <c r="B6287" s="1" t="n">
        <v>44594</v>
      </c>
      <c r="C6287" s="1" t="n">
        <v>45736</v>
      </c>
      <c r="D6287" t="inlineStr">
        <is>
          <t>VÄRMLANDS LÄN</t>
        </is>
      </c>
      <c r="E6287" t="inlineStr">
        <is>
          <t>KARLSTAD</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5415-2022</t>
        </is>
      </c>
      <c r="B6288" s="1" t="n">
        <v>44594</v>
      </c>
      <c r="C6288" s="1" t="n">
        <v>45736</v>
      </c>
      <c r="D6288" t="inlineStr">
        <is>
          <t>VÄRMLANDS LÄN</t>
        </is>
      </c>
      <c r="E6288" t="inlineStr">
        <is>
          <t>KIL</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5458-2022</t>
        </is>
      </c>
      <c r="B6289" s="1" t="n">
        <v>44594</v>
      </c>
      <c r="C6289" s="1" t="n">
        <v>45736</v>
      </c>
      <c r="D6289" t="inlineStr">
        <is>
          <t>VÄRMLANDS LÄN</t>
        </is>
      </c>
      <c r="E6289" t="inlineStr">
        <is>
          <t>KARLSTAD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5482-2022</t>
        </is>
      </c>
      <c r="B6290" s="1" t="n">
        <v>44595</v>
      </c>
      <c r="C6290" s="1" t="n">
        <v>45736</v>
      </c>
      <c r="D6290" t="inlineStr">
        <is>
          <t>VÄRMLANDS LÄN</t>
        </is>
      </c>
      <c r="E6290" t="inlineStr">
        <is>
          <t>HAGFORS</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5507-2022</t>
        </is>
      </c>
      <c r="B6291" s="1" t="n">
        <v>44595</v>
      </c>
      <c r="C6291" s="1" t="n">
        <v>45736</v>
      </c>
      <c r="D6291" t="inlineStr">
        <is>
          <t>VÄRMLANDS LÄN</t>
        </is>
      </c>
      <c r="E6291" t="inlineStr">
        <is>
          <t>KRISTINEHAMN</t>
        </is>
      </c>
      <c r="F6291" t="inlineStr">
        <is>
          <t>Kommuner</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5535-2022</t>
        </is>
      </c>
      <c r="B6292" s="1" t="n">
        <v>44595</v>
      </c>
      <c r="C6292" s="1" t="n">
        <v>45736</v>
      </c>
      <c r="D6292" t="inlineStr">
        <is>
          <t>VÄRMLANDS LÄN</t>
        </is>
      </c>
      <c r="E6292" t="inlineStr">
        <is>
          <t>KARLSTAD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5483-2022</t>
        </is>
      </c>
      <c r="B6293" s="1" t="n">
        <v>44595</v>
      </c>
      <c r="C6293" s="1" t="n">
        <v>45736</v>
      </c>
      <c r="D6293" t="inlineStr">
        <is>
          <t>VÄRMLANDS LÄN</t>
        </is>
      </c>
      <c r="E6293" t="inlineStr">
        <is>
          <t>ARVIKA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5505-2022</t>
        </is>
      </c>
      <c r="B6294" s="1" t="n">
        <v>44595</v>
      </c>
      <c r="C6294" s="1" t="n">
        <v>45736</v>
      </c>
      <c r="D6294" t="inlineStr">
        <is>
          <t>VÄRMLANDS LÄN</t>
        </is>
      </c>
      <c r="E6294" t="inlineStr">
        <is>
          <t>KRISTINEHAMN</t>
        </is>
      </c>
      <c r="F6294" t="inlineStr">
        <is>
          <t>Kommuner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5559-2022</t>
        </is>
      </c>
      <c r="B6295" s="1" t="n">
        <v>44595</v>
      </c>
      <c r="C6295" s="1" t="n">
        <v>45736</v>
      </c>
      <c r="D6295" t="inlineStr">
        <is>
          <t>VÄRMLANDS LÄN</t>
        </is>
      </c>
      <c r="E6295" t="inlineStr">
        <is>
          <t>EDA</t>
        </is>
      </c>
      <c r="F6295" t="inlineStr">
        <is>
          <t>Kommuner</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5633-2022</t>
        </is>
      </c>
      <c r="B6296" s="1" t="n">
        <v>44595</v>
      </c>
      <c r="C6296" s="1" t="n">
        <v>45736</v>
      </c>
      <c r="D6296" t="inlineStr">
        <is>
          <t>VÄRMLANDS LÄN</t>
        </is>
      </c>
      <c r="E6296" t="inlineStr">
        <is>
          <t>GRUMS</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5667-2022</t>
        </is>
      </c>
      <c r="B6297" s="1" t="n">
        <v>44595</v>
      </c>
      <c r="C6297" s="1" t="n">
        <v>45736</v>
      </c>
      <c r="D6297" t="inlineStr">
        <is>
          <t>VÄRMLANDS LÄN</t>
        </is>
      </c>
      <c r="E6297" t="inlineStr">
        <is>
          <t>ÅRJÄNG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5699-2022</t>
        </is>
      </c>
      <c r="B6298" s="1" t="n">
        <v>44596</v>
      </c>
      <c r="C6298" s="1" t="n">
        <v>45736</v>
      </c>
      <c r="D6298" t="inlineStr">
        <is>
          <t>VÄRMLANDS LÄN</t>
        </is>
      </c>
      <c r="E6298" t="inlineStr">
        <is>
          <t>EDA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5750-2022</t>
        </is>
      </c>
      <c r="B6299" s="1" t="n">
        <v>44596</v>
      </c>
      <c r="C6299" s="1" t="n">
        <v>45736</v>
      </c>
      <c r="D6299" t="inlineStr">
        <is>
          <t>VÄRMLANDS LÄN</t>
        </is>
      </c>
      <c r="E6299" t="inlineStr">
        <is>
          <t>FILIPSTAD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5698-2022</t>
        </is>
      </c>
      <c r="B6300" s="1" t="n">
        <v>44596</v>
      </c>
      <c r="C6300" s="1" t="n">
        <v>45736</v>
      </c>
      <c r="D6300" t="inlineStr">
        <is>
          <t>VÄRMLANDS LÄN</t>
        </is>
      </c>
      <c r="E6300" t="inlineStr">
        <is>
          <t>SÄFFLE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5749-2022</t>
        </is>
      </c>
      <c r="B6301" s="1" t="n">
        <v>44596</v>
      </c>
      <c r="C6301" s="1" t="n">
        <v>45736</v>
      </c>
      <c r="D6301" t="inlineStr">
        <is>
          <t>VÄRMLANDS LÄN</t>
        </is>
      </c>
      <c r="E6301" t="inlineStr">
        <is>
          <t>HAGFORS</t>
        </is>
      </c>
      <c r="F6301" t="inlineStr">
        <is>
          <t>Bergvik skog väst AB</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5756-2022</t>
        </is>
      </c>
      <c r="B6302" s="1" t="n">
        <v>44596</v>
      </c>
      <c r="C6302" s="1" t="n">
        <v>45736</v>
      </c>
      <c r="D6302" t="inlineStr">
        <is>
          <t>VÄRMLANDS LÄN</t>
        </is>
      </c>
      <c r="E6302" t="inlineStr">
        <is>
          <t>ARVIKA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5665-2022</t>
        </is>
      </c>
      <c r="B6303" s="1" t="n">
        <v>44596</v>
      </c>
      <c r="C6303" s="1" t="n">
        <v>45736</v>
      </c>
      <c r="D6303" t="inlineStr">
        <is>
          <t>VÄRMLANDS LÄN</t>
        </is>
      </c>
      <c r="E6303" t="inlineStr">
        <is>
          <t>ÅRJÄNG</t>
        </is>
      </c>
      <c r="F6303" t="inlineStr">
        <is>
          <t>Bergvik skog väst AB</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5754-2022</t>
        </is>
      </c>
      <c r="B6304" s="1" t="n">
        <v>44596</v>
      </c>
      <c r="C6304" s="1" t="n">
        <v>45736</v>
      </c>
      <c r="D6304" t="inlineStr">
        <is>
          <t>VÄRMLANDS LÄN</t>
        </is>
      </c>
      <c r="E6304" t="inlineStr">
        <is>
          <t>FILIPSTAD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5758-2022</t>
        </is>
      </c>
      <c r="B6305" s="1" t="n">
        <v>44596</v>
      </c>
      <c r="C6305" s="1" t="n">
        <v>45736</v>
      </c>
      <c r="D6305" t="inlineStr">
        <is>
          <t>VÄRMLANDS LÄN</t>
        </is>
      </c>
      <c r="E6305" t="inlineStr">
        <is>
          <t>FORSHAGA</t>
        </is>
      </c>
      <c r="F6305" t="inlineStr">
        <is>
          <t>Bergvik skog väst AB</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5782-2022</t>
        </is>
      </c>
      <c r="B6306" s="1" t="n">
        <v>44596</v>
      </c>
      <c r="C6306" s="1" t="n">
        <v>45736</v>
      </c>
      <c r="D6306" t="inlineStr">
        <is>
          <t>VÄRMLANDS LÄN</t>
        </is>
      </c>
      <c r="E6306" t="inlineStr">
        <is>
          <t>ARVIKA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5830-2022</t>
        </is>
      </c>
      <c r="B6307" s="1" t="n">
        <v>44596</v>
      </c>
      <c r="C6307" s="1" t="n">
        <v>45736</v>
      </c>
      <c r="D6307" t="inlineStr">
        <is>
          <t>VÄRMLANDS LÄN</t>
        </is>
      </c>
      <c r="E6307" t="inlineStr">
        <is>
          <t>ÅRJÄNG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5836-2022</t>
        </is>
      </c>
      <c r="B6308" s="1" t="n">
        <v>44596</v>
      </c>
      <c r="C6308" s="1" t="n">
        <v>45736</v>
      </c>
      <c r="D6308" t="inlineStr">
        <is>
          <t>VÄRMLANDS LÄN</t>
        </is>
      </c>
      <c r="E6308" t="inlineStr">
        <is>
          <t>ÅRJÄNG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5848-2022</t>
        </is>
      </c>
      <c r="B6309" s="1" t="n">
        <v>44596</v>
      </c>
      <c r="C6309" s="1" t="n">
        <v>45736</v>
      </c>
      <c r="D6309" t="inlineStr">
        <is>
          <t>VÄRMLANDS LÄN</t>
        </is>
      </c>
      <c r="E6309" t="inlineStr">
        <is>
          <t>KRISTINEHAMN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5841-2022</t>
        </is>
      </c>
      <c r="B6310" s="1" t="n">
        <v>44596</v>
      </c>
      <c r="C6310" s="1" t="n">
        <v>45736</v>
      </c>
      <c r="D6310" t="inlineStr">
        <is>
          <t>VÄRMLANDS LÄN</t>
        </is>
      </c>
      <c r="E6310" t="inlineStr">
        <is>
          <t>GRUMS</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5928-2022</t>
        </is>
      </c>
      <c r="B6311" s="1" t="n">
        <v>44598</v>
      </c>
      <c r="C6311" s="1" t="n">
        <v>45736</v>
      </c>
      <c r="D6311" t="inlineStr">
        <is>
          <t>VÄRMLANDS LÄN</t>
        </is>
      </c>
      <c r="E6311" t="inlineStr">
        <is>
          <t>FILIPSTAD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6061-2022</t>
        </is>
      </c>
      <c r="B6312" s="1" t="n">
        <v>44599</v>
      </c>
      <c r="C6312" s="1" t="n">
        <v>45736</v>
      </c>
      <c r="D6312" t="inlineStr">
        <is>
          <t>VÄRMLANDS LÄN</t>
        </is>
      </c>
      <c r="E6312" t="inlineStr">
        <is>
          <t>KARLSTAD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6093-2022</t>
        </is>
      </c>
      <c r="B6313" s="1" t="n">
        <v>44599</v>
      </c>
      <c r="C6313" s="1" t="n">
        <v>45736</v>
      </c>
      <c r="D6313" t="inlineStr">
        <is>
          <t>VÄRMLANDS LÄN</t>
        </is>
      </c>
      <c r="E6313" t="inlineStr">
        <is>
          <t>GRUMS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6163-2022</t>
        </is>
      </c>
      <c r="B6314" s="1" t="n">
        <v>44599</v>
      </c>
      <c r="C6314" s="1" t="n">
        <v>45736</v>
      </c>
      <c r="D6314" t="inlineStr">
        <is>
          <t>VÄRMLANDS LÄN</t>
        </is>
      </c>
      <c r="E6314" t="inlineStr">
        <is>
          <t>KARLSTAD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6174-2022</t>
        </is>
      </c>
      <c r="B6315" s="1" t="n">
        <v>44599</v>
      </c>
      <c r="C6315" s="1" t="n">
        <v>45736</v>
      </c>
      <c r="D6315" t="inlineStr">
        <is>
          <t>VÄRMLANDS LÄN</t>
        </is>
      </c>
      <c r="E6315" t="inlineStr">
        <is>
          <t>KARLSTAD</t>
        </is>
      </c>
      <c r="G6315" t="n">
        <v>22.8</v>
      </c>
      <c r="H6315" t="n">
        <v>0</v>
      </c>
      <c r="I6315" t="n">
        <v>0</v>
      </c>
      <c r="J6315" t="n">
        <v>0</v>
      </c>
      <c r="K6315" t="n">
        <v>0</v>
      </c>
      <c r="L6315" t="n">
        <v>0</v>
      </c>
      <c r="M6315" t="n">
        <v>0</v>
      </c>
      <c r="N6315" t="n">
        <v>0</v>
      </c>
      <c r="O6315" t="n">
        <v>0</v>
      </c>
      <c r="P6315" t="n">
        <v>0</v>
      </c>
      <c r="Q6315" t="n">
        <v>0</v>
      </c>
      <c r="R6315" s="2" t="inlineStr"/>
    </row>
    <row r="6316" ht="15" customHeight="1">
      <c r="A6316" t="inlineStr">
        <is>
          <t>A 6227-2022</t>
        </is>
      </c>
      <c r="B6316" s="1" t="n">
        <v>44600</v>
      </c>
      <c r="C6316" s="1" t="n">
        <v>45736</v>
      </c>
      <c r="D6316" t="inlineStr">
        <is>
          <t>VÄRMLANDS LÄN</t>
        </is>
      </c>
      <c r="E6316" t="inlineStr">
        <is>
          <t>STORFORS</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6323-2022</t>
        </is>
      </c>
      <c r="B6317" s="1" t="n">
        <v>44600</v>
      </c>
      <c r="C6317" s="1" t="n">
        <v>45736</v>
      </c>
      <c r="D6317" t="inlineStr">
        <is>
          <t>VÄRMLANDS LÄN</t>
        </is>
      </c>
      <c r="E6317" t="inlineStr">
        <is>
          <t>KARLSTAD</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6330-2022</t>
        </is>
      </c>
      <c r="B6318" s="1" t="n">
        <v>44600</v>
      </c>
      <c r="C6318" s="1" t="n">
        <v>45736</v>
      </c>
      <c r="D6318" t="inlineStr">
        <is>
          <t>VÄRMLANDS LÄN</t>
        </is>
      </c>
      <c r="E6318" t="inlineStr">
        <is>
          <t>STORFORS</t>
        </is>
      </c>
      <c r="F6318" t="inlineStr">
        <is>
          <t>Bergvik skog väst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6384-2022</t>
        </is>
      </c>
      <c r="B6319" s="1" t="n">
        <v>44600</v>
      </c>
      <c r="C6319" s="1" t="n">
        <v>45736</v>
      </c>
      <c r="D6319" t="inlineStr">
        <is>
          <t>VÄRMLANDS LÄN</t>
        </is>
      </c>
      <c r="E6319" t="inlineStr">
        <is>
          <t>SUNNE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6438-2022</t>
        </is>
      </c>
      <c r="B6320" s="1" t="n">
        <v>44601</v>
      </c>
      <c r="C6320" s="1" t="n">
        <v>45736</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6524-2022</t>
        </is>
      </c>
      <c r="B6321" s="1" t="n">
        <v>44601</v>
      </c>
      <c r="C6321" s="1" t="n">
        <v>45736</v>
      </c>
      <c r="D6321" t="inlineStr">
        <is>
          <t>VÄRMLANDS LÄN</t>
        </is>
      </c>
      <c r="E6321" t="inlineStr">
        <is>
          <t>ÅRJÄNG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6541-2022</t>
        </is>
      </c>
      <c r="B6322" s="1" t="n">
        <v>44601</v>
      </c>
      <c r="C6322" s="1" t="n">
        <v>45736</v>
      </c>
      <c r="D6322" t="inlineStr">
        <is>
          <t>VÄRMLANDS LÄN</t>
        </is>
      </c>
      <c r="E6322" t="inlineStr">
        <is>
          <t>ÅRJÄNG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6692-2022</t>
        </is>
      </c>
      <c r="B6323" s="1" t="n">
        <v>44602</v>
      </c>
      <c r="C6323" s="1" t="n">
        <v>45736</v>
      </c>
      <c r="D6323" t="inlineStr">
        <is>
          <t>VÄRMLANDS LÄN</t>
        </is>
      </c>
      <c r="E6323" t="inlineStr">
        <is>
          <t>SUNNE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6708-2022</t>
        </is>
      </c>
      <c r="B6324" s="1" t="n">
        <v>44602</v>
      </c>
      <c r="C6324" s="1" t="n">
        <v>45736</v>
      </c>
      <c r="D6324" t="inlineStr">
        <is>
          <t>VÄRMLANDS LÄN</t>
        </is>
      </c>
      <c r="E6324" t="inlineStr">
        <is>
          <t>HAGFORS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6697-2022</t>
        </is>
      </c>
      <c r="B6325" s="1" t="n">
        <v>44602</v>
      </c>
      <c r="C6325" s="1" t="n">
        <v>45736</v>
      </c>
      <c r="D6325" t="inlineStr">
        <is>
          <t>VÄRMLANDS LÄN</t>
        </is>
      </c>
      <c r="E6325" t="inlineStr">
        <is>
          <t>SUNNE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6706-2022</t>
        </is>
      </c>
      <c r="B6326" s="1" t="n">
        <v>44602</v>
      </c>
      <c r="C6326" s="1" t="n">
        <v>45736</v>
      </c>
      <c r="D6326" t="inlineStr">
        <is>
          <t>VÄRMLANDS LÄN</t>
        </is>
      </c>
      <c r="E6326" t="inlineStr">
        <is>
          <t>SUNNE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6773-2022</t>
        </is>
      </c>
      <c r="B6327" s="1" t="n">
        <v>44602</v>
      </c>
      <c r="C6327" s="1" t="n">
        <v>45736</v>
      </c>
      <c r="D6327" t="inlineStr">
        <is>
          <t>VÄRMLANDS LÄN</t>
        </is>
      </c>
      <c r="E6327" t="inlineStr">
        <is>
          <t>SÄFFLE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6803-2022</t>
        </is>
      </c>
      <c r="B6328" s="1" t="n">
        <v>44602</v>
      </c>
      <c r="C6328" s="1" t="n">
        <v>45736</v>
      </c>
      <c r="D6328" t="inlineStr">
        <is>
          <t>VÄRMLANDS LÄN</t>
        </is>
      </c>
      <c r="E6328" t="inlineStr">
        <is>
          <t>EDA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6858-2022</t>
        </is>
      </c>
      <c r="B6329" s="1" t="n">
        <v>44602</v>
      </c>
      <c r="C6329" s="1" t="n">
        <v>45736</v>
      </c>
      <c r="D6329" t="inlineStr">
        <is>
          <t>VÄRMLANDS LÄN</t>
        </is>
      </c>
      <c r="E6329" t="inlineStr">
        <is>
          <t>EDA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6812-2022</t>
        </is>
      </c>
      <c r="B6330" s="1" t="n">
        <v>44602</v>
      </c>
      <c r="C6330" s="1" t="n">
        <v>45736</v>
      </c>
      <c r="D6330" t="inlineStr">
        <is>
          <t>VÄRMLANDS LÄN</t>
        </is>
      </c>
      <c r="E6330" t="inlineStr">
        <is>
          <t>STORFORS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6838-2022</t>
        </is>
      </c>
      <c r="B6331" s="1" t="n">
        <v>44602</v>
      </c>
      <c r="C6331" s="1" t="n">
        <v>45736</v>
      </c>
      <c r="D6331" t="inlineStr">
        <is>
          <t>VÄRMLANDS LÄN</t>
        </is>
      </c>
      <c r="E6331" t="inlineStr">
        <is>
          <t>SÄFFLE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6859-2022</t>
        </is>
      </c>
      <c r="B6332" s="1" t="n">
        <v>44602</v>
      </c>
      <c r="C6332" s="1" t="n">
        <v>45736</v>
      </c>
      <c r="D6332" t="inlineStr">
        <is>
          <t>VÄRMLANDS LÄN</t>
        </is>
      </c>
      <c r="E6332" t="inlineStr">
        <is>
          <t>EDA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6980-2022</t>
        </is>
      </c>
      <c r="B6333" s="1" t="n">
        <v>44603</v>
      </c>
      <c r="C6333" s="1" t="n">
        <v>45736</v>
      </c>
      <c r="D6333" t="inlineStr">
        <is>
          <t>VÄRMLANDS LÄN</t>
        </is>
      </c>
      <c r="E6333" t="inlineStr">
        <is>
          <t>HAGFORS</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7091-2022</t>
        </is>
      </c>
      <c r="B6334" s="1" t="n">
        <v>44603</v>
      </c>
      <c r="C6334" s="1" t="n">
        <v>45736</v>
      </c>
      <c r="D6334" t="inlineStr">
        <is>
          <t>VÄRMLANDS LÄN</t>
        </is>
      </c>
      <c r="E6334" t="inlineStr">
        <is>
          <t>TORSBY</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6966-2022</t>
        </is>
      </c>
      <c r="B6335" s="1" t="n">
        <v>44603</v>
      </c>
      <c r="C6335" s="1" t="n">
        <v>45736</v>
      </c>
      <c r="D6335" t="inlineStr">
        <is>
          <t>VÄRMLANDS LÄN</t>
        </is>
      </c>
      <c r="E6335" t="inlineStr">
        <is>
          <t>SÄFFLE</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6971-2022</t>
        </is>
      </c>
      <c r="B6336" s="1" t="n">
        <v>44603</v>
      </c>
      <c r="C6336" s="1" t="n">
        <v>45736</v>
      </c>
      <c r="D6336" t="inlineStr">
        <is>
          <t>VÄRMLANDS LÄN</t>
        </is>
      </c>
      <c r="E6336" t="inlineStr">
        <is>
          <t>HAGFORS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7007-2022</t>
        </is>
      </c>
      <c r="B6337" s="1" t="n">
        <v>44603</v>
      </c>
      <c r="C6337" s="1" t="n">
        <v>45736</v>
      </c>
      <c r="D6337" t="inlineStr">
        <is>
          <t>VÄRMLANDS LÄN</t>
        </is>
      </c>
      <c r="E6337" t="inlineStr">
        <is>
          <t>ARVIKA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6973-2022</t>
        </is>
      </c>
      <c r="B6338" s="1" t="n">
        <v>44603</v>
      </c>
      <c r="C6338" s="1" t="n">
        <v>45736</v>
      </c>
      <c r="D6338" t="inlineStr">
        <is>
          <t>VÄRMLANDS LÄN</t>
        </is>
      </c>
      <c r="E6338" t="inlineStr">
        <is>
          <t>ÅRJÄNG</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7069-2022</t>
        </is>
      </c>
      <c r="B6339" s="1" t="n">
        <v>44603</v>
      </c>
      <c r="C6339" s="1" t="n">
        <v>45736</v>
      </c>
      <c r="D6339" t="inlineStr">
        <is>
          <t>VÄRMLANDS LÄN</t>
        </is>
      </c>
      <c r="E6339" t="inlineStr">
        <is>
          <t>TORSBY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7144-2022</t>
        </is>
      </c>
      <c r="B6340" s="1" t="n">
        <v>44603</v>
      </c>
      <c r="C6340" s="1" t="n">
        <v>45736</v>
      </c>
      <c r="D6340" t="inlineStr">
        <is>
          <t>VÄRMLANDS LÄN</t>
        </is>
      </c>
      <c r="E6340" t="inlineStr">
        <is>
          <t>ARVIKA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7230-2022</t>
        </is>
      </c>
      <c r="B6341" s="1" t="n">
        <v>44606</v>
      </c>
      <c r="C6341" s="1" t="n">
        <v>45736</v>
      </c>
      <c r="D6341" t="inlineStr">
        <is>
          <t>VÄRMLANDS LÄN</t>
        </is>
      </c>
      <c r="E6341" t="inlineStr">
        <is>
          <t>SUNNE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7272-2022</t>
        </is>
      </c>
      <c r="B6342" s="1" t="n">
        <v>44606</v>
      </c>
      <c r="C6342" s="1" t="n">
        <v>45736</v>
      </c>
      <c r="D6342" t="inlineStr">
        <is>
          <t>VÄRMLANDS LÄN</t>
        </is>
      </c>
      <c r="E6342" t="inlineStr">
        <is>
          <t>GRUMS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7289-2022</t>
        </is>
      </c>
      <c r="B6343" s="1" t="n">
        <v>44606</v>
      </c>
      <c r="C6343" s="1" t="n">
        <v>45736</v>
      </c>
      <c r="D6343" t="inlineStr">
        <is>
          <t>VÄRMLANDS LÄN</t>
        </is>
      </c>
      <c r="E6343" t="inlineStr">
        <is>
          <t>FORSHAGA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7313-2022</t>
        </is>
      </c>
      <c r="B6344" s="1" t="n">
        <v>44606</v>
      </c>
      <c r="C6344" s="1" t="n">
        <v>45736</v>
      </c>
      <c r="D6344" t="inlineStr">
        <is>
          <t>VÄRMLANDS LÄN</t>
        </is>
      </c>
      <c r="E6344" t="inlineStr">
        <is>
          <t>ARVIKA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7292-2022</t>
        </is>
      </c>
      <c r="B6345" s="1" t="n">
        <v>44606</v>
      </c>
      <c r="C6345" s="1" t="n">
        <v>45736</v>
      </c>
      <c r="D6345" t="inlineStr">
        <is>
          <t>VÄRMLANDS LÄN</t>
        </is>
      </c>
      <c r="E6345" t="inlineStr">
        <is>
          <t>FILIPSTAD</t>
        </is>
      </c>
      <c r="F6345" t="inlineStr">
        <is>
          <t>Bergvik skog väst AB</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7235-2022</t>
        </is>
      </c>
      <c r="B6346" s="1" t="n">
        <v>44606</v>
      </c>
      <c r="C6346" s="1" t="n">
        <v>45736</v>
      </c>
      <c r="D6346" t="inlineStr">
        <is>
          <t>VÄRMLANDS LÄN</t>
        </is>
      </c>
      <c r="E6346" t="inlineStr">
        <is>
          <t>ÅRJÄNG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7360-2022</t>
        </is>
      </c>
      <c r="B6347" s="1" t="n">
        <v>44606</v>
      </c>
      <c r="C6347" s="1" t="n">
        <v>45736</v>
      </c>
      <c r="D6347" t="inlineStr">
        <is>
          <t>VÄRMLANDS LÄN</t>
        </is>
      </c>
      <c r="E6347" t="inlineStr">
        <is>
          <t>SUNNE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7379-2022</t>
        </is>
      </c>
      <c r="B6348" s="1" t="n">
        <v>44606</v>
      </c>
      <c r="C6348" s="1" t="n">
        <v>45736</v>
      </c>
      <c r="D6348" t="inlineStr">
        <is>
          <t>VÄRMLANDS LÄN</t>
        </is>
      </c>
      <c r="E6348" t="inlineStr">
        <is>
          <t>ARVIKA</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7421-2022</t>
        </is>
      </c>
      <c r="B6349" s="1" t="n">
        <v>44606</v>
      </c>
      <c r="C6349" s="1" t="n">
        <v>45736</v>
      </c>
      <c r="D6349" t="inlineStr">
        <is>
          <t>VÄRMLANDS LÄN</t>
        </is>
      </c>
      <c r="E6349" t="inlineStr">
        <is>
          <t>HAGFORS</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7401-2022</t>
        </is>
      </c>
      <c r="B6350" s="1" t="n">
        <v>44606</v>
      </c>
      <c r="C6350" s="1" t="n">
        <v>45736</v>
      </c>
      <c r="D6350" t="inlineStr">
        <is>
          <t>VÄRMLANDS LÄN</t>
        </is>
      </c>
      <c r="E6350" t="inlineStr">
        <is>
          <t>HAGFORS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7410-2022</t>
        </is>
      </c>
      <c r="B6351" s="1" t="n">
        <v>44606</v>
      </c>
      <c r="C6351" s="1" t="n">
        <v>45736</v>
      </c>
      <c r="D6351" t="inlineStr">
        <is>
          <t>VÄRMLANDS LÄN</t>
        </is>
      </c>
      <c r="E6351" t="inlineStr">
        <is>
          <t>SÄFFLE</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7415-2022</t>
        </is>
      </c>
      <c r="B6352" s="1" t="n">
        <v>44606</v>
      </c>
      <c r="C6352" s="1" t="n">
        <v>45736</v>
      </c>
      <c r="D6352" t="inlineStr">
        <is>
          <t>VÄRMLANDS LÄN</t>
        </is>
      </c>
      <c r="E6352" t="inlineStr">
        <is>
          <t>FILIPSTAD</t>
        </is>
      </c>
      <c r="F6352" t="inlineStr">
        <is>
          <t>Bergvik skog väst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7363-2022</t>
        </is>
      </c>
      <c r="B6353" s="1" t="n">
        <v>44606</v>
      </c>
      <c r="C6353" s="1" t="n">
        <v>45736</v>
      </c>
      <c r="D6353" t="inlineStr">
        <is>
          <t>VÄRMLANDS LÄN</t>
        </is>
      </c>
      <c r="E6353" t="inlineStr">
        <is>
          <t>HAGFORS</t>
        </is>
      </c>
      <c r="F6353" t="inlineStr">
        <is>
          <t>Bergvik skog väst AB</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7414-2022</t>
        </is>
      </c>
      <c r="B6354" s="1" t="n">
        <v>44606</v>
      </c>
      <c r="C6354" s="1" t="n">
        <v>45736</v>
      </c>
      <c r="D6354" t="inlineStr">
        <is>
          <t>VÄRMLANDS LÄN</t>
        </is>
      </c>
      <c r="E6354" t="inlineStr">
        <is>
          <t>HAGFORS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7304-2022</t>
        </is>
      </c>
      <c r="B6355" s="1" t="n">
        <v>44606</v>
      </c>
      <c r="C6355" s="1" t="n">
        <v>45736</v>
      </c>
      <c r="D6355" t="inlineStr">
        <is>
          <t>VÄRMLANDS LÄN</t>
        </is>
      </c>
      <c r="E6355" t="inlineStr">
        <is>
          <t>HAGFORS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7494-2022</t>
        </is>
      </c>
      <c r="B6356" s="1" t="n">
        <v>44607</v>
      </c>
      <c r="C6356" s="1" t="n">
        <v>45736</v>
      </c>
      <c r="D6356" t="inlineStr">
        <is>
          <t>VÄRMLANDS LÄN</t>
        </is>
      </c>
      <c r="E6356" t="inlineStr">
        <is>
          <t>SUNNE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7544-2022</t>
        </is>
      </c>
      <c r="B6357" s="1" t="n">
        <v>44607</v>
      </c>
      <c r="C6357" s="1" t="n">
        <v>45736</v>
      </c>
      <c r="D6357" t="inlineStr">
        <is>
          <t>VÄRMLANDS LÄN</t>
        </is>
      </c>
      <c r="E6357" t="inlineStr">
        <is>
          <t>TORSBY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7485-2022</t>
        </is>
      </c>
      <c r="B6358" s="1" t="n">
        <v>44607</v>
      </c>
      <c r="C6358" s="1" t="n">
        <v>45736</v>
      </c>
      <c r="D6358" t="inlineStr">
        <is>
          <t>VÄRMLANDS LÄN</t>
        </is>
      </c>
      <c r="E6358" t="inlineStr">
        <is>
          <t>ÅRJÄNG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7502-2022</t>
        </is>
      </c>
      <c r="B6359" s="1" t="n">
        <v>44607</v>
      </c>
      <c r="C6359" s="1" t="n">
        <v>45736</v>
      </c>
      <c r="D6359" t="inlineStr">
        <is>
          <t>VÄRMLANDS LÄN</t>
        </is>
      </c>
      <c r="E6359" t="inlineStr">
        <is>
          <t>SÄFFLE</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7543-2022</t>
        </is>
      </c>
      <c r="B6360" s="1" t="n">
        <v>44607</v>
      </c>
      <c r="C6360" s="1" t="n">
        <v>45736</v>
      </c>
      <c r="D6360" t="inlineStr">
        <is>
          <t>VÄRMLANDS LÄN</t>
        </is>
      </c>
      <c r="E6360" t="inlineStr">
        <is>
          <t>TORSBY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7491-2022</t>
        </is>
      </c>
      <c r="B6361" s="1" t="n">
        <v>44607</v>
      </c>
      <c r="C6361" s="1" t="n">
        <v>45736</v>
      </c>
      <c r="D6361" t="inlineStr">
        <is>
          <t>VÄRMLANDS LÄN</t>
        </is>
      </c>
      <c r="E6361" t="inlineStr">
        <is>
          <t>KARLSTAD</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7499-2022</t>
        </is>
      </c>
      <c r="B6362" s="1" t="n">
        <v>44607</v>
      </c>
      <c r="C6362" s="1" t="n">
        <v>45736</v>
      </c>
      <c r="D6362" t="inlineStr">
        <is>
          <t>VÄRMLANDS LÄN</t>
        </is>
      </c>
      <c r="E6362" t="inlineStr">
        <is>
          <t>SÄFFLE</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7504-2022</t>
        </is>
      </c>
      <c r="B6363" s="1" t="n">
        <v>44607</v>
      </c>
      <c r="C6363" s="1" t="n">
        <v>45736</v>
      </c>
      <c r="D6363" t="inlineStr">
        <is>
          <t>VÄRMLANDS LÄN</t>
        </is>
      </c>
      <c r="E6363" t="inlineStr">
        <is>
          <t>SÄFFLE</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7602-2022</t>
        </is>
      </c>
      <c r="B6364" s="1" t="n">
        <v>44607</v>
      </c>
      <c r="C6364" s="1" t="n">
        <v>45736</v>
      </c>
      <c r="D6364" t="inlineStr">
        <is>
          <t>VÄRMLANDS LÄN</t>
        </is>
      </c>
      <c r="E6364" t="inlineStr">
        <is>
          <t>HAGFORS</t>
        </is>
      </c>
      <c r="F6364" t="inlineStr">
        <is>
          <t>Bergvik skog väst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7653-2022</t>
        </is>
      </c>
      <c r="B6365" s="1" t="n">
        <v>44607</v>
      </c>
      <c r="C6365" s="1" t="n">
        <v>45736</v>
      </c>
      <c r="D6365" t="inlineStr">
        <is>
          <t>VÄRMLANDS LÄN</t>
        </is>
      </c>
      <c r="E6365" t="inlineStr">
        <is>
          <t>KIL</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7589-2022</t>
        </is>
      </c>
      <c r="B6366" s="1" t="n">
        <v>44607</v>
      </c>
      <c r="C6366" s="1" t="n">
        <v>45736</v>
      </c>
      <c r="D6366" t="inlineStr">
        <is>
          <t>VÄRMLANDS LÄN</t>
        </is>
      </c>
      <c r="E6366" t="inlineStr">
        <is>
          <t>GRUMS</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7746-2022</t>
        </is>
      </c>
      <c r="B6367" s="1" t="n">
        <v>44608</v>
      </c>
      <c r="C6367" s="1" t="n">
        <v>45736</v>
      </c>
      <c r="D6367" t="inlineStr">
        <is>
          <t>VÄRMLANDS LÄN</t>
        </is>
      </c>
      <c r="E6367" t="inlineStr">
        <is>
          <t>ÅRJÄNG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7830-2022</t>
        </is>
      </c>
      <c r="B6368" s="1" t="n">
        <v>44608</v>
      </c>
      <c r="C6368" s="1" t="n">
        <v>45736</v>
      </c>
      <c r="D6368" t="inlineStr">
        <is>
          <t>VÄRMLANDS LÄN</t>
        </is>
      </c>
      <c r="E6368" t="inlineStr">
        <is>
          <t>FORSHAGA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7828-2022</t>
        </is>
      </c>
      <c r="B6369" s="1" t="n">
        <v>44608</v>
      </c>
      <c r="C6369" s="1" t="n">
        <v>45736</v>
      </c>
      <c r="D6369" t="inlineStr">
        <is>
          <t>VÄRMLANDS LÄN</t>
        </is>
      </c>
      <c r="E6369" t="inlineStr">
        <is>
          <t>FORSHAGA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7886-2022</t>
        </is>
      </c>
      <c r="B6370" s="1" t="n">
        <v>44608</v>
      </c>
      <c r="C6370" s="1" t="n">
        <v>45736</v>
      </c>
      <c r="D6370" t="inlineStr">
        <is>
          <t>VÄRMLANDS LÄN</t>
        </is>
      </c>
      <c r="E6370" t="inlineStr">
        <is>
          <t>EDA</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7876-2022</t>
        </is>
      </c>
      <c r="B6371" s="1" t="n">
        <v>44608</v>
      </c>
      <c r="C6371" s="1" t="n">
        <v>45736</v>
      </c>
      <c r="D6371" t="inlineStr">
        <is>
          <t>VÄRMLANDS LÄN</t>
        </is>
      </c>
      <c r="E6371" t="inlineStr">
        <is>
          <t>SÄFFLE</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7888-2022</t>
        </is>
      </c>
      <c r="B6372" s="1" t="n">
        <v>44608</v>
      </c>
      <c r="C6372" s="1" t="n">
        <v>45736</v>
      </c>
      <c r="D6372" t="inlineStr">
        <is>
          <t>VÄRMLANDS LÄN</t>
        </is>
      </c>
      <c r="E6372" t="inlineStr">
        <is>
          <t>SÄFFLE</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7893-2022</t>
        </is>
      </c>
      <c r="B6373" s="1" t="n">
        <v>44608</v>
      </c>
      <c r="C6373" s="1" t="n">
        <v>45736</v>
      </c>
      <c r="D6373" t="inlineStr">
        <is>
          <t>VÄRMLANDS LÄN</t>
        </is>
      </c>
      <c r="E6373" t="inlineStr">
        <is>
          <t>KARLSTAD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7921-2022</t>
        </is>
      </c>
      <c r="B6374" s="1" t="n">
        <v>44608</v>
      </c>
      <c r="C6374" s="1" t="n">
        <v>45736</v>
      </c>
      <c r="D6374" t="inlineStr">
        <is>
          <t>VÄRMLANDS LÄN</t>
        </is>
      </c>
      <c r="E6374" t="inlineStr">
        <is>
          <t>TORSBY</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7922-2022</t>
        </is>
      </c>
      <c r="B6375" s="1" t="n">
        <v>44608</v>
      </c>
      <c r="C6375" s="1" t="n">
        <v>45736</v>
      </c>
      <c r="D6375" t="inlineStr">
        <is>
          <t>VÄRMLANDS LÄN</t>
        </is>
      </c>
      <c r="E6375" t="inlineStr">
        <is>
          <t>GRUMS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8048-2022</t>
        </is>
      </c>
      <c r="B6376" s="1" t="n">
        <v>44609</v>
      </c>
      <c r="C6376" s="1" t="n">
        <v>45736</v>
      </c>
      <c r="D6376" t="inlineStr">
        <is>
          <t>VÄRMLANDS LÄN</t>
        </is>
      </c>
      <c r="E6376" t="inlineStr">
        <is>
          <t>TORSBY</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8054-2022</t>
        </is>
      </c>
      <c r="B6377" s="1" t="n">
        <v>44609</v>
      </c>
      <c r="C6377" s="1" t="n">
        <v>45736</v>
      </c>
      <c r="D6377" t="inlineStr">
        <is>
          <t>VÄRMLANDS LÄN</t>
        </is>
      </c>
      <c r="E6377" t="inlineStr">
        <is>
          <t>TORSBY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8033-2022</t>
        </is>
      </c>
      <c r="B6378" s="1" t="n">
        <v>44609</v>
      </c>
      <c r="C6378" s="1" t="n">
        <v>45736</v>
      </c>
      <c r="D6378" t="inlineStr">
        <is>
          <t>VÄRMLANDS LÄN</t>
        </is>
      </c>
      <c r="E6378" t="inlineStr">
        <is>
          <t>TORSBY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8292-2022</t>
        </is>
      </c>
      <c r="B6379" s="1" t="n">
        <v>44609</v>
      </c>
      <c r="C6379" s="1" t="n">
        <v>45736</v>
      </c>
      <c r="D6379" t="inlineStr">
        <is>
          <t>VÄRMLANDS LÄN</t>
        </is>
      </c>
      <c r="E6379" t="inlineStr">
        <is>
          <t>ÅRJÄNG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8202-2022</t>
        </is>
      </c>
      <c r="B6380" s="1" t="n">
        <v>44609</v>
      </c>
      <c r="C6380" s="1" t="n">
        <v>45736</v>
      </c>
      <c r="D6380" t="inlineStr">
        <is>
          <t>VÄRMLANDS LÄN</t>
        </is>
      </c>
      <c r="E6380" t="inlineStr">
        <is>
          <t>MUNKFORS</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8207-2022</t>
        </is>
      </c>
      <c r="B6381" s="1" t="n">
        <v>44609</v>
      </c>
      <c r="C6381" s="1" t="n">
        <v>45736</v>
      </c>
      <c r="D6381" t="inlineStr">
        <is>
          <t>VÄRMLANDS LÄN</t>
        </is>
      </c>
      <c r="E6381" t="inlineStr">
        <is>
          <t>ARVIKA</t>
        </is>
      </c>
      <c r="F6381" t="inlineStr">
        <is>
          <t>Bergvik skog väst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8317-2022</t>
        </is>
      </c>
      <c r="B6382" s="1" t="n">
        <v>44610</v>
      </c>
      <c r="C6382" s="1" t="n">
        <v>45736</v>
      </c>
      <c r="D6382" t="inlineStr">
        <is>
          <t>VÄRMLANDS LÄN</t>
        </is>
      </c>
      <c r="E6382" t="inlineStr">
        <is>
          <t>SÄFFLE</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8340-2022</t>
        </is>
      </c>
      <c r="B6383" s="1" t="n">
        <v>44610</v>
      </c>
      <c r="C6383" s="1" t="n">
        <v>45736</v>
      </c>
      <c r="D6383" t="inlineStr">
        <is>
          <t>VÄRMLANDS LÄN</t>
        </is>
      </c>
      <c r="E6383" t="inlineStr">
        <is>
          <t>KIL</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8408-2022</t>
        </is>
      </c>
      <c r="B6384" s="1" t="n">
        <v>44610</v>
      </c>
      <c r="C6384" s="1" t="n">
        <v>45736</v>
      </c>
      <c r="D6384" t="inlineStr">
        <is>
          <t>VÄRMLANDS LÄN</t>
        </is>
      </c>
      <c r="E6384" t="inlineStr">
        <is>
          <t>ÅRJÄNG</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8297-2022</t>
        </is>
      </c>
      <c r="B6385" s="1" t="n">
        <v>44610</v>
      </c>
      <c r="C6385" s="1" t="n">
        <v>45736</v>
      </c>
      <c r="D6385" t="inlineStr">
        <is>
          <t>VÄRMLANDS LÄN</t>
        </is>
      </c>
      <c r="E6385" t="inlineStr">
        <is>
          <t>EDA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8304-2022</t>
        </is>
      </c>
      <c r="B6386" s="1" t="n">
        <v>44610</v>
      </c>
      <c r="C6386" s="1" t="n">
        <v>45736</v>
      </c>
      <c r="D6386" t="inlineStr">
        <is>
          <t>VÄRMLANDS LÄN</t>
        </is>
      </c>
      <c r="E6386" t="inlineStr">
        <is>
          <t>HAGFORS</t>
        </is>
      </c>
      <c r="F6386" t="inlineStr">
        <is>
          <t>Bergvik skog väst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8348-2022</t>
        </is>
      </c>
      <c r="B6387" s="1" t="n">
        <v>44610</v>
      </c>
      <c r="C6387" s="1" t="n">
        <v>45736</v>
      </c>
      <c r="D6387" t="inlineStr">
        <is>
          <t>VÄRMLANDS LÄN</t>
        </is>
      </c>
      <c r="E6387" t="inlineStr">
        <is>
          <t>KIL</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8438-2022</t>
        </is>
      </c>
      <c r="B6388" s="1" t="n">
        <v>44612</v>
      </c>
      <c r="C6388" s="1" t="n">
        <v>45736</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8449-2022</t>
        </is>
      </c>
      <c r="B6389" s="1" t="n">
        <v>44612</v>
      </c>
      <c r="C6389" s="1" t="n">
        <v>45736</v>
      </c>
      <c r="D6389" t="inlineStr">
        <is>
          <t>VÄRMLANDS LÄN</t>
        </is>
      </c>
      <c r="E6389" t="inlineStr">
        <is>
          <t>KIL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8614-2022</t>
        </is>
      </c>
      <c r="B6390" s="1" t="n">
        <v>44613</v>
      </c>
      <c r="C6390" s="1" t="n">
        <v>45736</v>
      </c>
      <c r="D6390" t="inlineStr">
        <is>
          <t>VÄRMLANDS LÄN</t>
        </is>
      </c>
      <c r="E6390" t="inlineStr">
        <is>
          <t>ARVIKA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8625-2022</t>
        </is>
      </c>
      <c r="B6391" s="1" t="n">
        <v>44613</v>
      </c>
      <c r="C6391" s="1" t="n">
        <v>45736</v>
      </c>
      <c r="D6391" t="inlineStr">
        <is>
          <t>VÄRMLANDS LÄN</t>
        </is>
      </c>
      <c r="E6391" t="inlineStr">
        <is>
          <t>ÅRJÄNG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8578-2022</t>
        </is>
      </c>
      <c r="B6392" s="1" t="n">
        <v>44613</v>
      </c>
      <c r="C6392" s="1" t="n">
        <v>45736</v>
      </c>
      <c r="D6392" t="inlineStr">
        <is>
          <t>VÄRMLANDS LÄN</t>
        </is>
      </c>
      <c r="E6392" t="inlineStr">
        <is>
          <t>ARVIKA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8585-2022</t>
        </is>
      </c>
      <c r="B6393" s="1" t="n">
        <v>44613</v>
      </c>
      <c r="C6393" s="1" t="n">
        <v>45736</v>
      </c>
      <c r="D6393" t="inlineStr">
        <is>
          <t>VÄRMLANDS LÄN</t>
        </is>
      </c>
      <c r="E6393" t="inlineStr">
        <is>
          <t>SUNNE</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8601-2022</t>
        </is>
      </c>
      <c r="B6394" s="1" t="n">
        <v>44613</v>
      </c>
      <c r="C6394" s="1" t="n">
        <v>45736</v>
      </c>
      <c r="D6394" t="inlineStr">
        <is>
          <t>VÄRMLANDS LÄN</t>
        </is>
      </c>
      <c r="E6394" t="inlineStr">
        <is>
          <t>ÅRJÄNG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8634-2022</t>
        </is>
      </c>
      <c r="B6395" s="1" t="n">
        <v>44613</v>
      </c>
      <c r="C6395" s="1" t="n">
        <v>45736</v>
      </c>
      <c r="D6395" t="inlineStr">
        <is>
          <t>VÄRMLANDS LÄN</t>
        </is>
      </c>
      <c r="E6395" t="inlineStr">
        <is>
          <t>ARVIKA</t>
        </is>
      </c>
      <c r="F6395" t="inlineStr">
        <is>
          <t>Bergvik skog väst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8482-2022</t>
        </is>
      </c>
      <c r="B6396" s="1" t="n">
        <v>44613</v>
      </c>
      <c r="C6396" s="1" t="n">
        <v>45736</v>
      </c>
      <c r="D6396" t="inlineStr">
        <is>
          <t>VÄRMLANDS LÄN</t>
        </is>
      </c>
      <c r="E6396" t="inlineStr">
        <is>
          <t>FILIPSTAD</t>
        </is>
      </c>
      <c r="F6396" t="inlineStr">
        <is>
          <t>Bergvik skog väst AB</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8678-2022</t>
        </is>
      </c>
      <c r="B6397" s="1" t="n">
        <v>44613</v>
      </c>
      <c r="C6397" s="1" t="n">
        <v>45736</v>
      </c>
      <c r="D6397" t="inlineStr">
        <is>
          <t>VÄRMLANDS LÄN</t>
        </is>
      </c>
      <c r="E6397" t="inlineStr">
        <is>
          <t>ÅRJÄNG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8483-2022</t>
        </is>
      </c>
      <c r="B6398" s="1" t="n">
        <v>44613</v>
      </c>
      <c r="C6398" s="1" t="n">
        <v>45736</v>
      </c>
      <c r="D6398" t="inlineStr">
        <is>
          <t>VÄRMLANDS LÄN</t>
        </is>
      </c>
      <c r="E6398" t="inlineStr">
        <is>
          <t>KARLSTAD</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8496-2022</t>
        </is>
      </c>
      <c r="B6399" s="1" t="n">
        <v>44613</v>
      </c>
      <c r="C6399" s="1" t="n">
        <v>45736</v>
      </c>
      <c r="D6399" t="inlineStr">
        <is>
          <t>VÄRMLANDS LÄN</t>
        </is>
      </c>
      <c r="E6399" t="inlineStr">
        <is>
          <t>HAGFORS</t>
        </is>
      </c>
      <c r="F6399" t="inlineStr">
        <is>
          <t>Bergvik skog väst AB</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8577-2022</t>
        </is>
      </c>
      <c r="B6400" s="1" t="n">
        <v>44613</v>
      </c>
      <c r="C6400" s="1" t="n">
        <v>45736</v>
      </c>
      <c r="D6400" t="inlineStr">
        <is>
          <t>VÄRMLANDS LÄN</t>
        </is>
      </c>
      <c r="E6400" t="inlineStr">
        <is>
          <t>HAGFORS</t>
        </is>
      </c>
      <c r="F6400" t="inlineStr">
        <is>
          <t>Bergvik skog väst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8818-2022</t>
        </is>
      </c>
      <c r="B6401" s="1" t="n">
        <v>44614</v>
      </c>
      <c r="C6401" s="1" t="n">
        <v>45736</v>
      </c>
      <c r="D6401" t="inlineStr">
        <is>
          <t>VÄRMLANDS LÄN</t>
        </is>
      </c>
      <c r="E6401" t="inlineStr">
        <is>
          <t>ÅRJÄNG</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8788-2022</t>
        </is>
      </c>
      <c r="B6402" s="1" t="n">
        <v>44614</v>
      </c>
      <c r="C6402" s="1" t="n">
        <v>45736</v>
      </c>
      <c r="D6402" t="inlineStr">
        <is>
          <t>VÄRMLANDS LÄN</t>
        </is>
      </c>
      <c r="E6402" t="inlineStr">
        <is>
          <t>GRUMS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8766-2022</t>
        </is>
      </c>
      <c r="B6403" s="1" t="n">
        <v>44614</v>
      </c>
      <c r="C6403" s="1" t="n">
        <v>45736</v>
      </c>
      <c r="D6403" t="inlineStr">
        <is>
          <t>VÄRMLANDS LÄN</t>
        </is>
      </c>
      <c r="E6403" t="inlineStr">
        <is>
          <t>SUNNE</t>
        </is>
      </c>
      <c r="F6403" t="inlineStr">
        <is>
          <t>Bergvik skog väst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8851-2022</t>
        </is>
      </c>
      <c r="B6404" s="1" t="n">
        <v>44614</v>
      </c>
      <c r="C6404" s="1" t="n">
        <v>45736</v>
      </c>
      <c r="D6404" t="inlineStr">
        <is>
          <t>VÄRMLANDS LÄN</t>
        </is>
      </c>
      <c r="E6404" t="inlineStr">
        <is>
          <t>SUNNE</t>
        </is>
      </c>
      <c r="F6404" t="inlineStr">
        <is>
          <t>Bergvik skog väst AB</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8880-2022</t>
        </is>
      </c>
      <c r="B6405" s="1" t="n">
        <v>44614</v>
      </c>
      <c r="C6405" s="1" t="n">
        <v>45736</v>
      </c>
      <c r="D6405" t="inlineStr">
        <is>
          <t>VÄRMLANDS LÄN</t>
        </is>
      </c>
      <c r="E6405" t="inlineStr">
        <is>
          <t>GRUMS</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8942-2022</t>
        </is>
      </c>
      <c r="B6406" s="1" t="n">
        <v>44614</v>
      </c>
      <c r="C6406" s="1" t="n">
        <v>45736</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8938-2022</t>
        </is>
      </c>
      <c r="B6407" s="1" t="n">
        <v>44614</v>
      </c>
      <c r="C6407" s="1" t="n">
        <v>45736</v>
      </c>
      <c r="D6407" t="inlineStr">
        <is>
          <t>VÄRMLANDS LÄN</t>
        </is>
      </c>
      <c r="E6407" t="inlineStr">
        <is>
          <t>ÅRJÄNG</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8945-2022</t>
        </is>
      </c>
      <c r="B6408" s="1" t="n">
        <v>44614</v>
      </c>
      <c r="C6408" s="1" t="n">
        <v>45736</v>
      </c>
      <c r="D6408" t="inlineStr">
        <is>
          <t>VÄRMLANDS LÄN</t>
        </is>
      </c>
      <c r="E6408" t="inlineStr">
        <is>
          <t>EDA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8920-2022</t>
        </is>
      </c>
      <c r="B6409" s="1" t="n">
        <v>44614</v>
      </c>
      <c r="C6409" s="1" t="n">
        <v>45736</v>
      </c>
      <c r="D6409" t="inlineStr">
        <is>
          <t>VÄRMLANDS LÄN</t>
        </is>
      </c>
      <c r="E6409" t="inlineStr">
        <is>
          <t>KRISTINEHAMN</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8943-2022</t>
        </is>
      </c>
      <c r="B6410" s="1" t="n">
        <v>44614</v>
      </c>
      <c r="C6410" s="1" t="n">
        <v>45736</v>
      </c>
      <c r="D6410" t="inlineStr">
        <is>
          <t>VÄRMLANDS LÄN</t>
        </is>
      </c>
      <c r="E6410" t="inlineStr">
        <is>
          <t>EDA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8944-2022</t>
        </is>
      </c>
      <c r="B6411" s="1" t="n">
        <v>44614</v>
      </c>
      <c r="C6411" s="1" t="n">
        <v>45736</v>
      </c>
      <c r="D6411" t="inlineStr">
        <is>
          <t>VÄRMLANDS LÄN</t>
        </is>
      </c>
      <c r="E6411" t="inlineStr">
        <is>
          <t>EDA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8985-2022</t>
        </is>
      </c>
      <c r="B6412" s="1" t="n">
        <v>44615</v>
      </c>
      <c r="C6412" s="1" t="n">
        <v>45736</v>
      </c>
      <c r="D6412" t="inlineStr">
        <is>
          <t>VÄRMLANDS LÄN</t>
        </is>
      </c>
      <c r="E6412" t="inlineStr">
        <is>
          <t>SUNNE</t>
        </is>
      </c>
      <c r="F6412" t="inlineStr">
        <is>
          <t>Bergvik skog väst AB</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8739-2022</t>
        </is>
      </c>
      <c r="B6413" s="1" t="n">
        <v>44615</v>
      </c>
      <c r="C6413" s="1" t="n">
        <v>45736</v>
      </c>
      <c r="D6413" t="inlineStr">
        <is>
          <t>VÄRMLANDS LÄN</t>
        </is>
      </c>
      <c r="E6413" t="inlineStr">
        <is>
          <t>TORSBY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9057-2022</t>
        </is>
      </c>
      <c r="B6414" s="1" t="n">
        <v>44615</v>
      </c>
      <c r="C6414" s="1" t="n">
        <v>45736</v>
      </c>
      <c r="D6414" t="inlineStr">
        <is>
          <t>VÄRMLANDS LÄN</t>
        </is>
      </c>
      <c r="E6414" t="inlineStr">
        <is>
          <t>TORSBY</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9109-2022</t>
        </is>
      </c>
      <c r="B6415" s="1" t="n">
        <v>44615</v>
      </c>
      <c r="C6415" s="1" t="n">
        <v>45736</v>
      </c>
      <c r="D6415" t="inlineStr">
        <is>
          <t>VÄRMLANDS LÄN</t>
        </is>
      </c>
      <c r="E6415" t="inlineStr">
        <is>
          <t>SÄFFLE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9080-2022</t>
        </is>
      </c>
      <c r="B6416" s="1" t="n">
        <v>44615</v>
      </c>
      <c r="C6416" s="1" t="n">
        <v>45736</v>
      </c>
      <c r="D6416" t="inlineStr">
        <is>
          <t>VÄRMLANDS LÄN</t>
        </is>
      </c>
      <c r="E6416" t="inlineStr">
        <is>
          <t>ARVIKA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9122-2022</t>
        </is>
      </c>
      <c r="B6417" s="1" t="n">
        <v>44615</v>
      </c>
      <c r="C6417" s="1" t="n">
        <v>45736</v>
      </c>
      <c r="D6417" t="inlineStr">
        <is>
          <t>VÄRMLANDS LÄN</t>
        </is>
      </c>
      <c r="E6417" t="inlineStr">
        <is>
          <t>ARVIKA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9138-2022</t>
        </is>
      </c>
      <c r="B6418" s="1" t="n">
        <v>44615</v>
      </c>
      <c r="C6418" s="1" t="n">
        <v>45736</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9236-2022</t>
        </is>
      </c>
      <c r="B6419" s="1" t="n">
        <v>44616</v>
      </c>
      <c r="C6419" s="1" t="n">
        <v>45736</v>
      </c>
      <c r="D6419" t="inlineStr">
        <is>
          <t>VÄRMLANDS LÄN</t>
        </is>
      </c>
      <c r="E6419" t="inlineStr">
        <is>
          <t>ARVIKA</t>
        </is>
      </c>
      <c r="F6419" t="inlineStr">
        <is>
          <t>Bergvik skog väst AB</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9266-2022</t>
        </is>
      </c>
      <c r="B6420" s="1" t="n">
        <v>44616</v>
      </c>
      <c r="C6420" s="1" t="n">
        <v>45736</v>
      </c>
      <c r="D6420" t="inlineStr">
        <is>
          <t>VÄRMLANDS LÄN</t>
        </is>
      </c>
      <c r="E6420" t="inlineStr">
        <is>
          <t>ARVIKA</t>
        </is>
      </c>
      <c r="F6420" t="inlineStr">
        <is>
          <t>Bergvik skog väst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9321-2022</t>
        </is>
      </c>
      <c r="B6421" s="1" t="n">
        <v>44616</v>
      </c>
      <c r="C6421" s="1" t="n">
        <v>45736</v>
      </c>
      <c r="D6421" t="inlineStr">
        <is>
          <t>VÄRMLANDS LÄN</t>
        </is>
      </c>
      <c r="E6421" t="inlineStr">
        <is>
          <t>ARVIKA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9407-2022</t>
        </is>
      </c>
      <c r="B6422" s="1" t="n">
        <v>44616</v>
      </c>
      <c r="C6422" s="1" t="n">
        <v>45736</v>
      </c>
      <c r="D6422" t="inlineStr">
        <is>
          <t>VÄRMLANDS LÄN</t>
        </is>
      </c>
      <c r="E6422" t="inlineStr">
        <is>
          <t>ÅRJÄNG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9264-2022</t>
        </is>
      </c>
      <c r="B6423" s="1" t="n">
        <v>44616</v>
      </c>
      <c r="C6423" s="1" t="n">
        <v>45736</v>
      </c>
      <c r="D6423" t="inlineStr">
        <is>
          <t>VÄRMLANDS LÄN</t>
        </is>
      </c>
      <c r="E6423" t="inlineStr">
        <is>
          <t>FORSHAGA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9296-2022</t>
        </is>
      </c>
      <c r="B6424" s="1" t="n">
        <v>44616</v>
      </c>
      <c r="C6424" s="1" t="n">
        <v>45736</v>
      </c>
      <c r="D6424" t="inlineStr">
        <is>
          <t>VÄRMLANDS LÄN</t>
        </is>
      </c>
      <c r="E6424" t="inlineStr">
        <is>
          <t>SÄFFLE</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9318-2022</t>
        </is>
      </c>
      <c r="B6425" s="1" t="n">
        <v>44616</v>
      </c>
      <c r="C6425" s="1" t="n">
        <v>45736</v>
      </c>
      <c r="D6425" t="inlineStr">
        <is>
          <t>VÄRMLANDS LÄN</t>
        </is>
      </c>
      <c r="E6425" t="inlineStr">
        <is>
          <t>STORFORS</t>
        </is>
      </c>
      <c r="F6425" t="inlineStr">
        <is>
          <t>Bergvik skog väst AB</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9349-2022</t>
        </is>
      </c>
      <c r="B6426" s="1" t="n">
        <v>44616</v>
      </c>
      <c r="C6426" s="1" t="n">
        <v>45736</v>
      </c>
      <c r="D6426" t="inlineStr">
        <is>
          <t>VÄRMLANDS LÄN</t>
        </is>
      </c>
      <c r="E6426" t="inlineStr">
        <is>
          <t>FORSHAGA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9358-2022</t>
        </is>
      </c>
      <c r="B6427" s="1" t="n">
        <v>44616</v>
      </c>
      <c r="C6427" s="1" t="n">
        <v>45736</v>
      </c>
      <c r="D6427" t="inlineStr">
        <is>
          <t>VÄRMLANDS LÄN</t>
        </is>
      </c>
      <c r="E6427" t="inlineStr">
        <is>
          <t>ARVIKA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9271-2022</t>
        </is>
      </c>
      <c r="B6428" s="1" t="n">
        <v>44616</v>
      </c>
      <c r="C6428" s="1" t="n">
        <v>45736</v>
      </c>
      <c r="D6428" t="inlineStr">
        <is>
          <t>VÄRMLANDS LÄN</t>
        </is>
      </c>
      <c r="E6428" t="inlineStr">
        <is>
          <t>FORSHAGA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9319-2022</t>
        </is>
      </c>
      <c r="B6429" s="1" t="n">
        <v>44616</v>
      </c>
      <c r="C6429" s="1" t="n">
        <v>45736</v>
      </c>
      <c r="D6429" t="inlineStr">
        <is>
          <t>VÄRMLANDS LÄN</t>
        </is>
      </c>
      <c r="E6429" t="inlineStr">
        <is>
          <t>ARVIKA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9350-2022</t>
        </is>
      </c>
      <c r="B6430" s="1" t="n">
        <v>44616</v>
      </c>
      <c r="C6430" s="1" t="n">
        <v>45736</v>
      </c>
      <c r="D6430" t="inlineStr">
        <is>
          <t>VÄRMLANDS LÄN</t>
        </is>
      </c>
      <c r="E6430" t="inlineStr">
        <is>
          <t>FORSHAGA</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9359-2022</t>
        </is>
      </c>
      <c r="B6431" s="1" t="n">
        <v>44616</v>
      </c>
      <c r="C6431" s="1" t="n">
        <v>45736</v>
      </c>
      <c r="D6431" t="inlineStr">
        <is>
          <t>VÄRMLANDS LÄN</t>
        </is>
      </c>
      <c r="E6431" t="inlineStr">
        <is>
          <t>SÄFFLE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9369-2022</t>
        </is>
      </c>
      <c r="B6432" s="1" t="n">
        <v>44616</v>
      </c>
      <c r="C6432" s="1" t="n">
        <v>45736</v>
      </c>
      <c r="D6432" t="inlineStr">
        <is>
          <t>VÄRMLANDS LÄN</t>
        </is>
      </c>
      <c r="E6432" t="inlineStr">
        <is>
          <t>ÅRJÄNG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9374-2022</t>
        </is>
      </c>
      <c r="B6433" s="1" t="n">
        <v>44616</v>
      </c>
      <c r="C6433" s="1" t="n">
        <v>45736</v>
      </c>
      <c r="D6433" t="inlineStr">
        <is>
          <t>VÄRMLANDS LÄN</t>
        </is>
      </c>
      <c r="E6433" t="inlineStr">
        <is>
          <t>ARVIKA</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9630-2022</t>
        </is>
      </c>
      <c r="B6434" s="1" t="n">
        <v>44617</v>
      </c>
      <c r="C6434" s="1" t="n">
        <v>45736</v>
      </c>
      <c r="D6434" t="inlineStr">
        <is>
          <t>VÄRMLANDS LÄN</t>
        </is>
      </c>
      <c r="E6434" t="inlineStr">
        <is>
          <t>ÅRJÄNG</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9615-2022</t>
        </is>
      </c>
      <c r="B6435" s="1" t="n">
        <v>44617</v>
      </c>
      <c r="C6435" s="1" t="n">
        <v>45736</v>
      </c>
      <c r="D6435" t="inlineStr">
        <is>
          <t>VÄRMLANDS LÄN</t>
        </is>
      </c>
      <c r="E6435" t="inlineStr">
        <is>
          <t>ARVIKA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9657-2022</t>
        </is>
      </c>
      <c r="B6436" s="1" t="n">
        <v>44617</v>
      </c>
      <c r="C6436" s="1" t="n">
        <v>45736</v>
      </c>
      <c r="D6436" t="inlineStr">
        <is>
          <t>VÄRMLANDS LÄN</t>
        </is>
      </c>
      <c r="E6436" t="inlineStr">
        <is>
          <t>ARVIKA</t>
        </is>
      </c>
      <c r="F6436" t="inlineStr">
        <is>
          <t>Bergvik skog väst AB</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9608-2022</t>
        </is>
      </c>
      <c r="B6437" s="1" t="n">
        <v>44617</v>
      </c>
      <c r="C6437" s="1" t="n">
        <v>45736</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9672-2022</t>
        </is>
      </c>
      <c r="B6438" s="1" t="n">
        <v>44617</v>
      </c>
      <c r="C6438" s="1" t="n">
        <v>45736</v>
      </c>
      <c r="D6438" t="inlineStr">
        <is>
          <t>VÄRMLANDS LÄN</t>
        </is>
      </c>
      <c r="E6438" t="inlineStr">
        <is>
          <t>ARVIKA</t>
        </is>
      </c>
      <c r="F6438" t="inlineStr">
        <is>
          <t>Bergvik skog väst AB</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9776-2022</t>
        </is>
      </c>
      <c r="B6439" s="1" t="n">
        <v>44619</v>
      </c>
      <c r="C6439" s="1" t="n">
        <v>45736</v>
      </c>
      <c r="D6439" t="inlineStr">
        <is>
          <t>VÄRMLANDS LÄN</t>
        </is>
      </c>
      <c r="E6439" t="inlineStr">
        <is>
          <t>EDA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9799-2022</t>
        </is>
      </c>
      <c r="B6440" s="1" t="n">
        <v>44620</v>
      </c>
      <c r="C6440" s="1" t="n">
        <v>45736</v>
      </c>
      <c r="D6440" t="inlineStr">
        <is>
          <t>VÄRMLANDS LÄN</t>
        </is>
      </c>
      <c r="E6440" t="inlineStr">
        <is>
          <t>GRUMS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9855-2022</t>
        </is>
      </c>
      <c r="B6441" s="1" t="n">
        <v>44620</v>
      </c>
      <c r="C6441" s="1" t="n">
        <v>45736</v>
      </c>
      <c r="D6441" t="inlineStr">
        <is>
          <t>VÄRMLANDS LÄN</t>
        </is>
      </c>
      <c r="E6441" t="inlineStr">
        <is>
          <t>ARVIKA</t>
        </is>
      </c>
      <c r="F6441" t="inlineStr">
        <is>
          <t>Bergvik skog väst AB</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9857-2022</t>
        </is>
      </c>
      <c r="B6442" s="1" t="n">
        <v>44620</v>
      </c>
      <c r="C6442" s="1" t="n">
        <v>45736</v>
      </c>
      <c r="D6442" t="inlineStr">
        <is>
          <t>VÄRMLANDS LÄN</t>
        </is>
      </c>
      <c r="E6442" t="inlineStr">
        <is>
          <t>ARVIKA</t>
        </is>
      </c>
      <c r="F6442" t="inlineStr">
        <is>
          <t>Bergvik skog väst AB</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9805-2022</t>
        </is>
      </c>
      <c r="B6443" s="1" t="n">
        <v>44620</v>
      </c>
      <c r="C6443" s="1" t="n">
        <v>45736</v>
      </c>
      <c r="D6443" t="inlineStr">
        <is>
          <t>VÄRMLANDS LÄN</t>
        </is>
      </c>
      <c r="E6443" t="inlineStr">
        <is>
          <t>ARVIKA</t>
        </is>
      </c>
      <c r="F6443" t="inlineStr">
        <is>
          <t>Bergvik skog väst AB</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9850-2022</t>
        </is>
      </c>
      <c r="B6444" s="1" t="n">
        <v>44620</v>
      </c>
      <c r="C6444" s="1" t="n">
        <v>45736</v>
      </c>
      <c r="D6444" t="inlineStr">
        <is>
          <t>VÄRMLANDS LÄN</t>
        </is>
      </c>
      <c r="E6444" t="inlineStr">
        <is>
          <t>SÄFFLE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9865-2022</t>
        </is>
      </c>
      <c r="B6445" s="1" t="n">
        <v>44620</v>
      </c>
      <c r="C6445" s="1" t="n">
        <v>45736</v>
      </c>
      <c r="D6445" t="inlineStr">
        <is>
          <t>VÄRMLANDS LÄN</t>
        </is>
      </c>
      <c r="E6445" t="inlineStr">
        <is>
          <t>ARVIKA</t>
        </is>
      </c>
      <c r="G6445" t="n">
        <v>11.2</v>
      </c>
      <c r="H6445" t="n">
        <v>0</v>
      </c>
      <c r="I6445" t="n">
        <v>0</v>
      </c>
      <c r="J6445" t="n">
        <v>0</v>
      </c>
      <c r="K6445" t="n">
        <v>0</v>
      </c>
      <c r="L6445" t="n">
        <v>0</v>
      </c>
      <c r="M6445" t="n">
        <v>0</v>
      </c>
      <c r="N6445" t="n">
        <v>0</v>
      </c>
      <c r="O6445" t="n">
        <v>0</v>
      </c>
      <c r="P6445" t="n">
        <v>0</v>
      </c>
      <c r="Q6445" t="n">
        <v>0</v>
      </c>
      <c r="R6445" s="2" t="inlineStr"/>
    </row>
    <row r="6446" ht="15" customHeight="1">
      <c r="A6446" t="inlineStr">
        <is>
          <t>A 9873-2022</t>
        </is>
      </c>
      <c r="B6446" s="1" t="n">
        <v>44620</v>
      </c>
      <c r="C6446" s="1" t="n">
        <v>45736</v>
      </c>
      <c r="D6446" t="inlineStr">
        <is>
          <t>VÄRMLANDS LÄN</t>
        </is>
      </c>
      <c r="E6446" t="inlineStr">
        <is>
          <t>KIL</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9896-2022</t>
        </is>
      </c>
      <c r="B6447" s="1" t="n">
        <v>44620</v>
      </c>
      <c r="C6447" s="1" t="n">
        <v>45736</v>
      </c>
      <c r="D6447" t="inlineStr">
        <is>
          <t>VÄRMLANDS LÄN</t>
        </is>
      </c>
      <c r="E6447" t="inlineStr">
        <is>
          <t>KARLSTAD</t>
        </is>
      </c>
      <c r="F6447" t="inlineStr">
        <is>
          <t>Bergvik skog väst AB</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9885-2022</t>
        </is>
      </c>
      <c r="B6448" s="1" t="n">
        <v>44620</v>
      </c>
      <c r="C6448" s="1" t="n">
        <v>45736</v>
      </c>
      <c r="D6448" t="inlineStr">
        <is>
          <t>VÄRMLANDS LÄN</t>
        </is>
      </c>
      <c r="E6448" t="inlineStr">
        <is>
          <t>ÅRJÄNG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9894-2022</t>
        </is>
      </c>
      <c r="B6449" s="1" t="n">
        <v>44620</v>
      </c>
      <c r="C6449" s="1" t="n">
        <v>45736</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9939-2022</t>
        </is>
      </c>
      <c r="B6450" s="1" t="n">
        <v>44620</v>
      </c>
      <c r="C6450" s="1" t="n">
        <v>45736</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10006-2022</t>
        </is>
      </c>
      <c r="B6451" s="1" t="n">
        <v>44621</v>
      </c>
      <c r="C6451" s="1" t="n">
        <v>45736</v>
      </c>
      <c r="D6451" t="inlineStr">
        <is>
          <t>VÄRMLANDS LÄN</t>
        </is>
      </c>
      <c r="E6451" t="inlineStr">
        <is>
          <t>ÅRJÄNG</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10029-2022</t>
        </is>
      </c>
      <c r="B6452" s="1" t="n">
        <v>44621</v>
      </c>
      <c r="C6452" s="1" t="n">
        <v>45736</v>
      </c>
      <c r="D6452" t="inlineStr">
        <is>
          <t>VÄRMLANDS LÄN</t>
        </is>
      </c>
      <c r="E6452" t="inlineStr">
        <is>
          <t>SUNNE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10109-2022</t>
        </is>
      </c>
      <c r="B6453" s="1" t="n">
        <v>44621</v>
      </c>
      <c r="C6453" s="1" t="n">
        <v>45736</v>
      </c>
      <c r="D6453" t="inlineStr">
        <is>
          <t>VÄRMLANDS LÄN</t>
        </is>
      </c>
      <c r="E6453" t="inlineStr">
        <is>
          <t>KARLSTAD</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10155-2022</t>
        </is>
      </c>
      <c r="B6454" s="1" t="n">
        <v>44622</v>
      </c>
      <c r="C6454" s="1" t="n">
        <v>45736</v>
      </c>
      <c r="D6454" t="inlineStr">
        <is>
          <t>VÄRMLANDS LÄN</t>
        </is>
      </c>
      <c r="E6454" t="inlineStr">
        <is>
          <t>KARLSTAD</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10162-2022</t>
        </is>
      </c>
      <c r="B6455" s="1" t="n">
        <v>44622</v>
      </c>
      <c r="C6455" s="1" t="n">
        <v>45736</v>
      </c>
      <c r="D6455" t="inlineStr">
        <is>
          <t>VÄRMLANDS LÄN</t>
        </is>
      </c>
      <c r="E6455" t="inlineStr">
        <is>
          <t>KARLSTAD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10236-2022</t>
        </is>
      </c>
      <c r="B6456" s="1" t="n">
        <v>44622</v>
      </c>
      <c r="C6456" s="1" t="n">
        <v>45736</v>
      </c>
      <c r="D6456" t="inlineStr">
        <is>
          <t>VÄRMLANDS LÄN</t>
        </is>
      </c>
      <c r="E6456" t="inlineStr">
        <is>
          <t>HAGFORS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10305-2022</t>
        </is>
      </c>
      <c r="B6457" s="1" t="n">
        <v>44622</v>
      </c>
      <c r="C6457" s="1" t="n">
        <v>45736</v>
      </c>
      <c r="D6457" t="inlineStr">
        <is>
          <t>VÄRMLANDS LÄN</t>
        </is>
      </c>
      <c r="E6457" t="inlineStr">
        <is>
          <t>HAGFORS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10224-2022</t>
        </is>
      </c>
      <c r="B6458" s="1" t="n">
        <v>44622</v>
      </c>
      <c r="C6458" s="1" t="n">
        <v>45736</v>
      </c>
      <c r="D6458" t="inlineStr">
        <is>
          <t>VÄRMLANDS LÄN</t>
        </is>
      </c>
      <c r="E6458" t="inlineStr">
        <is>
          <t>SUNNE</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10364-2022</t>
        </is>
      </c>
      <c r="B6459" s="1" t="n">
        <v>44623</v>
      </c>
      <c r="C6459" s="1" t="n">
        <v>45736</v>
      </c>
      <c r="D6459" t="inlineStr">
        <is>
          <t>VÄRMLANDS LÄN</t>
        </is>
      </c>
      <c r="E6459" t="inlineStr">
        <is>
          <t>KIL</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10366-2022</t>
        </is>
      </c>
      <c r="B6460" s="1" t="n">
        <v>44623</v>
      </c>
      <c r="C6460" s="1" t="n">
        <v>45736</v>
      </c>
      <c r="D6460" t="inlineStr">
        <is>
          <t>VÄRMLANDS LÄN</t>
        </is>
      </c>
      <c r="E6460" t="inlineStr">
        <is>
          <t>KIL</t>
        </is>
      </c>
      <c r="G6460" t="n">
        <v>10.1</v>
      </c>
      <c r="H6460" t="n">
        <v>0</v>
      </c>
      <c r="I6460" t="n">
        <v>0</v>
      </c>
      <c r="J6460" t="n">
        <v>0</v>
      </c>
      <c r="K6460" t="n">
        <v>0</v>
      </c>
      <c r="L6460" t="n">
        <v>0</v>
      </c>
      <c r="M6460" t="n">
        <v>0</v>
      </c>
      <c r="N6460" t="n">
        <v>0</v>
      </c>
      <c r="O6460" t="n">
        <v>0</v>
      </c>
      <c r="P6460" t="n">
        <v>0</v>
      </c>
      <c r="Q6460" t="n">
        <v>0</v>
      </c>
      <c r="R6460" s="2" t="inlineStr"/>
    </row>
    <row r="6461" ht="15" customHeight="1">
      <c r="A6461" t="inlineStr">
        <is>
          <t>A 10374-2022</t>
        </is>
      </c>
      <c r="B6461" s="1" t="n">
        <v>44623</v>
      </c>
      <c r="C6461" s="1" t="n">
        <v>45736</v>
      </c>
      <c r="D6461" t="inlineStr">
        <is>
          <t>VÄRMLANDS LÄN</t>
        </is>
      </c>
      <c r="E6461" t="inlineStr">
        <is>
          <t>KIL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10379-2022</t>
        </is>
      </c>
      <c r="B6462" s="1" t="n">
        <v>44623</v>
      </c>
      <c r="C6462" s="1" t="n">
        <v>45736</v>
      </c>
      <c r="D6462" t="inlineStr">
        <is>
          <t>VÄRMLANDS LÄN</t>
        </is>
      </c>
      <c r="E6462" t="inlineStr">
        <is>
          <t>SÄFFLE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10376-2022</t>
        </is>
      </c>
      <c r="B6463" s="1" t="n">
        <v>44623</v>
      </c>
      <c r="C6463" s="1" t="n">
        <v>45736</v>
      </c>
      <c r="D6463" t="inlineStr">
        <is>
          <t>VÄRMLANDS LÄN</t>
        </is>
      </c>
      <c r="E6463" t="inlineStr">
        <is>
          <t>KARLSTAD</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10485-2022</t>
        </is>
      </c>
      <c r="B6464" s="1" t="n">
        <v>44623</v>
      </c>
      <c r="C6464" s="1" t="n">
        <v>45736</v>
      </c>
      <c r="D6464" t="inlineStr">
        <is>
          <t>VÄRMLANDS LÄN</t>
        </is>
      </c>
      <c r="E6464" t="inlineStr">
        <is>
          <t>KARLSTAD</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10547-2022</t>
        </is>
      </c>
      <c r="B6465" s="1" t="n">
        <v>44623</v>
      </c>
      <c r="C6465" s="1" t="n">
        <v>45736</v>
      </c>
      <c r="D6465" t="inlineStr">
        <is>
          <t>VÄRMLANDS LÄN</t>
        </is>
      </c>
      <c r="E6465" t="inlineStr">
        <is>
          <t>SUNNE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10519-2022</t>
        </is>
      </c>
      <c r="B6466" s="1" t="n">
        <v>44623</v>
      </c>
      <c r="C6466" s="1" t="n">
        <v>45736</v>
      </c>
      <c r="D6466" t="inlineStr">
        <is>
          <t>VÄRMLANDS LÄN</t>
        </is>
      </c>
      <c r="E6466" t="inlineStr">
        <is>
          <t>ÅRJÄNG</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10518-2022</t>
        </is>
      </c>
      <c r="B6467" s="1" t="n">
        <v>44623</v>
      </c>
      <c r="C6467" s="1" t="n">
        <v>45736</v>
      </c>
      <c r="D6467" t="inlineStr">
        <is>
          <t>VÄRMLANDS LÄN</t>
        </is>
      </c>
      <c r="E6467" t="inlineStr">
        <is>
          <t>ÅRJÄNG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10541-2022</t>
        </is>
      </c>
      <c r="B6468" s="1" t="n">
        <v>44623</v>
      </c>
      <c r="C6468" s="1" t="n">
        <v>45736</v>
      </c>
      <c r="D6468" t="inlineStr">
        <is>
          <t>VÄRMLANDS LÄN</t>
        </is>
      </c>
      <c r="E6468" t="inlineStr">
        <is>
          <t>SUNNE</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10562-2022</t>
        </is>
      </c>
      <c r="B6469" s="1" t="n">
        <v>44623</v>
      </c>
      <c r="C6469" s="1" t="n">
        <v>45736</v>
      </c>
      <c r="D6469" t="inlineStr">
        <is>
          <t>VÄRMLANDS LÄN</t>
        </is>
      </c>
      <c r="E6469" t="inlineStr">
        <is>
          <t>SUNNE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10612-2022</t>
        </is>
      </c>
      <c r="B6470" s="1" t="n">
        <v>44624</v>
      </c>
      <c r="C6470" s="1" t="n">
        <v>45736</v>
      </c>
      <c r="D6470" t="inlineStr">
        <is>
          <t>VÄRMLANDS LÄN</t>
        </is>
      </c>
      <c r="E6470" t="inlineStr">
        <is>
          <t>ÅRJÄNG</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10627-2022</t>
        </is>
      </c>
      <c r="B6471" s="1" t="n">
        <v>44624</v>
      </c>
      <c r="C6471" s="1" t="n">
        <v>45736</v>
      </c>
      <c r="D6471" t="inlineStr">
        <is>
          <t>VÄRMLANDS LÄN</t>
        </is>
      </c>
      <c r="E6471" t="inlineStr">
        <is>
          <t>ÅRJÄNG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10640-2022</t>
        </is>
      </c>
      <c r="B6472" s="1" t="n">
        <v>44624</v>
      </c>
      <c r="C6472" s="1" t="n">
        <v>45736</v>
      </c>
      <c r="D6472" t="inlineStr">
        <is>
          <t>VÄRMLANDS LÄN</t>
        </is>
      </c>
      <c r="E6472" t="inlineStr">
        <is>
          <t>HAGFORS</t>
        </is>
      </c>
      <c r="F6472" t="inlineStr">
        <is>
          <t>Bergvik skog väst AB</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10608-2022</t>
        </is>
      </c>
      <c r="B6473" s="1" t="n">
        <v>44624</v>
      </c>
      <c r="C6473" s="1" t="n">
        <v>45736</v>
      </c>
      <c r="D6473" t="inlineStr">
        <is>
          <t>VÄRMLANDS LÄN</t>
        </is>
      </c>
      <c r="E6473" t="inlineStr">
        <is>
          <t>TORSBY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10668-2022</t>
        </is>
      </c>
      <c r="B6474" s="1" t="n">
        <v>44624</v>
      </c>
      <c r="C6474" s="1" t="n">
        <v>45736</v>
      </c>
      <c r="D6474" t="inlineStr">
        <is>
          <t>VÄRMLANDS LÄN</t>
        </is>
      </c>
      <c r="E6474" t="inlineStr">
        <is>
          <t>SÄFFLE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10701-2022</t>
        </is>
      </c>
      <c r="B6475" s="1" t="n">
        <v>44625</v>
      </c>
      <c r="C6475" s="1" t="n">
        <v>45736</v>
      </c>
      <c r="D6475" t="inlineStr">
        <is>
          <t>VÄRMLANDS LÄN</t>
        </is>
      </c>
      <c r="E6475" t="inlineStr">
        <is>
          <t>EDA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10742-2022</t>
        </is>
      </c>
      <c r="B6476" s="1" t="n">
        <v>44627</v>
      </c>
      <c r="C6476" s="1" t="n">
        <v>45736</v>
      </c>
      <c r="D6476" t="inlineStr">
        <is>
          <t>VÄRMLANDS LÄN</t>
        </is>
      </c>
      <c r="E6476" t="inlineStr">
        <is>
          <t>ARVIKA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10765-2022</t>
        </is>
      </c>
      <c r="B6477" s="1" t="n">
        <v>44627</v>
      </c>
      <c r="C6477" s="1" t="n">
        <v>45736</v>
      </c>
      <c r="D6477" t="inlineStr">
        <is>
          <t>VÄRMLANDS LÄN</t>
        </is>
      </c>
      <c r="E6477" t="inlineStr">
        <is>
          <t>FORSHAGA</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10802-2022</t>
        </is>
      </c>
      <c r="B6478" s="1" t="n">
        <v>44627</v>
      </c>
      <c r="C6478" s="1" t="n">
        <v>45736</v>
      </c>
      <c r="D6478" t="inlineStr">
        <is>
          <t>VÄRMLANDS LÄN</t>
        </is>
      </c>
      <c r="E6478" t="inlineStr">
        <is>
          <t>KARLSTAD</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10842-2022</t>
        </is>
      </c>
      <c r="B6479" s="1" t="n">
        <v>44627</v>
      </c>
      <c r="C6479" s="1" t="n">
        <v>45736</v>
      </c>
      <c r="D6479" t="inlineStr">
        <is>
          <t>VÄRMLANDS LÄN</t>
        </is>
      </c>
      <c r="E6479" t="inlineStr">
        <is>
          <t>ARVIKA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10814-2022</t>
        </is>
      </c>
      <c r="B6480" s="1" t="n">
        <v>44627</v>
      </c>
      <c r="C6480" s="1" t="n">
        <v>45736</v>
      </c>
      <c r="D6480" t="inlineStr">
        <is>
          <t>VÄRMLANDS LÄN</t>
        </is>
      </c>
      <c r="E6480" t="inlineStr">
        <is>
          <t>EDA</t>
        </is>
      </c>
      <c r="F6480" t="inlineStr">
        <is>
          <t>Bergvik skog väst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10846-2022</t>
        </is>
      </c>
      <c r="B6481" s="1" t="n">
        <v>44627</v>
      </c>
      <c r="C6481" s="1" t="n">
        <v>45736</v>
      </c>
      <c r="D6481" t="inlineStr">
        <is>
          <t>VÄRMLANDS LÄN</t>
        </is>
      </c>
      <c r="E6481" t="inlineStr">
        <is>
          <t>ARVIKA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10796-2022</t>
        </is>
      </c>
      <c r="B6482" s="1" t="n">
        <v>44627</v>
      </c>
      <c r="C6482" s="1" t="n">
        <v>45736</v>
      </c>
      <c r="D6482" t="inlineStr">
        <is>
          <t>VÄRMLANDS LÄN</t>
        </is>
      </c>
      <c r="E6482" t="inlineStr">
        <is>
          <t>KARLSTAD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10874-2022</t>
        </is>
      </c>
      <c r="B6483" s="1" t="n">
        <v>44627</v>
      </c>
      <c r="C6483" s="1" t="n">
        <v>45736</v>
      </c>
      <c r="D6483" t="inlineStr">
        <is>
          <t>VÄRMLANDS LÄN</t>
        </is>
      </c>
      <c r="E6483" t="inlineStr">
        <is>
          <t>SÄFFLE</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10898-2022</t>
        </is>
      </c>
      <c r="B6484" s="1" t="n">
        <v>44627</v>
      </c>
      <c r="C6484" s="1" t="n">
        <v>45736</v>
      </c>
      <c r="D6484" t="inlineStr">
        <is>
          <t>VÄRMLANDS LÄN</t>
        </is>
      </c>
      <c r="E6484" t="inlineStr">
        <is>
          <t>ÅRJÄNG</t>
        </is>
      </c>
      <c r="G6484" t="n">
        <v>10.2</v>
      </c>
      <c r="H6484" t="n">
        <v>0</v>
      </c>
      <c r="I6484" t="n">
        <v>0</v>
      </c>
      <c r="J6484" t="n">
        <v>0</v>
      </c>
      <c r="K6484" t="n">
        <v>0</v>
      </c>
      <c r="L6484" t="n">
        <v>0</v>
      </c>
      <c r="M6484" t="n">
        <v>0</v>
      </c>
      <c r="N6484" t="n">
        <v>0</v>
      </c>
      <c r="O6484" t="n">
        <v>0</v>
      </c>
      <c r="P6484" t="n">
        <v>0</v>
      </c>
      <c r="Q6484" t="n">
        <v>0</v>
      </c>
      <c r="R6484" s="2" t="inlineStr"/>
    </row>
    <row r="6485" ht="15" customHeight="1">
      <c r="A6485" t="inlineStr">
        <is>
          <t>A 10894-2022</t>
        </is>
      </c>
      <c r="B6485" s="1" t="n">
        <v>44627</v>
      </c>
      <c r="C6485" s="1" t="n">
        <v>45736</v>
      </c>
      <c r="D6485" t="inlineStr">
        <is>
          <t>VÄRMLANDS LÄN</t>
        </is>
      </c>
      <c r="E6485" t="inlineStr">
        <is>
          <t>GRUMS</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10875-2022</t>
        </is>
      </c>
      <c r="B6486" s="1" t="n">
        <v>44627</v>
      </c>
      <c r="C6486" s="1" t="n">
        <v>45736</v>
      </c>
      <c r="D6486" t="inlineStr">
        <is>
          <t>VÄRMLANDS LÄN</t>
        </is>
      </c>
      <c r="E6486" t="inlineStr">
        <is>
          <t>SÄFFLE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10884-2022</t>
        </is>
      </c>
      <c r="B6487" s="1" t="n">
        <v>44627</v>
      </c>
      <c r="C6487" s="1" t="n">
        <v>45736</v>
      </c>
      <c r="D6487" t="inlineStr">
        <is>
          <t>VÄRMLANDS LÄN</t>
        </is>
      </c>
      <c r="E6487" t="inlineStr">
        <is>
          <t>ÅRJÄNG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10892-2022</t>
        </is>
      </c>
      <c r="B6488" s="1" t="n">
        <v>44627</v>
      </c>
      <c r="C6488" s="1" t="n">
        <v>45736</v>
      </c>
      <c r="D6488" t="inlineStr">
        <is>
          <t>VÄRMLANDS LÄN</t>
        </is>
      </c>
      <c r="E6488" t="inlineStr">
        <is>
          <t>GRUMS</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10899-2022</t>
        </is>
      </c>
      <c r="B6489" s="1" t="n">
        <v>44627</v>
      </c>
      <c r="C6489" s="1" t="n">
        <v>45736</v>
      </c>
      <c r="D6489" t="inlineStr">
        <is>
          <t>VÄRMLANDS LÄN</t>
        </is>
      </c>
      <c r="E6489" t="inlineStr">
        <is>
          <t>ÅRJÄNG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10850-2022</t>
        </is>
      </c>
      <c r="B6490" s="1" t="n">
        <v>44627</v>
      </c>
      <c r="C6490" s="1" t="n">
        <v>45736</v>
      </c>
      <c r="D6490" t="inlineStr">
        <is>
          <t>VÄRMLANDS LÄN</t>
        </is>
      </c>
      <c r="E6490" t="inlineStr">
        <is>
          <t>ARVIKA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10893-2022</t>
        </is>
      </c>
      <c r="B6491" s="1" t="n">
        <v>44627</v>
      </c>
      <c r="C6491" s="1" t="n">
        <v>45736</v>
      </c>
      <c r="D6491" t="inlineStr">
        <is>
          <t>VÄRMLANDS LÄN</t>
        </is>
      </c>
      <c r="E6491" t="inlineStr">
        <is>
          <t>GRUMS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11030-2022</t>
        </is>
      </c>
      <c r="B6492" s="1" t="n">
        <v>44628</v>
      </c>
      <c r="C6492" s="1" t="n">
        <v>45736</v>
      </c>
      <c r="D6492" t="inlineStr">
        <is>
          <t>VÄRMLANDS LÄN</t>
        </is>
      </c>
      <c r="E6492" t="inlineStr">
        <is>
          <t>ÅRJÄNG</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11025-2022</t>
        </is>
      </c>
      <c r="B6493" s="1" t="n">
        <v>44628</v>
      </c>
      <c r="C6493" s="1" t="n">
        <v>45736</v>
      </c>
      <c r="D6493" t="inlineStr">
        <is>
          <t>VÄRMLANDS LÄN</t>
        </is>
      </c>
      <c r="E6493" t="inlineStr">
        <is>
          <t>HAGFORS</t>
        </is>
      </c>
      <c r="F6493" t="inlineStr">
        <is>
          <t>Bergvik skog väst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11037-2022</t>
        </is>
      </c>
      <c r="B6494" s="1" t="n">
        <v>44628</v>
      </c>
      <c r="C6494" s="1" t="n">
        <v>45736</v>
      </c>
      <c r="D6494" t="inlineStr">
        <is>
          <t>VÄRMLANDS LÄN</t>
        </is>
      </c>
      <c r="E6494" t="inlineStr">
        <is>
          <t>ÅRJÄNG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11043-2022</t>
        </is>
      </c>
      <c r="B6495" s="1" t="n">
        <v>44628</v>
      </c>
      <c r="C6495" s="1" t="n">
        <v>45736</v>
      </c>
      <c r="D6495" t="inlineStr">
        <is>
          <t>VÄRMLANDS LÄN</t>
        </is>
      </c>
      <c r="E6495" t="inlineStr">
        <is>
          <t>ÅRJÄNG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11050-2022</t>
        </is>
      </c>
      <c r="B6496" s="1" t="n">
        <v>44628</v>
      </c>
      <c r="C6496" s="1" t="n">
        <v>45736</v>
      </c>
      <c r="D6496" t="inlineStr">
        <is>
          <t>VÄRMLANDS LÄN</t>
        </is>
      </c>
      <c r="E6496" t="inlineStr">
        <is>
          <t>TORSBY</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11104-2022</t>
        </is>
      </c>
      <c r="B6497" s="1" t="n">
        <v>44628</v>
      </c>
      <c r="C6497" s="1" t="n">
        <v>45736</v>
      </c>
      <c r="D6497" t="inlineStr">
        <is>
          <t>VÄRMLANDS LÄN</t>
        </is>
      </c>
      <c r="E6497" t="inlineStr">
        <is>
          <t>HAGFORS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11103-2022</t>
        </is>
      </c>
      <c r="B6498" s="1" t="n">
        <v>44628</v>
      </c>
      <c r="C6498" s="1" t="n">
        <v>45736</v>
      </c>
      <c r="D6498" t="inlineStr">
        <is>
          <t>VÄRMLANDS LÄN</t>
        </is>
      </c>
      <c r="E6498" t="inlineStr">
        <is>
          <t>GRUMS</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11146-2022</t>
        </is>
      </c>
      <c r="B6499" s="1" t="n">
        <v>44629</v>
      </c>
      <c r="C6499" s="1" t="n">
        <v>45736</v>
      </c>
      <c r="D6499" t="inlineStr">
        <is>
          <t>VÄRMLANDS LÄN</t>
        </is>
      </c>
      <c r="E6499" t="inlineStr">
        <is>
          <t>EDA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11153-2022</t>
        </is>
      </c>
      <c r="B6500" s="1" t="n">
        <v>44629</v>
      </c>
      <c r="C6500" s="1" t="n">
        <v>45736</v>
      </c>
      <c r="D6500" t="inlineStr">
        <is>
          <t>VÄRMLANDS LÄN</t>
        </is>
      </c>
      <c r="E6500" t="inlineStr">
        <is>
          <t>HAGFORS</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11179-2022</t>
        </is>
      </c>
      <c r="B6501" s="1" t="n">
        <v>44629</v>
      </c>
      <c r="C6501" s="1" t="n">
        <v>45736</v>
      </c>
      <c r="D6501" t="inlineStr">
        <is>
          <t>VÄRMLANDS LÄN</t>
        </is>
      </c>
      <c r="E6501" t="inlineStr">
        <is>
          <t>GRUMS</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11184-2022</t>
        </is>
      </c>
      <c r="B6502" s="1" t="n">
        <v>44629</v>
      </c>
      <c r="C6502" s="1" t="n">
        <v>45736</v>
      </c>
      <c r="D6502" t="inlineStr">
        <is>
          <t>VÄRMLANDS LÄN</t>
        </is>
      </c>
      <c r="E6502" t="inlineStr">
        <is>
          <t>SÄFFLE</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11211-2022</t>
        </is>
      </c>
      <c r="B6503" s="1" t="n">
        <v>44629</v>
      </c>
      <c r="C6503" s="1" t="n">
        <v>45736</v>
      </c>
      <c r="D6503" t="inlineStr">
        <is>
          <t>VÄRMLANDS LÄN</t>
        </is>
      </c>
      <c r="E6503" t="inlineStr">
        <is>
          <t>SÄFFLE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11240-2022</t>
        </is>
      </c>
      <c r="B6504" s="1" t="n">
        <v>44629</v>
      </c>
      <c r="C6504" s="1" t="n">
        <v>45736</v>
      </c>
      <c r="D6504" t="inlineStr">
        <is>
          <t>VÄRMLANDS LÄN</t>
        </is>
      </c>
      <c r="E6504" t="inlineStr">
        <is>
          <t>SÄFFLE</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11178-2022</t>
        </is>
      </c>
      <c r="B6505" s="1" t="n">
        <v>44629</v>
      </c>
      <c r="C6505" s="1" t="n">
        <v>45736</v>
      </c>
      <c r="D6505" t="inlineStr">
        <is>
          <t>VÄRMLANDS LÄN</t>
        </is>
      </c>
      <c r="E6505" t="inlineStr">
        <is>
          <t>ARVIKA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11210-2022</t>
        </is>
      </c>
      <c r="B6506" s="1" t="n">
        <v>44629</v>
      </c>
      <c r="C6506" s="1" t="n">
        <v>45736</v>
      </c>
      <c r="D6506" t="inlineStr">
        <is>
          <t>VÄRMLANDS LÄN</t>
        </is>
      </c>
      <c r="E6506" t="inlineStr">
        <is>
          <t>SÄFFLE</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11214-2022</t>
        </is>
      </c>
      <c r="B6507" s="1" t="n">
        <v>44629</v>
      </c>
      <c r="C6507" s="1" t="n">
        <v>45736</v>
      </c>
      <c r="D6507" t="inlineStr">
        <is>
          <t>VÄRMLANDS LÄN</t>
        </is>
      </c>
      <c r="E6507" t="inlineStr">
        <is>
          <t>SÄFFLE</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11221-2022</t>
        </is>
      </c>
      <c r="B6508" s="1" t="n">
        <v>44629</v>
      </c>
      <c r="C6508" s="1" t="n">
        <v>45736</v>
      </c>
      <c r="D6508" t="inlineStr">
        <is>
          <t>VÄRMLANDS LÄN</t>
        </is>
      </c>
      <c r="E6508" t="inlineStr">
        <is>
          <t>SÄFFLE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11245-2022</t>
        </is>
      </c>
      <c r="B6509" s="1" t="n">
        <v>44629</v>
      </c>
      <c r="C6509" s="1" t="n">
        <v>45736</v>
      </c>
      <c r="D6509" t="inlineStr">
        <is>
          <t>VÄRMLANDS LÄN</t>
        </is>
      </c>
      <c r="E6509" t="inlineStr">
        <is>
          <t>SÄFFLE</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11335-2022</t>
        </is>
      </c>
      <c r="B6510" s="1" t="n">
        <v>44630</v>
      </c>
      <c r="C6510" s="1" t="n">
        <v>45736</v>
      </c>
      <c r="D6510" t="inlineStr">
        <is>
          <t>VÄRMLANDS LÄN</t>
        </is>
      </c>
      <c r="E6510" t="inlineStr">
        <is>
          <t>SUNNE</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11427-2022</t>
        </is>
      </c>
      <c r="B6511" s="1" t="n">
        <v>44630</v>
      </c>
      <c r="C6511" s="1" t="n">
        <v>45736</v>
      </c>
      <c r="D6511" t="inlineStr">
        <is>
          <t>VÄRMLANDS LÄN</t>
        </is>
      </c>
      <c r="E6511" t="inlineStr">
        <is>
          <t>SUNNE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11447-2022</t>
        </is>
      </c>
      <c r="B6512" s="1" t="n">
        <v>44630</v>
      </c>
      <c r="C6512" s="1" t="n">
        <v>45736</v>
      </c>
      <c r="D6512" t="inlineStr">
        <is>
          <t>VÄRMLANDS LÄN</t>
        </is>
      </c>
      <c r="E6512" t="inlineStr">
        <is>
          <t>TORSBY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11424-2022</t>
        </is>
      </c>
      <c r="B6513" s="1" t="n">
        <v>44630</v>
      </c>
      <c r="C6513" s="1" t="n">
        <v>45736</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11523-2022</t>
        </is>
      </c>
      <c r="B6514" s="1" t="n">
        <v>44631</v>
      </c>
      <c r="C6514" s="1" t="n">
        <v>45736</v>
      </c>
      <c r="D6514" t="inlineStr">
        <is>
          <t>VÄRMLANDS LÄN</t>
        </is>
      </c>
      <c r="E6514" t="inlineStr">
        <is>
          <t>ARVIKA</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11585-2022</t>
        </is>
      </c>
      <c r="B6515" s="1" t="n">
        <v>44631</v>
      </c>
      <c r="C6515" s="1" t="n">
        <v>45736</v>
      </c>
      <c r="D6515" t="inlineStr">
        <is>
          <t>VÄRMLANDS LÄN</t>
        </is>
      </c>
      <c r="E6515" t="inlineStr">
        <is>
          <t>ÅRJÄNG</t>
        </is>
      </c>
      <c r="F6515" t="inlineStr">
        <is>
          <t>Bergvik skog väst AB</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11620-2022</t>
        </is>
      </c>
      <c r="B6516" s="1" t="n">
        <v>44631</v>
      </c>
      <c r="C6516" s="1" t="n">
        <v>45736</v>
      </c>
      <c r="D6516" t="inlineStr">
        <is>
          <t>VÄRMLANDS LÄN</t>
        </is>
      </c>
      <c r="E6516" t="inlineStr">
        <is>
          <t>ÅRJÄNG</t>
        </is>
      </c>
      <c r="F6516" t="inlineStr">
        <is>
          <t>Bergvik skog väst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11508-2022</t>
        </is>
      </c>
      <c r="B6517" s="1" t="n">
        <v>44631</v>
      </c>
      <c r="C6517" s="1" t="n">
        <v>45736</v>
      </c>
      <c r="D6517" t="inlineStr">
        <is>
          <t>VÄRMLANDS LÄN</t>
        </is>
      </c>
      <c r="E6517" t="inlineStr">
        <is>
          <t>ÅRJÄNG</t>
        </is>
      </c>
      <c r="F6517" t="inlineStr">
        <is>
          <t>Bergvik skog väst AB</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11548-2022</t>
        </is>
      </c>
      <c r="B6518" s="1" t="n">
        <v>44631</v>
      </c>
      <c r="C6518" s="1" t="n">
        <v>45736</v>
      </c>
      <c r="D6518" t="inlineStr">
        <is>
          <t>VÄRMLANDS LÄN</t>
        </is>
      </c>
      <c r="E6518" t="inlineStr">
        <is>
          <t>ÅRJÄNG</t>
        </is>
      </c>
      <c r="F6518" t="inlineStr">
        <is>
          <t>Bergvik skog väst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11582-2022</t>
        </is>
      </c>
      <c r="B6519" s="1" t="n">
        <v>44631</v>
      </c>
      <c r="C6519" s="1" t="n">
        <v>45736</v>
      </c>
      <c r="D6519" t="inlineStr">
        <is>
          <t>VÄRMLANDS LÄN</t>
        </is>
      </c>
      <c r="E6519" t="inlineStr">
        <is>
          <t>KIL</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11684-2022</t>
        </is>
      </c>
      <c r="B6520" s="1" t="n">
        <v>44631</v>
      </c>
      <c r="C6520" s="1" t="n">
        <v>45736</v>
      </c>
      <c r="D6520" t="inlineStr">
        <is>
          <t>VÄRMLANDS LÄN</t>
        </is>
      </c>
      <c r="E6520" t="inlineStr">
        <is>
          <t>ÅRJÄNG</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11665-2022</t>
        </is>
      </c>
      <c r="B6521" s="1" t="n">
        <v>44632</v>
      </c>
      <c r="C6521" s="1" t="n">
        <v>45736</v>
      </c>
      <c r="D6521" t="inlineStr">
        <is>
          <t>VÄRMLANDS LÄN</t>
        </is>
      </c>
      <c r="E6521" t="inlineStr">
        <is>
          <t>TORSBY</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11667-2022</t>
        </is>
      </c>
      <c r="B6522" s="1" t="n">
        <v>44632</v>
      </c>
      <c r="C6522" s="1" t="n">
        <v>45736</v>
      </c>
      <c r="D6522" t="inlineStr">
        <is>
          <t>VÄRMLANDS LÄN</t>
        </is>
      </c>
      <c r="E6522" t="inlineStr">
        <is>
          <t>TORSBY</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11664-2022</t>
        </is>
      </c>
      <c r="B6523" s="1" t="n">
        <v>44632</v>
      </c>
      <c r="C6523" s="1" t="n">
        <v>45736</v>
      </c>
      <c r="D6523" t="inlineStr">
        <is>
          <t>VÄRMLANDS LÄN</t>
        </is>
      </c>
      <c r="E6523" t="inlineStr">
        <is>
          <t>TORSBY</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11666-2022</t>
        </is>
      </c>
      <c r="B6524" s="1" t="n">
        <v>44632</v>
      </c>
      <c r="C6524" s="1" t="n">
        <v>45736</v>
      </c>
      <c r="D6524" t="inlineStr">
        <is>
          <t>VÄRMLANDS LÄN</t>
        </is>
      </c>
      <c r="E6524" t="inlineStr">
        <is>
          <t>TORSBY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11671-2022</t>
        </is>
      </c>
      <c r="B6525" s="1" t="n">
        <v>44633</v>
      </c>
      <c r="C6525" s="1" t="n">
        <v>45736</v>
      </c>
      <c r="D6525" t="inlineStr">
        <is>
          <t>VÄRMLANDS LÄN</t>
        </is>
      </c>
      <c r="E6525" t="inlineStr">
        <is>
          <t>KARLSTAD</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11697-2022</t>
        </is>
      </c>
      <c r="B6526" s="1" t="n">
        <v>44634</v>
      </c>
      <c r="C6526" s="1" t="n">
        <v>45736</v>
      </c>
      <c r="D6526" t="inlineStr">
        <is>
          <t>VÄRMLANDS LÄN</t>
        </is>
      </c>
      <c r="E6526" t="inlineStr">
        <is>
          <t>KARLSTAD</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11746-2022</t>
        </is>
      </c>
      <c r="B6527" s="1" t="n">
        <v>44634</v>
      </c>
      <c r="C6527" s="1" t="n">
        <v>45736</v>
      </c>
      <c r="D6527" t="inlineStr">
        <is>
          <t>VÄRMLANDS LÄN</t>
        </is>
      </c>
      <c r="E6527" t="inlineStr">
        <is>
          <t>KRISTINEHAMN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11700-2022</t>
        </is>
      </c>
      <c r="B6528" s="1" t="n">
        <v>44634</v>
      </c>
      <c r="C6528" s="1" t="n">
        <v>45736</v>
      </c>
      <c r="D6528" t="inlineStr">
        <is>
          <t>VÄRMLANDS LÄN</t>
        </is>
      </c>
      <c r="E6528" t="inlineStr">
        <is>
          <t>KARLSTAD</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11731-2022</t>
        </is>
      </c>
      <c r="B6529" s="1" t="n">
        <v>44634</v>
      </c>
      <c r="C6529" s="1" t="n">
        <v>45736</v>
      </c>
      <c r="D6529" t="inlineStr">
        <is>
          <t>VÄRMLANDS LÄN</t>
        </is>
      </c>
      <c r="E6529" t="inlineStr">
        <is>
          <t>SUNNE</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11698-2022</t>
        </is>
      </c>
      <c r="B6530" s="1" t="n">
        <v>44634</v>
      </c>
      <c r="C6530" s="1" t="n">
        <v>45736</v>
      </c>
      <c r="D6530" t="inlineStr">
        <is>
          <t>VÄRMLANDS LÄN</t>
        </is>
      </c>
      <c r="E6530" t="inlineStr">
        <is>
          <t>SÄFFLE</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11732-2022</t>
        </is>
      </c>
      <c r="B6531" s="1" t="n">
        <v>44634</v>
      </c>
      <c r="C6531" s="1" t="n">
        <v>45736</v>
      </c>
      <c r="D6531" t="inlineStr">
        <is>
          <t>VÄRMLANDS LÄN</t>
        </is>
      </c>
      <c r="E6531" t="inlineStr">
        <is>
          <t>SUNNE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11745-2022</t>
        </is>
      </c>
      <c r="B6532" s="1" t="n">
        <v>44634</v>
      </c>
      <c r="C6532" s="1" t="n">
        <v>45736</v>
      </c>
      <c r="D6532" t="inlineStr">
        <is>
          <t>VÄRMLANDS LÄN</t>
        </is>
      </c>
      <c r="E6532" t="inlineStr">
        <is>
          <t>HAGFORS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11812-2022</t>
        </is>
      </c>
      <c r="B6533" s="1" t="n">
        <v>44634</v>
      </c>
      <c r="C6533" s="1" t="n">
        <v>45736</v>
      </c>
      <c r="D6533" t="inlineStr">
        <is>
          <t>VÄRMLANDS LÄN</t>
        </is>
      </c>
      <c r="E6533" t="inlineStr">
        <is>
          <t>KRISTINEHAMN</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11829-2022</t>
        </is>
      </c>
      <c r="B6534" s="1" t="n">
        <v>44634</v>
      </c>
      <c r="C6534" s="1" t="n">
        <v>45736</v>
      </c>
      <c r="D6534" t="inlineStr">
        <is>
          <t>VÄRMLANDS LÄN</t>
        </is>
      </c>
      <c r="E6534" t="inlineStr">
        <is>
          <t>KARLSTAD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11936-2022</t>
        </is>
      </c>
      <c r="B6535" s="1" t="n">
        <v>44635</v>
      </c>
      <c r="C6535" s="1" t="n">
        <v>45736</v>
      </c>
      <c r="D6535" t="inlineStr">
        <is>
          <t>VÄRMLANDS LÄN</t>
        </is>
      </c>
      <c r="E6535" t="inlineStr">
        <is>
          <t>ÅRJÄNG</t>
        </is>
      </c>
      <c r="G6535" t="n">
        <v>11.1</v>
      </c>
      <c r="H6535" t="n">
        <v>0</v>
      </c>
      <c r="I6535" t="n">
        <v>0</v>
      </c>
      <c r="J6535" t="n">
        <v>0</v>
      </c>
      <c r="K6535" t="n">
        <v>0</v>
      </c>
      <c r="L6535" t="n">
        <v>0</v>
      </c>
      <c r="M6535" t="n">
        <v>0</v>
      </c>
      <c r="N6535" t="n">
        <v>0</v>
      </c>
      <c r="O6535" t="n">
        <v>0</v>
      </c>
      <c r="P6535" t="n">
        <v>0</v>
      </c>
      <c r="Q6535" t="n">
        <v>0</v>
      </c>
      <c r="R6535" s="2" t="inlineStr"/>
    </row>
    <row r="6536" ht="15" customHeight="1">
      <c r="A6536" t="inlineStr">
        <is>
          <t>A 11922-2022</t>
        </is>
      </c>
      <c r="B6536" s="1" t="n">
        <v>44635</v>
      </c>
      <c r="C6536" s="1" t="n">
        <v>45736</v>
      </c>
      <c r="D6536" t="inlineStr">
        <is>
          <t>VÄRMLANDS LÄN</t>
        </is>
      </c>
      <c r="E6536" t="inlineStr">
        <is>
          <t>TORSBY</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11977-2022</t>
        </is>
      </c>
      <c r="B6537" s="1" t="n">
        <v>44635</v>
      </c>
      <c r="C6537" s="1" t="n">
        <v>45736</v>
      </c>
      <c r="D6537" t="inlineStr">
        <is>
          <t>VÄRMLANDS LÄN</t>
        </is>
      </c>
      <c r="E6537" t="inlineStr">
        <is>
          <t>KARLSTAD</t>
        </is>
      </c>
      <c r="F6537" t="inlineStr">
        <is>
          <t>Bergvik skog väst AB</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11934-2022</t>
        </is>
      </c>
      <c r="B6538" s="1" t="n">
        <v>44635</v>
      </c>
      <c r="C6538" s="1" t="n">
        <v>45736</v>
      </c>
      <c r="D6538" t="inlineStr">
        <is>
          <t>VÄRMLANDS LÄN</t>
        </is>
      </c>
      <c r="E6538" t="inlineStr">
        <is>
          <t>ÅRJÄNG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11944-2022</t>
        </is>
      </c>
      <c r="B6539" s="1" t="n">
        <v>44635</v>
      </c>
      <c r="C6539" s="1" t="n">
        <v>45736</v>
      </c>
      <c r="D6539" t="inlineStr">
        <is>
          <t>VÄRMLANDS LÄN</t>
        </is>
      </c>
      <c r="E6539" t="inlineStr">
        <is>
          <t>SÄFFLE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11918-2022</t>
        </is>
      </c>
      <c r="B6540" s="1" t="n">
        <v>44635</v>
      </c>
      <c r="C6540" s="1" t="n">
        <v>45736</v>
      </c>
      <c r="D6540" t="inlineStr">
        <is>
          <t>VÄRMLANDS LÄN</t>
        </is>
      </c>
      <c r="E6540" t="inlineStr">
        <is>
          <t>TORSBY</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11980-2022</t>
        </is>
      </c>
      <c r="B6541" s="1" t="n">
        <v>44635</v>
      </c>
      <c r="C6541" s="1" t="n">
        <v>45736</v>
      </c>
      <c r="D6541" t="inlineStr">
        <is>
          <t>VÄRMLANDS LÄN</t>
        </is>
      </c>
      <c r="E6541" t="inlineStr">
        <is>
          <t>HAGFORS</t>
        </is>
      </c>
      <c r="F6541" t="inlineStr">
        <is>
          <t>Bergvik skog väst AB</t>
        </is>
      </c>
      <c r="G6541" t="n">
        <v>15.5</v>
      </c>
      <c r="H6541" t="n">
        <v>0</v>
      </c>
      <c r="I6541" t="n">
        <v>0</v>
      </c>
      <c r="J6541" t="n">
        <v>0</v>
      </c>
      <c r="K6541" t="n">
        <v>0</v>
      </c>
      <c r="L6541" t="n">
        <v>0</v>
      </c>
      <c r="M6541" t="n">
        <v>0</v>
      </c>
      <c r="N6541" t="n">
        <v>0</v>
      </c>
      <c r="O6541" t="n">
        <v>0</v>
      </c>
      <c r="P6541" t="n">
        <v>0</v>
      </c>
      <c r="Q6541" t="n">
        <v>0</v>
      </c>
      <c r="R6541" s="2" t="inlineStr"/>
    </row>
    <row r="6542" ht="15" customHeight="1">
      <c r="A6542" t="inlineStr">
        <is>
          <t>A 12000-2022</t>
        </is>
      </c>
      <c r="B6542" s="1" t="n">
        <v>44635</v>
      </c>
      <c r="C6542" s="1" t="n">
        <v>45736</v>
      </c>
      <c r="D6542" t="inlineStr">
        <is>
          <t>VÄRMLANDS LÄN</t>
        </is>
      </c>
      <c r="E6542" t="inlineStr">
        <is>
          <t>GRUMS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12043-2022</t>
        </is>
      </c>
      <c r="B6543" s="1" t="n">
        <v>44636</v>
      </c>
      <c r="C6543" s="1" t="n">
        <v>45736</v>
      </c>
      <c r="D6543" t="inlineStr">
        <is>
          <t>VÄRMLANDS LÄN</t>
        </is>
      </c>
      <c r="E6543" t="inlineStr">
        <is>
          <t>KIL</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12091-2022</t>
        </is>
      </c>
      <c r="B6544" s="1" t="n">
        <v>44636</v>
      </c>
      <c r="C6544" s="1" t="n">
        <v>45736</v>
      </c>
      <c r="D6544" t="inlineStr">
        <is>
          <t>VÄRMLANDS LÄN</t>
        </is>
      </c>
      <c r="E6544" t="inlineStr">
        <is>
          <t>SUNNE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12068-2022</t>
        </is>
      </c>
      <c r="B6545" s="1" t="n">
        <v>44636</v>
      </c>
      <c r="C6545" s="1" t="n">
        <v>45736</v>
      </c>
      <c r="D6545" t="inlineStr">
        <is>
          <t>VÄRMLANDS LÄN</t>
        </is>
      </c>
      <c r="E6545" t="inlineStr">
        <is>
          <t>ÅRJÄNG</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12087-2022</t>
        </is>
      </c>
      <c r="B6546" s="1" t="n">
        <v>44636</v>
      </c>
      <c r="C6546" s="1" t="n">
        <v>45736</v>
      </c>
      <c r="D6546" t="inlineStr">
        <is>
          <t>VÄRMLANDS LÄN</t>
        </is>
      </c>
      <c r="E6546" t="inlineStr">
        <is>
          <t>EDA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12110-2022</t>
        </is>
      </c>
      <c r="B6547" s="1" t="n">
        <v>44636</v>
      </c>
      <c r="C6547" s="1" t="n">
        <v>45736</v>
      </c>
      <c r="D6547" t="inlineStr">
        <is>
          <t>VÄRMLANDS LÄN</t>
        </is>
      </c>
      <c r="E6547" t="inlineStr">
        <is>
          <t>EDA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12113-2022</t>
        </is>
      </c>
      <c r="B6548" s="1" t="n">
        <v>44636</v>
      </c>
      <c r="C6548" s="1" t="n">
        <v>45736</v>
      </c>
      <c r="D6548" t="inlineStr">
        <is>
          <t>VÄRMLANDS LÄN</t>
        </is>
      </c>
      <c r="E6548" t="inlineStr">
        <is>
          <t>EDA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12114-2022</t>
        </is>
      </c>
      <c r="B6549" s="1" t="n">
        <v>44636</v>
      </c>
      <c r="C6549" s="1" t="n">
        <v>45736</v>
      </c>
      <c r="D6549" t="inlineStr">
        <is>
          <t>VÄRMLANDS LÄN</t>
        </is>
      </c>
      <c r="E6549" t="inlineStr">
        <is>
          <t>MUNKFORS</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12310-2022</t>
        </is>
      </c>
      <c r="B6550" s="1" t="n">
        <v>44636</v>
      </c>
      <c r="C6550" s="1" t="n">
        <v>45736</v>
      </c>
      <c r="D6550" t="inlineStr">
        <is>
          <t>VÄRMLANDS LÄN</t>
        </is>
      </c>
      <c r="E6550" t="inlineStr">
        <is>
          <t>TORSBY</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12321-2022</t>
        </is>
      </c>
      <c r="B6551" s="1" t="n">
        <v>44637</v>
      </c>
      <c r="C6551" s="1" t="n">
        <v>45736</v>
      </c>
      <c r="D6551" t="inlineStr">
        <is>
          <t>VÄRMLANDS LÄN</t>
        </is>
      </c>
      <c r="E6551" t="inlineStr">
        <is>
          <t>KRISTINEHAMN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12365-2022</t>
        </is>
      </c>
      <c r="B6552" s="1" t="n">
        <v>44637</v>
      </c>
      <c r="C6552" s="1" t="n">
        <v>45736</v>
      </c>
      <c r="D6552" t="inlineStr">
        <is>
          <t>VÄRMLANDS LÄN</t>
        </is>
      </c>
      <c r="E6552" t="inlineStr">
        <is>
          <t>TORSBY</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12247-2022</t>
        </is>
      </c>
      <c r="B6553" s="1" t="n">
        <v>44637</v>
      </c>
      <c r="C6553" s="1" t="n">
        <v>45736</v>
      </c>
      <c r="D6553" t="inlineStr">
        <is>
          <t>VÄRMLANDS LÄN</t>
        </is>
      </c>
      <c r="E6553" t="inlineStr">
        <is>
          <t>FILIPSTAD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12319-2022</t>
        </is>
      </c>
      <c r="B6554" s="1" t="n">
        <v>44637</v>
      </c>
      <c r="C6554" s="1" t="n">
        <v>45736</v>
      </c>
      <c r="D6554" t="inlineStr">
        <is>
          <t>VÄRMLANDS LÄN</t>
        </is>
      </c>
      <c r="E6554" t="inlineStr">
        <is>
          <t>KRISTINEHAMN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12484-2022</t>
        </is>
      </c>
      <c r="B6555" s="1" t="n">
        <v>44638</v>
      </c>
      <c r="C6555" s="1" t="n">
        <v>45736</v>
      </c>
      <c r="D6555" t="inlineStr">
        <is>
          <t>VÄRMLANDS LÄN</t>
        </is>
      </c>
      <c r="E6555" t="inlineStr">
        <is>
          <t>FORSHAGA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12434-2022</t>
        </is>
      </c>
      <c r="B6556" s="1" t="n">
        <v>44638</v>
      </c>
      <c r="C6556" s="1" t="n">
        <v>45736</v>
      </c>
      <c r="D6556" t="inlineStr">
        <is>
          <t>VÄRMLANDS LÄN</t>
        </is>
      </c>
      <c r="E6556" t="inlineStr">
        <is>
          <t>HAGFORS</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12442-2022</t>
        </is>
      </c>
      <c r="B6557" s="1" t="n">
        <v>44638</v>
      </c>
      <c r="C6557" s="1" t="n">
        <v>45736</v>
      </c>
      <c r="D6557" t="inlineStr">
        <is>
          <t>VÄRMLANDS LÄN</t>
        </is>
      </c>
      <c r="E6557" t="inlineStr">
        <is>
          <t>SUNNE</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12431-2022</t>
        </is>
      </c>
      <c r="B6558" s="1" t="n">
        <v>44638</v>
      </c>
      <c r="C6558" s="1" t="n">
        <v>45736</v>
      </c>
      <c r="D6558" t="inlineStr">
        <is>
          <t>VÄRMLANDS LÄN</t>
        </is>
      </c>
      <c r="E6558" t="inlineStr">
        <is>
          <t>HAGFORS</t>
        </is>
      </c>
      <c r="G6558" t="n">
        <v>11.3</v>
      </c>
      <c r="H6558" t="n">
        <v>0</v>
      </c>
      <c r="I6558" t="n">
        <v>0</v>
      </c>
      <c r="J6558" t="n">
        <v>0</v>
      </c>
      <c r="K6558" t="n">
        <v>0</v>
      </c>
      <c r="L6558" t="n">
        <v>0</v>
      </c>
      <c r="M6558" t="n">
        <v>0</v>
      </c>
      <c r="N6558" t="n">
        <v>0</v>
      </c>
      <c r="O6558" t="n">
        <v>0</v>
      </c>
      <c r="P6558" t="n">
        <v>0</v>
      </c>
      <c r="Q6558" t="n">
        <v>0</v>
      </c>
      <c r="R6558" s="2" t="inlineStr"/>
    </row>
    <row r="6559" ht="15" customHeight="1">
      <c r="A6559" t="inlineStr">
        <is>
          <t>A 12514-2022</t>
        </is>
      </c>
      <c r="B6559" s="1" t="n">
        <v>44638</v>
      </c>
      <c r="C6559" s="1" t="n">
        <v>45736</v>
      </c>
      <c r="D6559" t="inlineStr">
        <is>
          <t>VÄRMLANDS LÄN</t>
        </is>
      </c>
      <c r="E6559" t="inlineStr">
        <is>
          <t>ÅRJÄNG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12583-2022</t>
        </is>
      </c>
      <c r="B6560" s="1" t="n">
        <v>44639</v>
      </c>
      <c r="C6560" s="1" t="n">
        <v>45736</v>
      </c>
      <c r="D6560" t="inlineStr">
        <is>
          <t>VÄRMLANDS LÄN</t>
        </is>
      </c>
      <c r="E6560" t="inlineStr">
        <is>
          <t>ÅRJÄNG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12697-2022</t>
        </is>
      </c>
      <c r="B6561" s="1" t="n">
        <v>44641</v>
      </c>
      <c r="C6561" s="1" t="n">
        <v>45736</v>
      </c>
      <c r="D6561" t="inlineStr">
        <is>
          <t>VÄRMLANDS LÄN</t>
        </is>
      </c>
      <c r="E6561" t="inlineStr">
        <is>
          <t>SÄFFLE</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12693-2022</t>
        </is>
      </c>
      <c r="B6562" s="1" t="n">
        <v>44641</v>
      </c>
      <c r="C6562" s="1" t="n">
        <v>45736</v>
      </c>
      <c r="D6562" t="inlineStr">
        <is>
          <t>VÄRMLANDS LÄN</t>
        </is>
      </c>
      <c r="E6562" t="inlineStr">
        <is>
          <t>ÅRJÄNG</t>
        </is>
      </c>
      <c r="F6562" t="inlineStr">
        <is>
          <t>Bergvik skog väst AB</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12709-2022</t>
        </is>
      </c>
      <c r="B6563" s="1" t="n">
        <v>44641</v>
      </c>
      <c r="C6563" s="1" t="n">
        <v>45736</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12700-2022</t>
        </is>
      </c>
      <c r="B6564" s="1" t="n">
        <v>44641</v>
      </c>
      <c r="C6564" s="1" t="n">
        <v>45736</v>
      </c>
      <c r="D6564" t="inlineStr">
        <is>
          <t>VÄRMLANDS LÄN</t>
        </is>
      </c>
      <c r="E6564" t="inlineStr">
        <is>
          <t>ARVIKA</t>
        </is>
      </c>
      <c r="F6564" t="inlineStr">
        <is>
          <t>Bergvik skog väst AB</t>
        </is>
      </c>
      <c r="G6564" t="n">
        <v>20.3</v>
      </c>
      <c r="H6564" t="n">
        <v>0</v>
      </c>
      <c r="I6564" t="n">
        <v>0</v>
      </c>
      <c r="J6564" t="n">
        <v>0</v>
      </c>
      <c r="K6564" t="n">
        <v>0</v>
      </c>
      <c r="L6564" t="n">
        <v>0</v>
      </c>
      <c r="M6564" t="n">
        <v>0</v>
      </c>
      <c r="N6564" t="n">
        <v>0</v>
      </c>
      <c r="O6564" t="n">
        <v>0</v>
      </c>
      <c r="P6564" t="n">
        <v>0</v>
      </c>
      <c r="Q6564" t="n">
        <v>0</v>
      </c>
      <c r="R6564" s="2" t="inlineStr"/>
    </row>
    <row r="6565" ht="15" customHeight="1">
      <c r="A6565" t="inlineStr">
        <is>
          <t>A 12603-2022</t>
        </is>
      </c>
      <c r="B6565" s="1" t="n">
        <v>44641</v>
      </c>
      <c r="C6565" s="1" t="n">
        <v>45736</v>
      </c>
      <c r="D6565" t="inlineStr">
        <is>
          <t>VÄRMLANDS LÄN</t>
        </is>
      </c>
      <c r="E6565" t="inlineStr">
        <is>
          <t>SUNNE</t>
        </is>
      </c>
      <c r="F6565" t="inlineStr">
        <is>
          <t>Bergvik skog väst AB</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12615-2022</t>
        </is>
      </c>
      <c r="B6566" s="1" t="n">
        <v>44641</v>
      </c>
      <c r="C6566" s="1" t="n">
        <v>45736</v>
      </c>
      <c r="D6566" t="inlineStr">
        <is>
          <t>VÄRMLANDS LÄN</t>
        </is>
      </c>
      <c r="E6566" t="inlineStr">
        <is>
          <t>EDA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12841-2022</t>
        </is>
      </c>
      <c r="B6567" s="1" t="n">
        <v>44642</v>
      </c>
      <c r="C6567" s="1" t="n">
        <v>45736</v>
      </c>
      <c r="D6567" t="inlineStr">
        <is>
          <t>VÄRMLANDS LÄN</t>
        </is>
      </c>
      <c r="E6567" t="inlineStr">
        <is>
          <t>ARVIKA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12888-2022</t>
        </is>
      </c>
      <c r="B6568" s="1" t="n">
        <v>44642</v>
      </c>
      <c r="C6568" s="1" t="n">
        <v>45736</v>
      </c>
      <c r="D6568" t="inlineStr">
        <is>
          <t>VÄRMLANDS LÄN</t>
        </is>
      </c>
      <c r="E6568" t="inlineStr">
        <is>
          <t>SUNNE</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12907-2022</t>
        </is>
      </c>
      <c r="B6569" s="1" t="n">
        <v>44642</v>
      </c>
      <c r="C6569" s="1" t="n">
        <v>45736</v>
      </c>
      <c r="D6569" t="inlineStr">
        <is>
          <t>VÄRMLANDS LÄN</t>
        </is>
      </c>
      <c r="E6569" t="inlineStr">
        <is>
          <t>ÅRJÄNG</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12849-2022</t>
        </is>
      </c>
      <c r="B6570" s="1" t="n">
        <v>44642</v>
      </c>
      <c r="C6570" s="1" t="n">
        <v>45736</v>
      </c>
      <c r="D6570" t="inlineStr">
        <is>
          <t>VÄRMLANDS LÄN</t>
        </is>
      </c>
      <c r="E6570" t="inlineStr">
        <is>
          <t>ARVIKA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12998-2022</t>
        </is>
      </c>
      <c r="B6571" s="1" t="n">
        <v>44643</v>
      </c>
      <c r="C6571" s="1" t="n">
        <v>45736</v>
      </c>
      <c r="D6571" t="inlineStr">
        <is>
          <t>VÄRMLANDS LÄN</t>
        </is>
      </c>
      <c r="E6571" t="inlineStr">
        <is>
          <t>EDA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13042-2022</t>
        </is>
      </c>
      <c r="B6572" s="1" t="n">
        <v>44643</v>
      </c>
      <c r="C6572" s="1" t="n">
        <v>45736</v>
      </c>
      <c r="D6572" t="inlineStr">
        <is>
          <t>VÄRMLANDS LÄN</t>
        </is>
      </c>
      <c r="E6572" t="inlineStr">
        <is>
          <t>ÅRJÄNG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13063-2022</t>
        </is>
      </c>
      <c r="B6573" s="1" t="n">
        <v>44643</v>
      </c>
      <c r="C6573" s="1" t="n">
        <v>45736</v>
      </c>
      <c r="D6573" t="inlineStr">
        <is>
          <t>VÄRMLANDS LÄN</t>
        </is>
      </c>
      <c r="E6573" t="inlineStr">
        <is>
          <t>ÅRJÄNG</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13156-2022</t>
        </is>
      </c>
      <c r="B6574" s="1" t="n">
        <v>44643</v>
      </c>
      <c r="C6574" s="1" t="n">
        <v>45736</v>
      </c>
      <c r="D6574" t="inlineStr">
        <is>
          <t>VÄRMLANDS LÄN</t>
        </is>
      </c>
      <c r="E6574" t="inlineStr">
        <is>
          <t>ÅRJÄNG</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13152-2022</t>
        </is>
      </c>
      <c r="B6575" s="1" t="n">
        <v>44643</v>
      </c>
      <c r="C6575" s="1" t="n">
        <v>45736</v>
      </c>
      <c r="D6575" t="inlineStr">
        <is>
          <t>VÄRMLANDS LÄN</t>
        </is>
      </c>
      <c r="E6575" t="inlineStr">
        <is>
          <t>ÅRJÄNG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13052-2022</t>
        </is>
      </c>
      <c r="B6576" s="1" t="n">
        <v>44643</v>
      </c>
      <c r="C6576" s="1" t="n">
        <v>45736</v>
      </c>
      <c r="D6576" t="inlineStr">
        <is>
          <t>VÄRMLANDS LÄN</t>
        </is>
      </c>
      <c r="E6576" t="inlineStr">
        <is>
          <t>SÄFFLE</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13060-2022</t>
        </is>
      </c>
      <c r="B6577" s="1" t="n">
        <v>44643</v>
      </c>
      <c r="C6577" s="1" t="n">
        <v>45736</v>
      </c>
      <c r="D6577" t="inlineStr">
        <is>
          <t>VÄRMLANDS LÄN</t>
        </is>
      </c>
      <c r="E6577" t="inlineStr">
        <is>
          <t>ÅRJÄNG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13166-2022</t>
        </is>
      </c>
      <c r="B6578" s="1" t="n">
        <v>44643</v>
      </c>
      <c r="C6578" s="1" t="n">
        <v>45736</v>
      </c>
      <c r="D6578" t="inlineStr">
        <is>
          <t>VÄRMLANDS LÄN</t>
        </is>
      </c>
      <c r="E6578" t="inlineStr">
        <is>
          <t>ÅRJÄNG</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13123-2022</t>
        </is>
      </c>
      <c r="B6579" s="1" t="n">
        <v>44644</v>
      </c>
      <c r="C6579" s="1" t="n">
        <v>45736</v>
      </c>
      <c r="D6579" t="inlineStr">
        <is>
          <t>VÄRMLANDS LÄN</t>
        </is>
      </c>
      <c r="E6579" t="inlineStr">
        <is>
          <t>ÅRJÄNG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13207-2022</t>
        </is>
      </c>
      <c r="B6580" s="1" t="n">
        <v>44644</v>
      </c>
      <c r="C6580" s="1" t="n">
        <v>45736</v>
      </c>
      <c r="D6580" t="inlineStr">
        <is>
          <t>VÄRMLANDS LÄN</t>
        </is>
      </c>
      <c r="E6580" t="inlineStr">
        <is>
          <t>TORSBY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13146-2022</t>
        </is>
      </c>
      <c r="B6581" s="1" t="n">
        <v>44644</v>
      </c>
      <c r="C6581" s="1" t="n">
        <v>45736</v>
      </c>
      <c r="D6581" t="inlineStr">
        <is>
          <t>VÄRMLANDS LÄN</t>
        </is>
      </c>
      <c r="E6581" t="inlineStr">
        <is>
          <t>SÄFFLE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13160-2022</t>
        </is>
      </c>
      <c r="B6582" s="1" t="n">
        <v>44644</v>
      </c>
      <c r="C6582" s="1" t="n">
        <v>45736</v>
      </c>
      <c r="D6582" t="inlineStr">
        <is>
          <t>VÄRMLANDS LÄN</t>
        </is>
      </c>
      <c r="E6582" t="inlineStr">
        <is>
          <t>ÅRJÄNG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13354-2022</t>
        </is>
      </c>
      <c r="B6583" s="1" t="n">
        <v>44645</v>
      </c>
      <c r="C6583" s="1" t="n">
        <v>45736</v>
      </c>
      <c r="D6583" t="inlineStr">
        <is>
          <t>VÄRMLANDS LÄN</t>
        </is>
      </c>
      <c r="E6583" t="inlineStr">
        <is>
          <t>HAMMARÖ</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13393-2022</t>
        </is>
      </c>
      <c r="B6584" s="1" t="n">
        <v>44645</v>
      </c>
      <c r="C6584" s="1" t="n">
        <v>45736</v>
      </c>
      <c r="D6584" t="inlineStr">
        <is>
          <t>VÄRMLANDS LÄN</t>
        </is>
      </c>
      <c r="E6584" t="inlineStr">
        <is>
          <t>GRUMS</t>
        </is>
      </c>
      <c r="F6584" t="inlineStr">
        <is>
          <t>Bergvik skog väst AB</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13356-2022</t>
        </is>
      </c>
      <c r="B6585" s="1" t="n">
        <v>44645</v>
      </c>
      <c r="C6585" s="1" t="n">
        <v>45736</v>
      </c>
      <c r="D6585" t="inlineStr">
        <is>
          <t>VÄRMLANDS LÄN</t>
        </is>
      </c>
      <c r="E6585" t="inlineStr">
        <is>
          <t>HAMMARÖ</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13399-2022</t>
        </is>
      </c>
      <c r="B6586" s="1" t="n">
        <v>44645</v>
      </c>
      <c r="C6586" s="1" t="n">
        <v>45736</v>
      </c>
      <c r="D6586" t="inlineStr">
        <is>
          <t>VÄRMLANDS LÄN</t>
        </is>
      </c>
      <c r="E6586" t="inlineStr">
        <is>
          <t>ARVIKA</t>
        </is>
      </c>
      <c r="F6586" t="inlineStr">
        <is>
          <t>Bergvik skog väst AB</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13466-2022</t>
        </is>
      </c>
      <c r="B6587" s="1" t="n">
        <v>44645</v>
      </c>
      <c r="C6587" s="1" t="n">
        <v>45736</v>
      </c>
      <c r="D6587" t="inlineStr">
        <is>
          <t>VÄRMLANDS LÄN</t>
        </is>
      </c>
      <c r="E6587" t="inlineStr">
        <is>
          <t>GRUMS</t>
        </is>
      </c>
      <c r="F6587" t="inlineStr">
        <is>
          <t>Bergvik skog väst AB</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13579-2022</t>
        </is>
      </c>
      <c r="B6588" s="1" t="n">
        <v>44648</v>
      </c>
      <c r="C6588" s="1" t="n">
        <v>45736</v>
      </c>
      <c r="D6588" t="inlineStr">
        <is>
          <t>VÄRMLANDS LÄN</t>
        </is>
      </c>
      <c r="E6588" t="inlineStr">
        <is>
          <t>ARVIKA</t>
        </is>
      </c>
      <c r="F6588" t="inlineStr">
        <is>
          <t>Bergvik skog väst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13599-2022</t>
        </is>
      </c>
      <c r="B6589" s="1" t="n">
        <v>44648</v>
      </c>
      <c r="C6589" s="1" t="n">
        <v>45736</v>
      </c>
      <c r="D6589" t="inlineStr">
        <is>
          <t>VÄRMLANDS LÄN</t>
        </is>
      </c>
      <c r="E6589" t="inlineStr">
        <is>
          <t>MUNKFORS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13505-2022</t>
        </is>
      </c>
      <c r="B6590" s="1" t="n">
        <v>44648</v>
      </c>
      <c r="C6590" s="1" t="n">
        <v>45736</v>
      </c>
      <c r="D6590" t="inlineStr">
        <is>
          <t>VÄRMLANDS LÄN</t>
        </is>
      </c>
      <c r="E6590" t="inlineStr">
        <is>
          <t>KRISTINEHAMN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13514-2022</t>
        </is>
      </c>
      <c r="B6591" s="1" t="n">
        <v>44648</v>
      </c>
      <c r="C6591" s="1" t="n">
        <v>45736</v>
      </c>
      <c r="D6591" t="inlineStr">
        <is>
          <t>VÄRMLANDS LÄN</t>
        </is>
      </c>
      <c r="E6591" t="inlineStr">
        <is>
          <t>ARVIKA</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13572-2022</t>
        </is>
      </c>
      <c r="B6592" s="1" t="n">
        <v>44648</v>
      </c>
      <c r="C6592" s="1" t="n">
        <v>45736</v>
      </c>
      <c r="D6592" t="inlineStr">
        <is>
          <t>VÄRMLANDS LÄN</t>
        </is>
      </c>
      <c r="E6592" t="inlineStr">
        <is>
          <t>MUNKFORS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13578-2022</t>
        </is>
      </c>
      <c r="B6593" s="1" t="n">
        <v>44648</v>
      </c>
      <c r="C6593" s="1" t="n">
        <v>45736</v>
      </c>
      <c r="D6593" t="inlineStr">
        <is>
          <t>VÄRMLANDS LÄN</t>
        </is>
      </c>
      <c r="E6593" t="inlineStr">
        <is>
          <t>MUNKFORS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13596-2022</t>
        </is>
      </c>
      <c r="B6594" s="1" t="n">
        <v>44648</v>
      </c>
      <c r="C6594" s="1" t="n">
        <v>45736</v>
      </c>
      <c r="D6594" t="inlineStr">
        <is>
          <t>VÄRMLANDS LÄN</t>
        </is>
      </c>
      <c r="E6594" t="inlineStr">
        <is>
          <t>MUNKFORS</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13576-2022</t>
        </is>
      </c>
      <c r="B6595" s="1" t="n">
        <v>44648</v>
      </c>
      <c r="C6595" s="1" t="n">
        <v>45736</v>
      </c>
      <c r="D6595" t="inlineStr">
        <is>
          <t>VÄRMLANDS LÄN</t>
        </is>
      </c>
      <c r="E6595" t="inlineStr">
        <is>
          <t>MUNKFORS</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13593-2022</t>
        </is>
      </c>
      <c r="B6596" s="1" t="n">
        <v>44648</v>
      </c>
      <c r="C6596" s="1" t="n">
        <v>45736</v>
      </c>
      <c r="D6596" t="inlineStr">
        <is>
          <t>VÄRMLANDS LÄN</t>
        </is>
      </c>
      <c r="E6596" t="inlineStr">
        <is>
          <t>ÅRJÄNG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13618-2022</t>
        </is>
      </c>
      <c r="B6597" s="1" t="n">
        <v>44648</v>
      </c>
      <c r="C6597" s="1" t="n">
        <v>45736</v>
      </c>
      <c r="D6597" t="inlineStr">
        <is>
          <t>VÄRMLANDS LÄN</t>
        </is>
      </c>
      <c r="E6597" t="inlineStr">
        <is>
          <t>SUNNE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13635-2022</t>
        </is>
      </c>
      <c r="B6598" s="1" t="n">
        <v>44648</v>
      </c>
      <c r="C6598" s="1" t="n">
        <v>45736</v>
      </c>
      <c r="D6598" t="inlineStr">
        <is>
          <t>VÄRMLANDS LÄN</t>
        </is>
      </c>
      <c r="E6598" t="inlineStr">
        <is>
          <t>EDA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13654-2022</t>
        </is>
      </c>
      <c r="B6599" s="1" t="n">
        <v>44648</v>
      </c>
      <c r="C6599" s="1" t="n">
        <v>45736</v>
      </c>
      <c r="D6599" t="inlineStr">
        <is>
          <t>VÄRMLANDS LÄN</t>
        </is>
      </c>
      <c r="E6599" t="inlineStr">
        <is>
          <t>ÅRJÄNG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13698-2022</t>
        </is>
      </c>
      <c r="B6600" s="1" t="n">
        <v>44648</v>
      </c>
      <c r="C6600" s="1" t="n">
        <v>45736</v>
      </c>
      <c r="D6600" t="inlineStr">
        <is>
          <t>VÄRMLANDS LÄN</t>
        </is>
      </c>
      <c r="E6600" t="inlineStr">
        <is>
          <t>TORSBY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13644-2022</t>
        </is>
      </c>
      <c r="B6601" s="1" t="n">
        <v>44648</v>
      </c>
      <c r="C6601" s="1" t="n">
        <v>45736</v>
      </c>
      <c r="D6601" t="inlineStr">
        <is>
          <t>VÄRMLANDS LÄN</t>
        </is>
      </c>
      <c r="E6601" t="inlineStr">
        <is>
          <t>SUNNE</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13757-2022</t>
        </is>
      </c>
      <c r="B6602" s="1" t="n">
        <v>44649</v>
      </c>
      <c r="C6602" s="1" t="n">
        <v>45736</v>
      </c>
      <c r="D6602" t="inlineStr">
        <is>
          <t>VÄRMLANDS LÄN</t>
        </is>
      </c>
      <c r="E6602" t="inlineStr">
        <is>
          <t>SÄFFLE</t>
        </is>
      </c>
      <c r="G6602" t="n">
        <v>15.1</v>
      </c>
      <c r="H6602" t="n">
        <v>0</v>
      </c>
      <c r="I6602" t="n">
        <v>0</v>
      </c>
      <c r="J6602" t="n">
        <v>0</v>
      </c>
      <c r="K6602" t="n">
        <v>0</v>
      </c>
      <c r="L6602" t="n">
        <v>0</v>
      </c>
      <c r="M6602" t="n">
        <v>0</v>
      </c>
      <c r="N6602" t="n">
        <v>0</v>
      </c>
      <c r="O6602" t="n">
        <v>0</v>
      </c>
      <c r="P6602" t="n">
        <v>0</v>
      </c>
      <c r="Q6602" t="n">
        <v>0</v>
      </c>
      <c r="R6602" s="2" t="inlineStr"/>
    </row>
    <row r="6603" ht="15" customHeight="1">
      <c r="A6603" t="inlineStr">
        <is>
          <t>A 13766-2022</t>
        </is>
      </c>
      <c r="B6603" s="1" t="n">
        <v>44649</v>
      </c>
      <c r="C6603" s="1" t="n">
        <v>45736</v>
      </c>
      <c r="D6603" t="inlineStr">
        <is>
          <t>VÄRMLANDS LÄN</t>
        </is>
      </c>
      <c r="E6603" t="inlineStr">
        <is>
          <t>HAGFORS</t>
        </is>
      </c>
      <c r="F6603" t="inlineStr">
        <is>
          <t>Bergvik skog väst AB</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13806-2022</t>
        </is>
      </c>
      <c r="B6604" s="1" t="n">
        <v>44649</v>
      </c>
      <c r="C6604" s="1" t="n">
        <v>45736</v>
      </c>
      <c r="D6604" t="inlineStr">
        <is>
          <t>VÄRMLANDS LÄN</t>
        </is>
      </c>
      <c r="E6604" t="inlineStr">
        <is>
          <t>KARLSTAD</t>
        </is>
      </c>
      <c r="F6604" t="inlineStr">
        <is>
          <t>Naturvårdsverket</t>
        </is>
      </c>
      <c r="G6604" t="n">
        <v>14.3</v>
      </c>
      <c r="H6604" t="n">
        <v>0</v>
      </c>
      <c r="I6604" t="n">
        <v>0</v>
      </c>
      <c r="J6604" t="n">
        <v>0</v>
      </c>
      <c r="K6604" t="n">
        <v>0</v>
      </c>
      <c r="L6604" t="n">
        <v>0</v>
      </c>
      <c r="M6604" t="n">
        <v>0</v>
      </c>
      <c r="N6604" t="n">
        <v>0</v>
      </c>
      <c r="O6604" t="n">
        <v>0</v>
      </c>
      <c r="P6604" t="n">
        <v>0</v>
      </c>
      <c r="Q6604" t="n">
        <v>0</v>
      </c>
      <c r="R6604" s="2" t="inlineStr"/>
    </row>
    <row r="6605" ht="15" customHeight="1">
      <c r="A6605" t="inlineStr">
        <is>
          <t>A 13830-2022</t>
        </is>
      </c>
      <c r="B6605" s="1" t="n">
        <v>44649</v>
      </c>
      <c r="C6605" s="1" t="n">
        <v>45736</v>
      </c>
      <c r="D6605" t="inlineStr">
        <is>
          <t>VÄRMLANDS LÄN</t>
        </is>
      </c>
      <c r="E6605" t="inlineStr">
        <is>
          <t>KARLSTAD</t>
        </is>
      </c>
      <c r="F6605" t="inlineStr">
        <is>
          <t>Naturvårdsverket</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13840-2022</t>
        </is>
      </c>
      <c r="B6606" s="1" t="n">
        <v>44649</v>
      </c>
      <c r="C6606" s="1" t="n">
        <v>45736</v>
      </c>
      <c r="D6606" t="inlineStr">
        <is>
          <t>VÄRMLANDS LÄN</t>
        </is>
      </c>
      <c r="E6606" t="inlineStr">
        <is>
          <t>HAGFORS</t>
        </is>
      </c>
      <c r="F6606" t="inlineStr">
        <is>
          <t>Bergvik skog väst AB</t>
        </is>
      </c>
      <c r="G6606" t="n">
        <v>17.9</v>
      </c>
      <c r="H6606" t="n">
        <v>0</v>
      </c>
      <c r="I6606" t="n">
        <v>0</v>
      </c>
      <c r="J6606" t="n">
        <v>0</v>
      </c>
      <c r="K6606" t="n">
        <v>0</v>
      </c>
      <c r="L6606" t="n">
        <v>0</v>
      </c>
      <c r="M6606" t="n">
        <v>0</v>
      </c>
      <c r="N6606" t="n">
        <v>0</v>
      </c>
      <c r="O6606" t="n">
        <v>0</v>
      </c>
      <c r="P6606" t="n">
        <v>0</v>
      </c>
      <c r="Q6606" t="n">
        <v>0</v>
      </c>
      <c r="R6606" s="2" t="inlineStr"/>
    </row>
    <row r="6607" ht="15" customHeight="1">
      <c r="A6607" t="inlineStr">
        <is>
          <t>A 13745-2022</t>
        </is>
      </c>
      <c r="B6607" s="1" t="n">
        <v>44649</v>
      </c>
      <c r="C6607" s="1" t="n">
        <v>45736</v>
      </c>
      <c r="D6607" t="inlineStr">
        <is>
          <t>VÄRMLANDS LÄN</t>
        </is>
      </c>
      <c r="E6607" t="inlineStr">
        <is>
          <t>KARLSTAD</t>
        </is>
      </c>
      <c r="F6607" t="inlineStr">
        <is>
          <t>Bergvik skog väst AB</t>
        </is>
      </c>
      <c r="G6607" t="n">
        <v>20.8</v>
      </c>
      <c r="H6607" t="n">
        <v>0</v>
      </c>
      <c r="I6607" t="n">
        <v>0</v>
      </c>
      <c r="J6607" t="n">
        <v>0</v>
      </c>
      <c r="K6607" t="n">
        <v>0</v>
      </c>
      <c r="L6607" t="n">
        <v>0</v>
      </c>
      <c r="M6607" t="n">
        <v>0</v>
      </c>
      <c r="N6607" t="n">
        <v>0</v>
      </c>
      <c r="O6607" t="n">
        <v>0</v>
      </c>
      <c r="P6607" t="n">
        <v>0</v>
      </c>
      <c r="Q6607" t="n">
        <v>0</v>
      </c>
      <c r="R6607" s="2" t="inlineStr"/>
    </row>
    <row r="6608" ht="15" customHeight="1">
      <c r="A6608" t="inlineStr">
        <is>
          <t>A 13803-2022</t>
        </is>
      </c>
      <c r="B6608" s="1" t="n">
        <v>44649</v>
      </c>
      <c r="C6608" s="1" t="n">
        <v>45736</v>
      </c>
      <c r="D6608" t="inlineStr">
        <is>
          <t>VÄRMLANDS LÄN</t>
        </is>
      </c>
      <c r="E6608" t="inlineStr">
        <is>
          <t>HAGFORS</t>
        </is>
      </c>
      <c r="F6608" t="inlineStr">
        <is>
          <t>Bergvik skog väst AB</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13843-2022</t>
        </is>
      </c>
      <c r="B6609" s="1" t="n">
        <v>44649</v>
      </c>
      <c r="C6609" s="1" t="n">
        <v>45736</v>
      </c>
      <c r="D6609" t="inlineStr">
        <is>
          <t>VÄRMLANDS LÄN</t>
        </is>
      </c>
      <c r="E6609" t="inlineStr">
        <is>
          <t>GRUMS</t>
        </is>
      </c>
      <c r="F6609" t="inlineStr">
        <is>
          <t>Bergvik skog väst AB</t>
        </is>
      </c>
      <c r="G6609" t="n">
        <v>11.8</v>
      </c>
      <c r="H6609" t="n">
        <v>0</v>
      </c>
      <c r="I6609" t="n">
        <v>0</v>
      </c>
      <c r="J6609" t="n">
        <v>0</v>
      </c>
      <c r="K6609" t="n">
        <v>0</v>
      </c>
      <c r="L6609" t="n">
        <v>0</v>
      </c>
      <c r="M6609" t="n">
        <v>0</v>
      </c>
      <c r="N6609" t="n">
        <v>0</v>
      </c>
      <c r="O6609" t="n">
        <v>0</v>
      </c>
      <c r="P6609" t="n">
        <v>0</v>
      </c>
      <c r="Q6609" t="n">
        <v>0</v>
      </c>
      <c r="R6609" s="2" t="inlineStr"/>
    </row>
    <row r="6610" ht="15" customHeight="1">
      <c r="A6610" t="inlineStr">
        <is>
          <t>A 13797-2022</t>
        </is>
      </c>
      <c r="B6610" s="1" t="n">
        <v>44649</v>
      </c>
      <c r="C6610" s="1" t="n">
        <v>45736</v>
      </c>
      <c r="D6610" t="inlineStr">
        <is>
          <t>VÄRMLANDS LÄN</t>
        </is>
      </c>
      <c r="E6610" t="inlineStr">
        <is>
          <t>HAGFORS</t>
        </is>
      </c>
      <c r="F6610" t="inlineStr">
        <is>
          <t>Bergvik skog väst AB</t>
        </is>
      </c>
      <c r="G6610" t="n">
        <v>14.1</v>
      </c>
      <c r="H6610" t="n">
        <v>0</v>
      </c>
      <c r="I6610" t="n">
        <v>0</v>
      </c>
      <c r="J6610" t="n">
        <v>0</v>
      </c>
      <c r="K6610" t="n">
        <v>0</v>
      </c>
      <c r="L6610" t="n">
        <v>0</v>
      </c>
      <c r="M6610" t="n">
        <v>0</v>
      </c>
      <c r="N6610" t="n">
        <v>0</v>
      </c>
      <c r="O6610" t="n">
        <v>0</v>
      </c>
      <c r="P6610" t="n">
        <v>0</v>
      </c>
      <c r="Q6610" t="n">
        <v>0</v>
      </c>
      <c r="R6610" s="2" t="inlineStr"/>
    </row>
    <row r="6611" ht="15" customHeight="1">
      <c r="A6611" t="inlineStr">
        <is>
          <t>A 13850-2022</t>
        </is>
      </c>
      <c r="B6611" s="1" t="n">
        <v>44649</v>
      </c>
      <c r="C6611" s="1" t="n">
        <v>45736</v>
      </c>
      <c r="D6611" t="inlineStr">
        <is>
          <t>VÄRMLANDS LÄN</t>
        </is>
      </c>
      <c r="E6611" t="inlineStr">
        <is>
          <t>HAGFORS</t>
        </is>
      </c>
      <c r="F6611" t="inlineStr">
        <is>
          <t>Bergvik skog väst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13864-2022</t>
        </is>
      </c>
      <c r="B6612" s="1" t="n">
        <v>44649</v>
      </c>
      <c r="C6612" s="1" t="n">
        <v>45736</v>
      </c>
      <c r="D6612" t="inlineStr">
        <is>
          <t>VÄRMLANDS LÄN</t>
        </is>
      </c>
      <c r="E6612" t="inlineStr">
        <is>
          <t>KARLSTAD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13835-2022</t>
        </is>
      </c>
      <c r="B6613" s="1" t="n">
        <v>44649</v>
      </c>
      <c r="C6613" s="1" t="n">
        <v>45736</v>
      </c>
      <c r="D6613" t="inlineStr">
        <is>
          <t>VÄRMLANDS LÄN</t>
        </is>
      </c>
      <c r="E6613" t="inlineStr">
        <is>
          <t>SÄFFLE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13957-2022</t>
        </is>
      </c>
      <c r="B6614" s="1" t="n">
        <v>44650</v>
      </c>
      <c r="C6614" s="1" t="n">
        <v>45736</v>
      </c>
      <c r="D6614" t="inlineStr">
        <is>
          <t>VÄRMLANDS LÄN</t>
        </is>
      </c>
      <c r="E6614" t="inlineStr">
        <is>
          <t>ÅRJÄNG</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13896-2022</t>
        </is>
      </c>
      <c r="B6615" s="1" t="n">
        <v>44650</v>
      </c>
      <c r="C6615" s="1" t="n">
        <v>45736</v>
      </c>
      <c r="D6615" t="inlineStr">
        <is>
          <t>VÄRMLANDS LÄN</t>
        </is>
      </c>
      <c r="E6615" t="inlineStr">
        <is>
          <t>TORSBY</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13882-2022</t>
        </is>
      </c>
      <c r="B6616" s="1" t="n">
        <v>44650</v>
      </c>
      <c r="C6616" s="1" t="n">
        <v>45736</v>
      </c>
      <c r="D6616" t="inlineStr">
        <is>
          <t>VÄRMLANDS LÄN</t>
        </is>
      </c>
      <c r="E6616" t="inlineStr">
        <is>
          <t>KARLSTAD</t>
        </is>
      </c>
      <c r="F6616" t="inlineStr">
        <is>
          <t>Bergvik skog väst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13999-2022</t>
        </is>
      </c>
      <c r="B6617" s="1" t="n">
        <v>44650</v>
      </c>
      <c r="C6617" s="1" t="n">
        <v>45736</v>
      </c>
      <c r="D6617" t="inlineStr">
        <is>
          <t>VÄRMLANDS LÄN</t>
        </is>
      </c>
      <c r="E6617" t="inlineStr">
        <is>
          <t>KARLSTAD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14077-2022</t>
        </is>
      </c>
      <c r="B6618" s="1" t="n">
        <v>44651</v>
      </c>
      <c r="C6618" s="1" t="n">
        <v>45736</v>
      </c>
      <c r="D6618" t="inlineStr">
        <is>
          <t>VÄRMLANDS LÄN</t>
        </is>
      </c>
      <c r="E6618" t="inlineStr">
        <is>
          <t>FILIPSTAD</t>
        </is>
      </c>
      <c r="F6618" t="inlineStr">
        <is>
          <t>Bergvik skog väst AB</t>
        </is>
      </c>
      <c r="G6618" t="n">
        <v>18.7</v>
      </c>
      <c r="H6618" t="n">
        <v>0</v>
      </c>
      <c r="I6618" t="n">
        <v>0</v>
      </c>
      <c r="J6618" t="n">
        <v>0</v>
      </c>
      <c r="K6618" t="n">
        <v>0</v>
      </c>
      <c r="L6618" t="n">
        <v>0</v>
      </c>
      <c r="M6618" t="n">
        <v>0</v>
      </c>
      <c r="N6618" t="n">
        <v>0</v>
      </c>
      <c r="O6618" t="n">
        <v>0</v>
      </c>
      <c r="P6618" t="n">
        <v>0</v>
      </c>
      <c r="Q6618" t="n">
        <v>0</v>
      </c>
      <c r="R6618" s="2" t="inlineStr"/>
    </row>
    <row r="6619" ht="15" customHeight="1">
      <c r="A6619" t="inlineStr">
        <is>
          <t>A 14145-2022</t>
        </is>
      </c>
      <c r="B6619" s="1" t="n">
        <v>44651</v>
      </c>
      <c r="C6619" s="1" t="n">
        <v>45736</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14074-2022</t>
        </is>
      </c>
      <c r="B6620" s="1" t="n">
        <v>44651</v>
      </c>
      <c r="C6620" s="1" t="n">
        <v>45736</v>
      </c>
      <c r="D6620" t="inlineStr">
        <is>
          <t>VÄRMLANDS LÄN</t>
        </is>
      </c>
      <c r="E6620" t="inlineStr">
        <is>
          <t>FILIPSTAD</t>
        </is>
      </c>
      <c r="F6620" t="inlineStr">
        <is>
          <t>Bergvik skog väst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14178-2022</t>
        </is>
      </c>
      <c r="B6621" s="1" t="n">
        <v>44651</v>
      </c>
      <c r="C6621" s="1" t="n">
        <v>45736</v>
      </c>
      <c r="D6621" t="inlineStr">
        <is>
          <t>VÄRMLANDS LÄN</t>
        </is>
      </c>
      <c r="E6621" t="inlineStr">
        <is>
          <t>KRISTINEHAMN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14168-2022</t>
        </is>
      </c>
      <c r="B6622" s="1" t="n">
        <v>44651</v>
      </c>
      <c r="C6622" s="1" t="n">
        <v>45736</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14180-2022</t>
        </is>
      </c>
      <c r="B6623" s="1" t="n">
        <v>44651</v>
      </c>
      <c r="C6623" s="1" t="n">
        <v>45736</v>
      </c>
      <c r="D6623" t="inlineStr">
        <is>
          <t>VÄRMLANDS LÄN</t>
        </is>
      </c>
      <c r="E6623" t="inlineStr">
        <is>
          <t>KRISTINEHAMN</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14183-2022</t>
        </is>
      </c>
      <c r="B6624" s="1" t="n">
        <v>44651</v>
      </c>
      <c r="C6624" s="1" t="n">
        <v>45736</v>
      </c>
      <c r="D6624" t="inlineStr">
        <is>
          <t>VÄRMLANDS LÄN</t>
        </is>
      </c>
      <c r="E6624" t="inlineStr">
        <is>
          <t>KRISTINEHAMN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14401-2022</t>
        </is>
      </c>
      <c r="B6625" s="1" t="n">
        <v>44652</v>
      </c>
      <c r="C6625" s="1" t="n">
        <v>45736</v>
      </c>
      <c r="D6625" t="inlineStr">
        <is>
          <t>VÄRMLANDS LÄN</t>
        </is>
      </c>
      <c r="E6625" t="inlineStr">
        <is>
          <t>KARLSTAD</t>
        </is>
      </c>
      <c r="F6625" t="inlineStr">
        <is>
          <t>Naturvårdsverket</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14320-2022</t>
        </is>
      </c>
      <c r="B6626" s="1" t="n">
        <v>44652</v>
      </c>
      <c r="C6626" s="1" t="n">
        <v>45736</v>
      </c>
      <c r="D6626" t="inlineStr">
        <is>
          <t>VÄRMLANDS LÄN</t>
        </is>
      </c>
      <c r="E6626" t="inlineStr">
        <is>
          <t>TORSBY</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14310-2022</t>
        </is>
      </c>
      <c r="B6627" s="1" t="n">
        <v>44652</v>
      </c>
      <c r="C6627" s="1" t="n">
        <v>45736</v>
      </c>
      <c r="D6627" t="inlineStr">
        <is>
          <t>VÄRMLANDS LÄN</t>
        </is>
      </c>
      <c r="E6627" t="inlineStr">
        <is>
          <t>ÅRJÄNG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14378-2022</t>
        </is>
      </c>
      <c r="B6628" s="1" t="n">
        <v>44652</v>
      </c>
      <c r="C6628" s="1" t="n">
        <v>45736</v>
      </c>
      <c r="D6628" t="inlineStr">
        <is>
          <t>VÄRMLANDS LÄN</t>
        </is>
      </c>
      <c r="E6628" t="inlineStr">
        <is>
          <t>SUNNE</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14467-2022</t>
        </is>
      </c>
      <c r="B6629" s="1" t="n">
        <v>44654</v>
      </c>
      <c r="C6629" s="1" t="n">
        <v>45736</v>
      </c>
      <c r="D6629" t="inlineStr">
        <is>
          <t>VÄRMLANDS LÄN</t>
        </is>
      </c>
      <c r="E6629" t="inlineStr">
        <is>
          <t>KARLSTAD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14507-2022</t>
        </is>
      </c>
      <c r="B6630" s="1" t="n">
        <v>44655</v>
      </c>
      <c r="C6630" s="1" t="n">
        <v>45736</v>
      </c>
      <c r="D6630" t="inlineStr">
        <is>
          <t>VÄRMLANDS LÄN</t>
        </is>
      </c>
      <c r="E6630" t="inlineStr">
        <is>
          <t>ÅRJÄNG</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14560-2022</t>
        </is>
      </c>
      <c r="B6631" s="1" t="n">
        <v>44655</v>
      </c>
      <c r="C6631" s="1" t="n">
        <v>45736</v>
      </c>
      <c r="D6631" t="inlineStr">
        <is>
          <t>VÄRMLANDS LÄN</t>
        </is>
      </c>
      <c r="E6631" t="inlineStr">
        <is>
          <t>EDA</t>
        </is>
      </c>
      <c r="F6631" t="inlineStr">
        <is>
          <t>Kommuner</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14582-2022</t>
        </is>
      </c>
      <c r="B6632" s="1" t="n">
        <v>44655</v>
      </c>
      <c r="C6632" s="1" t="n">
        <v>45736</v>
      </c>
      <c r="D6632" t="inlineStr">
        <is>
          <t>VÄRMLANDS LÄN</t>
        </is>
      </c>
      <c r="E6632" t="inlineStr">
        <is>
          <t>FILIPSTAD</t>
        </is>
      </c>
      <c r="F6632" t="inlineStr">
        <is>
          <t>Bergvik skog väst AB</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14615-2022</t>
        </is>
      </c>
      <c r="B6633" s="1" t="n">
        <v>44655</v>
      </c>
      <c r="C6633" s="1" t="n">
        <v>45736</v>
      </c>
      <c r="D6633" t="inlineStr">
        <is>
          <t>VÄRMLANDS LÄN</t>
        </is>
      </c>
      <c r="E6633" t="inlineStr">
        <is>
          <t>ARVIKA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14635-2022</t>
        </is>
      </c>
      <c r="B6634" s="1" t="n">
        <v>44655</v>
      </c>
      <c r="C6634" s="1" t="n">
        <v>45736</v>
      </c>
      <c r="D6634" t="inlineStr">
        <is>
          <t>VÄRMLANDS LÄN</t>
        </is>
      </c>
      <c r="E6634" t="inlineStr">
        <is>
          <t>SÄFFLE</t>
        </is>
      </c>
      <c r="F6634" t="inlineStr">
        <is>
          <t>Bergvik skog väst AB</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14481-2022</t>
        </is>
      </c>
      <c r="B6635" s="1" t="n">
        <v>44655</v>
      </c>
      <c r="C6635" s="1" t="n">
        <v>45736</v>
      </c>
      <c r="D6635" t="inlineStr">
        <is>
          <t>VÄRMLANDS LÄN</t>
        </is>
      </c>
      <c r="E6635" t="inlineStr">
        <is>
          <t>SUNNE</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14509-2022</t>
        </is>
      </c>
      <c r="B6636" s="1" t="n">
        <v>44655</v>
      </c>
      <c r="C6636" s="1" t="n">
        <v>45736</v>
      </c>
      <c r="D6636" t="inlineStr">
        <is>
          <t>VÄRMLANDS LÄN</t>
        </is>
      </c>
      <c r="E6636" t="inlineStr">
        <is>
          <t>ÅRJÄNG</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14613-2022</t>
        </is>
      </c>
      <c r="B6637" s="1" t="n">
        <v>44655</v>
      </c>
      <c r="C6637" s="1" t="n">
        <v>45736</v>
      </c>
      <c r="D6637" t="inlineStr">
        <is>
          <t>VÄRMLANDS LÄN</t>
        </is>
      </c>
      <c r="E6637" t="inlineStr">
        <is>
          <t>MUNKFORS</t>
        </is>
      </c>
      <c r="F6637" t="inlineStr">
        <is>
          <t>Bergvik skog väst AB</t>
        </is>
      </c>
      <c r="G6637" t="n">
        <v>21.3</v>
      </c>
      <c r="H6637" t="n">
        <v>0</v>
      </c>
      <c r="I6637" t="n">
        <v>0</v>
      </c>
      <c r="J6637" t="n">
        <v>0</v>
      </c>
      <c r="K6637" t="n">
        <v>0</v>
      </c>
      <c r="L6637" t="n">
        <v>0</v>
      </c>
      <c r="M6637" t="n">
        <v>0</v>
      </c>
      <c r="N6637" t="n">
        <v>0</v>
      </c>
      <c r="O6637" t="n">
        <v>0</v>
      </c>
      <c r="P6637" t="n">
        <v>0</v>
      </c>
      <c r="Q6637" t="n">
        <v>0</v>
      </c>
      <c r="R6637" s="2" t="inlineStr"/>
    </row>
    <row r="6638" ht="15" customHeight="1">
      <c r="A6638" t="inlineStr">
        <is>
          <t>A 14660-2022</t>
        </is>
      </c>
      <c r="B6638" s="1" t="n">
        <v>44655</v>
      </c>
      <c r="C6638" s="1" t="n">
        <v>45736</v>
      </c>
      <c r="D6638" t="inlineStr">
        <is>
          <t>VÄRMLANDS LÄN</t>
        </is>
      </c>
      <c r="E6638" t="inlineStr">
        <is>
          <t>SUNNE</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14649-2022</t>
        </is>
      </c>
      <c r="B6639" s="1" t="n">
        <v>44655</v>
      </c>
      <c r="C6639" s="1" t="n">
        <v>45736</v>
      </c>
      <c r="D6639" t="inlineStr">
        <is>
          <t>VÄRMLANDS LÄN</t>
        </is>
      </c>
      <c r="E6639" t="inlineStr">
        <is>
          <t>ARVIKA</t>
        </is>
      </c>
      <c r="F6639" t="inlineStr">
        <is>
          <t>Kommuner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14729-2022</t>
        </is>
      </c>
      <c r="B6640" s="1" t="n">
        <v>44655</v>
      </c>
      <c r="C6640" s="1" t="n">
        <v>45736</v>
      </c>
      <c r="D6640" t="inlineStr">
        <is>
          <t>VÄRMLANDS LÄN</t>
        </is>
      </c>
      <c r="E6640" t="inlineStr">
        <is>
          <t>KIL</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14732-2022</t>
        </is>
      </c>
      <c r="B6641" s="1" t="n">
        <v>44655</v>
      </c>
      <c r="C6641" s="1" t="n">
        <v>45736</v>
      </c>
      <c r="D6641" t="inlineStr">
        <is>
          <t>VÄRMLANDS LÄN</t>
        </is>
      </c>
      <c r="E6641" t="inlineStr">
        <is>
          <t>KIL</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14802-2022</t>
        </is>
      </c>
      <c r="B6642" s="1" t="n">
        <v>44656</v>
      </c>
      <c r="C6642" s="1" t="n">
        <v>45736</v>
      </c>
      <c r="D6642" t="inlineStr">
        <is>
          <t>VÄRMLANDS LÄN</t>
        </is>
      </c>
      <c r="E6642" t="inlineStr">
        <is>
          <t>KRISTINEHAMN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14835-2022</t>
        </is>
      </c>
      <c r="B6643" s="1" t="n">
        <v>44656</v>
      </c>
      <c r="C6643" s="1" t="n">
        <v>45736</v>
      </c>
      <c r="D6643" t="inlineStr">
        <is>
          <t>VÄRMLANDS LÄN</t>
        </is>
      </c>
      <c r="E6643" t="inlineStr">
        <is>
          <t>SUNNE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14772-2022</t>
        </is>
      </c>
      <c r="B6644" s="1" t="n">
        <v>44656</v>
      </c>
      <c r="C6644" s="1" t="n">
        <v>45736</v>
      </c>
      <c r="D6644" t="inlineStr">
        <is>
          <t>VÄRMLANDS LÄN</t>
        </is>
      </c>
      <c r="E6644" t="inlineStr">
        <is>
          <t>KRISTINEHAMN</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14798-2022</t>
        </is>
      </c>
      <c r="B6645" s="1" t="n">
        <v>44656</v>
      </c>
      <c r="C6645" s="1" t="n">
        <v>45736</v>
      </c>
      <c r="D6645" t="inlineStr">
        <is>
          <t>VÄRMLANDS LÄN</t>
        </is>
      </c>
      <c r="E6645" t="inlineStr">
        <is>
          <t>SÄFFLE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14829-2022</t>
        </is>
      </c>
      <c r="B6646" s="1" t="n">
        <v>44656</v>
      </c>
      <c r="C6646" s="1" t="n">
        <v>45736</v>
      </c>
      <c r="D6646" t="inlineStr">
        <is>
          <t>VÄRMLANDS LÄN</t>
        </is>
      </c>
      <c r="E6646" t="inlineStr">
        <is>
          <t>ARVIKA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14854-2022</t>
        </is>
      </c>
      <c r="B6647" s="1" t="n">
        <v>44656</v>
      </c>
      <c r="C6647" s="1" t="n">
        <v>45736</v>
      </c>
      <c r="D6647" t="inlineStr">
        <is>
          <t>VÄRMLANDS LÄN</t>
        </is>
      </c>
      <c r="E6647" t="inlineStr">
        <is>
          <t>KARLSTAD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14851-2022</t>
        </is>
      </c>
      <c r="B6648" s="1" t="n">
        <v>44656</v>
      </c>
      <c r="C6648" s="1" t="n">
        <v>45736</v>
      </c>
      <c r="D6648" t="inlineStr">
        <is>
          <t>VÄRMLANDS LÄN</t>
        </is>
      </c>
      <c r="E6648" t="inlineStr">
        <is>
          <t>EDA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14916-2022</t>
        </is>
      </c>
      <c r="B6649" s="1" t="n">
        <v>44657</v>
      </c>
      <c r="C6649" s="1" t="n">
        <v>45736</v>
      </c>
      <c r="D6649" t="inlineStr">
        <is>
          <t>VÄRMLANDS LÄN</t>
        </is>
      </c>
      <c r="E6649" t="inlineStr">
        <is>
          <t>KARLSTAD</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14987-2022</t>
        </is>
      </c>
      <c r="B6650" s="1" t="n">
        <v>44657</v>
      </c>
      <c r="C6650" s="1" t="n">
        <v>45736</v>
      </c>
      <c r="D6650" t="inlineStr">
        <is>
          <t>VÄRMLANDS LÄN</t>
        </is>
      </c>
      <c r="E6650" t="inlineStr">
        <is>
          <t>SUNNE</t>
        </is>
      </c>
      <c r="F6650" t="inlineStr">
        <is>
          <t>Bergvik skog väst AB</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15036-2022</t>
        </is>
      </c>
      <c r="B6651" s="1" t="n">
        <v>44657</v>
      </c>
      <c r="C6651" s="1" t="n">
        <v>45736</v>
      </c>
      <c r="D6651" t="inlineStr">
        <is>
          <t>VÄRMLANDS LÄN</t>
        </is>
      </c>
      <c r="E6651" t="inlineStr">
        <is>
          <t>SUNNE</t>
        </is>
      </c>
      <c r="F6651" t="inlineStr">
        <is>
          <t>Bergvik skog väst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15029-2022</t>
        </is>
      </c>
      <c r="B6652" s="1" t="n">
        <v>44657</v>
      </c>
      <c r="C6652" s="1" t="n">
        <v>45736</v>
      </c>
      <c r="D6652" t="inlineStr">
        <is>
          <t>VÄRMLANDS LÄN</t>
        </is>
      </c>
      <c r="E6652" t="inlineStr">
        <is>
          <t>SUNNE</t>
        </is>
      </c>
      <c r="F6652" t="inlineStr">
        <is>
          <t>Bergvik skog väst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15039-2022</t>
        </is>
      </c>
      <c r="B6653" s="1" t="n">
        <v>44657</v>
      </c>
      <c r="C6653" s="1" t="n">
        <v>45736</v>
      </c>
      <c r="D6653" t="inlineStr">
        <is>
          <t>VÄRMLANDS LÄN</t>
        </is>
      </c>
      <c r="E6653" t="inlineStr">
        <is>
          <t>KIL</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15095-2022</t>
        </is>
      </c>
      <c r="B6654" s="1" t="n">
        <v>44657</v>
      </c>
      <c r="C6654" s="1" t="n">
        <v>45736</v>
      </c>
      <c r="D6654" t="inlineStr">
        <is>
          <t>VÄRMLANDS LÄN</t>
        </is>
      </c>
      <c r="E6654" t="inlineStr">
        <is>
          <t>KRISTINEHAMN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15096-2022</t>
        </is>
      </c>
      <c r="B6655" s="1" t="n">
        <v>44657</v>
      </c>
      <c r="C6655" s="1" t="n">
        <v>45736</v>
      </c>
      <c r="D6655" t="inlineStr">
        <is>
          <t>VÄRMLANDS LÄN</t>
        </is>
      </c>
      <c r="E6655" t="inlineStr">
        <is>
          <t>KRISTINEHAMN</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15152-2022</t>
        </is>
      </c>
      <c r="B6656" s="1" t="n">
        <v>44658</v>
      </c>
      <c r="C6656" s="1" t="n">
        <v>45736</v>
      </c>
      <c r="D6656" t="inlineStr">
        <is>
          <t>VÄRMLANDS LÄN</t>
        </is>
      </c>
      <c r="E6656" t="inlineStr">
        <is>
          <t>STORFORS</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15170-2022</t>
        </is>
      </c>
      <c r="B6657" s="1" t="n">
        <v>44658</v>
      </c>
      <c r="C6657" s="1" t="n">
        <v>45736</v>
      </c>
      <c r="D6657" t="inlineStr">
        <is>
          <t>VÄRMLANDS LÄN</t>
        </is>
      </c>
      <c r="E6657" t="inlineStr">
        <is>
          <t>SUNNE</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15185-2022</t>
        </is>
      </c>
      <c r="B6658" s="1" t="n">
        <v>44658</v>
      </c>
      <c r="C6658" s="1" t="n">
        <v>45736</v>
      </c>
      <c r="D6658" t="inlineStr">
        <is>
          <t>VÄRMLANDS LÄN</t>
        </is>
      </c>
      <c r="E6658" t="inlineStr">
        <is>
          <t>SÄFFLE</t>
        </is>
      </c>
      <c r="F6658" t="inlineStr">
        <is>
          <t>Bergvik skog väst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15172-2022</t>
        </is>
      </c>
      <c r="B6659" s="1" t="n">
        <v>44658</v>
      </c>
      <c r="C6659" s="1" t="n">
        <v>45736</v>
      </c>
      <c r="D6659" t="inlineStr">
        <is>
          <t>VÄRMLANDS LÄN</t>
        </is>
      </c>
      <c r="E6659" t="inlineStr">
        <is>
          <t>SUNNE</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15189-2022</t>
        </is>
      </c>
      <c r="B6660" s="1" t="n">
        <v>44658</v>
      </c>
      <c r="C6660" s="1" t="n">
        <v>45736</v>
      </c>
      <c r="D6660" t="inlineStr">
        <is>
          <t>VÄRMLANDS LÄN</t>
        </is>
      </c>
      <c r="E6660" t="inlineStr">
        <is>
          <t>SÄFFLE</t>
        </is>
      </c>
      <c r="F6660" t="inlineStr">
        <is>
          <t>Bergvik skog väst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15255-2022</t>
        </is>
      </c>
      <c r="B6661" s="1" t="n">
        <v>44659</v>
      </c>
      <c r="C6661" s="1" t="n">
        <v>45736</v>
      </c>
      <c r="D6661" t="inlineStr">
        <is>
          <t>VÄRMLANDS LÄN</t>
        </is>
      </c>
      <c r="E6661" t="inlineStr">
        <is>
          <t>SUNNE</t>
        </is>
      </c>
      <c r="G6661" t="n">
        <v>16.4</v>
      </c>
      <c r="H6661" t="n">
        <v>0</v>
      </c>
      <c r="I6661" t="n">
        <v>0</v>
      </c>
      <c r="J6661" t="n">
        <v>0</v>
      </c>
      <c r="K6661" t="n">
        <v>0</v>
      </c>
      <c r="L6661" t="n">
        <v>0</v>
      </c>
      <c r="M6661" t="n">
        <v>0</v>
      </c>
      <c r="N6661" t="n">
        <v>0</v>
      </c>
      <c r="O6661" t="n">
        <v>0</v>
      </c>
      <c r="P6661" t="n">
        <v>0</v>
      </c>
      <c r="Q6661" t="n">
        <v>0</v>
      </c>
      <c r="R6661" s="2" t="inlineStr"/>
    </row>
    <row r="6662" ht="15" customHeight="1">
      <c r="A6662" t="inlineStr">
        <is>
          <t>A 15260-2022</t>
        </is>
      </c>
      <c r="B6662" s="1" t="n">
        <v>44659</v>
      </c>
      <c r="C6662" s="1" t="n">
        <v>45736</v>
      </c>
      <c r="D6662" t="inlineStr">
        <is>
          <t>VÄRMLANDS LÄN</t>
        </is>
      </c>
      <c r="E6662" t="inlineStr">
        <is>
          <t>SÄFFLE</t>
        </is>
      </c>
      <c r="F6662" t="inlineStr">
        <is>
          <t>Bergvik skog väst AB</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15308-2022</t>
        </is>
      </c>
      <c r="B6663" s="1" t="n">
        <v>44659</v>
      </c>
      <c r="C6663" s="1" t="n">
        <v>45736</v>
      </c>
      <c r="D6663" t="inlineStr">
        <is>
          <t>VÄRMLANDS LÄN</t>
        </is>
      </c>
      <c r="E6663" t="inlineStr">
        <is>
          <t>ÅRJÄNG</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15314-2022</t>
        </is>
      </c>
      <c r="B6664" s="1" t="n">
        <v>44659</v>
      </c>
      <c r="C6664" s="1" t="n">
        <v>45736</v>
      </c>
      <c r="D6664" t="inlineStr">
        <is>
          <t>VÄRMLANDS LÄN</t>
        </is>
      </c>
      <c r="E6664" t="inlineStr">
        <is>
          <t>ARVIKA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15306-2022</t>
        </is>
      </c>
      <c r="B6665" s="1" t="n">
        <v>44659</v>
      </c>
      <c r="C6665" s="1" t="n">
        <v>45736</v>
      </c>
      <c r="D6665" t="inlineStr">
        <is>
          <t>VÄRMLANDS LÄN</t>
        </is>
      </c>
      <c r="E6665" t="inlineStr">
        <is>
          <t>ARVIKA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15380-2022</t>
        </is>
      </c>
      <c r="B6666" s="1" t="n">
        <v>44659</v>
      </c>
      <c r="C6666" s="1" t="n">
        <v>45736</v>
      </c>
      <c r="D6666" t="inlineStr">
        <is>
          <t>VÄRMLANDS LÄN</t>
        </is>
      </c>
      <c r="E6666" t="inlineStr">
        <is>
          <t>EDA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15412-2022</t>
        </is>
      </c>
      <c r="B6667" s="1" t="n">
        <v>44659</v>
      </c>
      <c r="C6667" s="1" t="n">
        <v>45736</v>
      </c>
      <c r="D6667" t="inlineStr">
        <is>
          <t>VÄRMLANDS LÄN</t>
        </is>
      </c>
      <c r="E6667" t="inlineStr">
        <is>
          <t>SÄFFLE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15303-2022</t>
        </is>
      </c>
      <c r="B6668" s="1" t="n">
        <v>44659</v>
      </c>
      <c r="C6668" s="1" t="n">
        <v>45736</v>
      </c>
      <c r="D6668" t="inlineStr">
        <is>
          <t>VÄRMLANDS LÄN</t>
        </is>
      </c>
      <c r="E6668" t="inlineStr">
        <is>
          <t>KRISTINEHAMN</t>
        </is>
      </c>
      <c r="F6668" t="inlineStr">
        <is>
          <t>Bergvik skog väst AB</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15258-2022</t>
        </is>
      </c>
      <c r="B6669" s="1" t="n">
        <v>44659</v>
      </c>
      <c r="C6669" s="1" t="n">
        <v>45736</v>
      </c>
      <c r="D6669" t="inlineStr">
        <is>
          <t>VÄRMLANDS LÄN</t>
        </is>
      </c>
      <c r="E6669" t="inlineStr">
        <is>
          <t>EDA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15419-2022</t>
        </is>
      </c>
      <c r="B6670" s="1" t="n">
        <v>44659</v>
      </c>
      <c r="C6670" s="1" t="n">
        <v>45736</v>
      </c>
      <c r="D6670" t="inlineStr">
        <is>
          <t>VÄRMLANDS LÄN</t>
        </is>
      </c>
      <c r="E6670" t="inlineStr">
        <is>
          <t>KRISTINEHAMN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15327-2022</t>
        </is>
      </c>
      <c r="B6671" s="1" t="n">
        <v>44659</v>
      </c>
      <c r="C6671" s="1" t="n">
        <v>45736</v>
      </c>
      <c r="D6671" t="inlineStr">
        <is>
          <t>VÄRMLANDS LÄN</t>
        </is>
      </c>
      <c r="E6671" t="inlineStr">
        <is>
          <t>ÅRJÄNG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15461-2022</t>
        </is>
      </c>
      <c r="B6672" s="1" t="n">
        <v>44661</v>
      </c>
      <c r="C6672" s="1" t="n">
        <v>45736</v>
      </c>
      <c r="D6672" t="inlineStr">
        <is>
          <t>VÄRMLANDS LÄN</t>
        </is>
      </c>
      <c r="E6672" t="inlineStr">
        <is>
          <t>TORSBY</t>
        </is>
      </c>
      <c r="G6672" t="n">
        <v>13.1</v>
      </c>
      <c r="H6672" t="n">
        <v>0</v>
      </c>
      <c r="I6672" t="n">
        <v>0</v>
      </c>
      <c r="J6672" t="n">
        <v>0</v>
      </c>
      <c r="K6672" t="n">
        <v>0</v>
      </c>
      <c r="L6672" t="n">
        <v>0</v>
      </c>
      <c r="M6672" t="n">
        <v>0</v>
      </c>
      <c r="N6672" t="n">
        <v>0</v>
      </c>
      <c r="O6672" t="n">
        <v>0</v>
      </c>
      <c r="P6672" t="n">
        <v>0</v>
      </c>
      <c r="Q6672" t="n">
        <v>0</v>
      </c>
      <c r="R6672" s="2" t="inlineStr"/>
    </row>
    <row r="6673" ht="15" customHeight="1">
      <c r="A6673" t="inlineStr">
        <is>
          <t>A 15460-2022</t>
        </is>
      </c>
      <c r="B6673" s="1" t="n">
        <v>44661</v>
      </c>
      <c r="C6673" s="1" t="n">
        <v>45736</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15553-2022</t>
        </is>
      </c>
      <c r="B6674" s="1" t="n">
        <v>44662</v>
      </c>
      <c r="C6674" s="1" t="n">
        <v>45736</v>
      </c>
      <c r="D6674" t="inlineStr">
        <is>
          <t>VÄRMLANDS LÄN</t>
        </is>
      </c>
      <c r="E6674" t="inlineStr">
        <is>
          <t>FORSHAGA</t>
        </is>
      </c>
      <c r="G6674" t="n">
        <v>7.8</v>
      </c>
      <c r="H6674" t="n">
        <v>0</v>
      </c>
      <c r="I6674" t="n">
        <v>0</v>
      </c>
      <c r="J6674" t="n">
        <v>0</v>
      </c>
      <c r="K6674" t="n">
        <v>0</v>
      </c>
      <c r="L6674" t="n">
        <v>0</v>
      </c>
      <c r="M6674" t="n">
        <v>0</v>
      </c>
      <c r="N6674" t="n">
        <v>0</v>
      </c>
      <c r="O6674" t="n">
        <v>0</v>
      </c>
      <c r="P6674" t="n">
        <v>0</v>
      </c>
      <c r="Q6674" t="n">
        <v>0</v>
      </c>
      <c r="R6674" s="2" t="inlineStr"/>
    </row>
    <row r="6675" ht="15" customHeight="1">
      <c r="A6675" t="inlineStr">
        <is>
          <t>A 15563-2022</t>
        </is>
      </c>
      <c r="B6675" s="1" t="n">
        <v>44662</v>
      </c>
      <c r="C6675" s="1" t="n">
        <v>45736</v>
      </c>
      <c r="D6675" t="inlineStr">
        <is>
          <t>VÄRMLANDS LÄN</t>
        </is>
      </c>
      <c r="E6675" t="inlineStr">
        <is>
          <t>FORSHAGA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15497-2022</t>
        </is>
      </c>
      <c r="B6676" s="1" t="n">
        <v>44662</v>
      </c>
      <c r="C6676" s="1" t="n">
        <v>45736</v>
      </c>
      <c r="D6676" t="inlineStr">
        <is>
          <t>VÄRMLANDS LÄN</t>
        </is>
      </c>
      <c r="E6676" t="inlineStr">
        <is>
          <t>EDA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15551-2022</t>
        </is>
      </c>
      <c r="B6677" s="1" t="n">
        <v>44662</v>
      </c>
      <c r="C6677" s="1" t="n">
        <v>45736</v>
      </c>
      <c r="D6677" t="inlineStr">
        <is>
          <t>VÄRMLANDS LÄN</t>
        </is>
      </c>
      <c r="E6677" t="inlineStr">
        <is>
          <t>KRISTINEHAMN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15558-2022</t>
        </is>
      </c>
      <c r="B6678" s="1" t="n">
        <v>44662</v>
      </c>
      <c r="C6678" s="1" t="n">
        <v>45736</v>
      </c>
      <c r="D6678" t="inlineStr">
        <is>
          <t>VÄRMLANDS LÄN</t>
        </is>
      </c>
      <c r="E6678" t="inlineStr">
        <is>
          <t>KARLSTAD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15581-2022</t>
        </is>
      </c>
      <c r="B6679" s="1" t="n">
        <v>44662</v>
      </c>
      <c r="C6679" s="1" t="n">
        <v>45736</v>
      </c>
      <c r="D6679" t="inlineStr">
        <is>
          <t>VÄRMLANDS LÄN</t>
        </is>
      </c>
      <c r="E6679" t="inlineStr">
        <is>
          <t>KRISTINEHAMN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15543-2022</t>
        </is>
      </c>
      <c r="B6680" s="1" t="n">
        <v>44662</v>
      </c>
      <c r="C6680" s="1" t="n">
        <v>45736</v>
      </c>
      <c r="D6680" t="inlineStr">
        <is>
          <t>VÄRMLANDS LÄN</t>
        </is>
      </c>
      <c r="E6680" t="inlineStr">
        <is>
          <t>KRISTINEHAMN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15691-2022</t>
        </is>
      </c>
      <c r="B6681" s="1" t="n">
        <v>44663</v>
      </c>
      <c r="C6681" s="1" t="n">
        <v>45736</v>
      </c>
      <c r="D6681" t="inlineStr">
        <is>
          <t>VÄRMLANDS LÄN</t>
        </is>
      </c>
      <c r="E6681" t="inlineStr">
        <is>
          <t>SÄFFLE</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15720-2022</t>
        </is>
      </c>
      <c r="B6682" s="1" t="n">
        <v>44663</v>
      </c>
      <c r="C6682" s="1" t="n">
        <v>45736</v>
      </c>
      <c r="D6682" t="inlineStr">
        <is>
          <t>VÄRMLANDS LÄN</t>
        </is>
      </c>
      <c r="E6682" t="inlineStr">
        <is>
          <t>ARVIKA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15747-2022</t>
        </is>
      </c>
      <c r="B6683" s="1" t="n">
        <v>44663</v>
      </c>
      <c r="C6683" s="1" t="n">
        <v>45736</v>
      </c>
      <c r="D6683" t="inlineStr">
        <is>
          <t>VÄRMLANDS LÄN</t>
        </is>
      </c>
      <c r="E6683" t="inlineStr">
        <is>
          <t>SUNNE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15738-2022</t>
        </is>
      </c>
      <c r="B6684" s="1" t="n">
        <v>44663</v>
      </c>
      <c r="C6684" s="1" t="n">
        <v>45736</v>
      </c>
      <c r="D6684" t="inlineStr">
        <is>
          <t>VÄRMLANDS LÄN</t>
        </is>
      </c>
      <c r="E6684" t="inlineStr">
        <is>
          <t>HAGFORS</t>
        </is>
      </c>
      <c r="F6684" t="inlineStr">
        <is>
          <t>Bergvik skog väst AB</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15696-2022</t>
        </is>
      </c>
      <c r="B6685" s="1" t="n">
        <v>44663</v>
      </c>
      <c r="C6685" s="1" t="n">
        <v>45736</v>
      </c>
      <c r="D6685" t="inlineStr">
        <is>
          <t>VÄRMLANDS LÄN</t>
        </is>
      </c>
      <c r="E6685" t="inlineStr">
        <is>
          <t>ÅRJÄNG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15722-2022</t>
        </is>
      </c>
      <c r="B6686" s="1" t="n">
        <v>44663</v>
      </c>
      <c r="C6686" s="1" t="n">
        <v>45736</v>
      </c>
      <c r="D6686" t="inlineStr">
        <is>
          <t>VÄRMLANDS LÄN</t>
        </is>
      </c>
      <c r="E6686" t="inlineStr">
        <is>
          <t>ARVIKA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15826-2022</t>
        </is>
      </c>
      <c r="B6687" s="1" t="n">
        <v>44664</v>
      </c>
      <c r="C6687" s="1" t="n">
        <v>45736</v>
      </c>
      <c r="D6687" t="inlineStr">
        <is>
          <t>VÄRMLANDS LÄN</t>
        </is>
      </c>
      <c r="E6687" t="inlineStr">
        <is>
          <t>HAGFORS</t>
        </is>
      </c>
      <c r="F6687" t="inlineStr">
        <is>
          <t>Bergvik skog väst AB</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15836-2022</t>
        </is>
      </c>
      <c r="B6688" s="1" t="n">
        <v>44664</v>
      </c>
      <c r="C6688" s="1" t="n">
        <v>45736</v>
      </c>
      <c r="D6688" t="inlineStr">
        <is>
          <t>VÄRMLANDS LÄN</t>
        </is>
      </c>
      <c r="E6688" t="inlineStr">
        <is>
          <t>KARLSTAD</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15869-2022</t>
        </is>
      </c>
      <c r="B6689" s="1" t="n">
        <v>44664</v>
      </c>
      <c r="C6689" s="1" t="n">
        <v>45736</v>
      </c>
      <c r="D6689" t="inlineStr">
        <is>
          <t>VÄRMLANDS LÄN</t>
        </is>
      </c>
      <c r="E6689" t="inlineStr">
        <is>
          <t>HAGFORS</t>
        </is>
      </c>
      <c r="F6689" t="inlineStr">
        <is>
          <t>Bergvik skog väst AB</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15903-2022</t>
        </is>
      </c>
      <c r="B6690" s="1" t="n">
        <v>44664</v>
      </c>
      <c r="C6690" s="1" t="n">
        <v>45736</v>
      </c>
      <c r="D6690" t="inlineStr">
        <is>
          <t>VÄRMLANDS LÄN</t>
        </is>
      </c>
      <c r="E6690" t="inlineStr">
        <is>
          <t>ÅRJÄNG</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15932-2022</t>
        </is>
      </c>
      <c r="B6691" s="1" t="n">
        <v>44664</v>
      </c>
      <c r="C6691" s="1" t="n">
        <v>45736</v>
      </c>
      <c r="D6691" t="inlineStr">
        <is>
          <t>VÄRMLANDS LÄN</t>
        </is>
      </c>
      <c r="E6691" t="inlineStr">
        <is>
          <t>FILIPSTAD</t>
        </is>
      </c>
      <c r="F6691" t="inlineStr">
        <is>
          <t>Bergvik skog väst AB</t>
        </is>
      </c>
      <c r="G6691" t="n">
        <v>11.5</v>
      </c>
      <c r="H6691" t="n">
        <v>0</v>
      </c>
      <c r="I6691" t="n">
        <v>0</v>
      </c>
      <c r="J6691" t="n">
        <v>0</v>
      </c>
      <c r="K6691" t="n">
        <v>0</v>
      </c>
      <c r="L6691" t="n">
        <v>0</v>
      </c>
      <c r="M6691" t="n">
        <v>0</v>
      </c>
      <c r="N6691" t="n">
        <v>0</v>
      </c>
      <c r="O6691" t="n">
        <v>0</v>
      </c>
      <c r="P6691" t="n">
        <v>0</v>
      </c>
      <c r="Q6691" t="n">
        <v>0</v>
      </c>
      <c r="R6691" s="2" t="inlineStr"/>
    </row>
    <row r="6692" ht="15" customHeight="1">
      <c r="A6692" t="inlineStr">
        <is>
          <t>A 15886-2022</t>
        </is>
      </c>
      <c r="B6692" s="1" t="n">
        <v>44664</v>
      </c>
      <c r="C6692" s="1" t="n">
        <v>45736</v>
      </c>
      <c r="D6692" t="inlineStr">
        <is>
          <t>VÄRMLANDS LÄN</t>
        </is>
      </c>
      <c r="E6692" t="inlineStr">
        <is>
          <t>HAGFORS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15901-2022</t>
        </is>
      </c>
      <c r="B6693" s="1" t="n">
        <v>44664</v>
      </c>
      <c r="C6693" s="1" t="n">
        <v>45736</v>
      </c>
      <c r="D6693" t="inlineStr">
        <is>
          <t>VÄRMLANDS LÄN</t>
        </is>
      </c>
      <c r="E6693" t="inlineStr">
        <is>
          <t>FILIPSTAD</t>
        </is>
      </c>
      <c r="F6693" t="inlineStr">
        <is>
          <t>Bergvik skog väst AB</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15831-2022</t>
        </is>
      </c>
      <c r="B6694" s="1" t="n">
        <v>44664</v>
      </c>
      <c r="C6694" s="1" t="n">
        <v>45736</v>
      </c>
      <c r="D6694" t="inlineStr">
        <is>
          <t>VÄRMLANDS LÄN</t>
        </is>
      </c>
      <c r="E6694" t="inlineStr">
        <is>
          <t>KARLSTAD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15922-2022</t>
        </is>
      </c>
      <c r="B6695" s="1" t="n">
        <v>44664</v>
      </c>
      <c r="C6695" s="1" t="n">
        <v>45736</v>
      </c>
      <c r="D6695" t="inlineStr">
        <is>
          <t>VÄRMLANDS LÄN</t>
        </is>
      </c>
      <c r="E6695" t="inlineStr">
        <is>
          <t>FORSHAGA</t>
        </is>
      </c>
      <c r="F6695" t="inlineStr">
        <is>
          <t>Bergvik skog väst AB</t>
        </is>
      </c>
      <c r="G6695" t="n">
        <v>9.1</v>
      </c>
      <c r="H6695" t="n">
        <v>0</v>
      </c>
      <c r="I6695" t="n">
        <v>0</v>
      </c>
      <c r="J6695" t="n">
        <v>0</v>
      </c>
      <c r="K6695" t="n">
        <v>0</v>
      </c>
      <c r="L6695" t="n">
        <v>0</v>
      </c>
      <c r="M6695" t="n">
        <v>0</v>
      </c>
      <c r="N6695" t="n">
        <v>0</v>
      </c>
      <c r="O6695" t="n">
        <v>0</v>
      </c>
      <c r="P6695" t="n">
        <v>0</v>
      </c>
      <c r="Q6695" t="n">
        <v>0</v>
      </c>
      <c r="R6695" s="2" t="inlineStr"/>
    </row>
    <row r="6696" ht="15" customHeight="1">
      <c r="A6696" t="inlineStr">
        <is>
          <t>A 16073-2022</t>
        </is>
      </c>
      <c r="B6696" s="1" t="n">
        <v>44665</v>
      </c>
      <c r="C6696" s="1" t="n">
        <v>45736</v>
      </c>
      <c r="D6696" t="inlineStr">
        <is>
          <t>VÄRMLANDS LÄN</t>
        </is>
      </c>
      <c r="E6696" t="inlineStr">
        <is>
          <t>MUNKFORS</t>
        </is>
      </c>
      <c r="F6696" t="inlineStr">
        <is>
          <t>Bergvik skog väst AB</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16007-2022</t>
        </is>
      </c>
      <c r="B6697" s="1" t="n">
        <v>44665</v>
      </c>
      <c r="C6697" s="1" t="n">
        <v>45736</v>
      </c>
      <c r="D6697" t="inlineStr">
        <is>
          <t>VÄRMLANDS LÄN</t>
        </is>
      </c>
      <c r="E6697" t="inlineStr">
        <is>
          <t>HAGFORS</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16018-2022</t>
        </is>
      </c>
      <c r="B6698" s="1" t="n">
        <v>44665</v>
      </c>
      <c r="C6698" s="1" t="n">
        <v>45736</v>
      </c>
      <c r="D6698" t="inlineStr">
        <is>
          <t>VÄRMLANDS LÄN</t>
        </is>
      </c>
      <c r="E6698" t="inlineStr">
        <is>
          <t>FORSHAGA</t>
        </is>
      </c>
      <c r="F6698" t="inlineStr">
        <is>
          <t>Bergvik skog väst AB</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16080-2022</t>
        </is>
      </c>
      <c r="B6699" s="1" t="n">
        <v>44665</v>
      </c>
      <c r="C6699" s="1" t="n">
        <v>45736</v>
      </c>
      <c r="D6699" t="inlineStr">
        <is>
          <t>VÄRMLANDS LÄN</t>
        </is>
      </c>
      <c r="E6699" t="inlineStr">
        <is>
          <t>TORSBY</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16104-2022</t>
        </is>
      </c>
      <c r="B6700" s="1" t="n">
        <v>44665</v>
      </c>
      <c r="C6700" s="1" t="n">
        <v>45736</v>
      </c>
      <c r="D6700" t="inlineStr">
        <is>
          <t>VÄRMLANDS LÄN</t>
        </is>
      </c>
      <c r="E6700" t="inlineStr">
        <is>
          <t>ARVIKA</t>
        </is>
      </c>
      <c r="F6700" t="inlineStr">
        <is>
          <t>Bergvik skog väst AB</t>
        </is>
      </c>
      <c r="G6700" t="n">
        <v>13.2</v>
      </c>
      <c r="H6700" t="n">
        <v>0</v>
      </c>
      <c r="I6700" t="n">
        <v>0</v>
      </c>
      <c r="J6700" t="n">
        <v>0</v>
      </c>
      <c r="K6700" t="n">
        <v>0</v>
      </c>
      <c r="L6700" t="n">
        <v>0</v>
      </c>
      <c r="M6700" t="n">
        <v>0</v>
      </c>
      <c r="N6700" t="n">
        <v>0</v>
      </c>
      <c r="O6700" t="n">
        <v>0</v>
      </c>
      <c r="P6700" t="n">
        <v>0</v>
      </c>
      <c r="Q6700" t="n">
        <v>0</v>
      </c>
      <c r="R6700" s="2" t="inlineStr"/>
    </row>
    <row r="6701" ht="15" customHeight="1">
      <c r="A6701" t="inlineStr">
        <is>
          <t>A 16096-2022</t>
        </is>
      </c>
      <c r="B6701" s="1" t="n">
        <v>44665</v>
      </c>
      <c r="C6701" s="1" t="n">
        <v>45736</v>
      </c>
      <c r="D6701" t="inlineStr">
        <is>
          <t>VÄRMLANDS LÄN</t>
        </is>
      </c>
      <c r="E6701" t="inlineStr">
        <is>
          <t>SÄFFLE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16010-2022</t>
        </is>
      </c>
      <c r="B6702" s="1" t="n">
        <v>44665</v>
      </c>
      <c r="C6702" s="1" t="n">
        <v>45736</v>
      </c>
      <c r="D6702" t="inlineStr">
        <is>
          <t>VÄRMLANDS LÄN</t>
        </is>
      </c>
      <c r="E6702" t="inlineStr">
        <is>
          <t>TORSBY</t>
        </is>
      </c>
      <c r="F6702" t="inlineStr">
        <is>
          <t>Bergvik skog väst AB</t>
        </is>
      </c>
      <c r="G6702" t="n">
        <v>18.7</v>
      </c>
      <c r="H6702" t="n">
        <v>0</v>
      </c>
      <c r="I6702" t="n">
        <v>0</v>
      </c>
      <c r="J6702" t="n">
        <v>0</v>
      </c>
      <c r="K6702" t="n">
        <v>0</v>
      </c>
      <c r="L6702" t="n">
        <v>0</v>
      </c>
      <c r="M6702" t="n">
        <v>0</v>
      </c>
      <c r="N6702" t="n">
        <v>0</v>
      </c>
      <c r="O6702" t="n">
        <v>0</v>
      </c>
      <c r="P6702" t="n">
        <v>0</v>
      </c>
      <c r="Q6702" t="n">
        <v>0</v>
      </c>
      <c r="R6702" s="2" t="inlineStr"/>
    </row>
    <row r="6703" ht="15" customHeight="1">
      <c r="A6703" t="inlineStr">
        <is>
          <t>A 16065-2022</t>
        </is>
      </c>
      <c r="B6703" s="1" t="n">
        <v>44665</v>
      </c>
      <c r="C6703" s="1" t="n">
        <v>45736</v>
      </c>
      <c r="D6703" t="inlineStr">
        <is>
          <t>VÄRMLANDS LÄN</t>
        </is>
      </c>
      <c r="E6703" t="inlineStr">
        <is>
          <t>EDA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16097-2022</t>
        </is>
      </c>
      <c r="B6704" s="1" t="n">
        <v>44665</v>
      </c>
      <c r="C6704" s="1" t="n">
        <v>45736</v>
      </c>
      <c r="D6704" t="inlineStr">
        <is>
          <t>VÄRMLANDS LÄN</t>
        </is>
      </c>
      <c r="E6704" t="inlineStr">
        <is>
          <t>ARVIKA</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16154-2022</t>
        </is>
      </c>
      <c r="B6705" s="1" t="n">
        <v>44666</v>
      </c>
      <c r="C6705" s="1" t="n">
        <v>45736</v>
      </c>
      <c r="D6705" t="inlineStr">
        <is>
          <t>VÄRMLANDS LÄN</t>
        </is>
      </c>
      <c r="E6705" t="inlineStr">
        <is>
          <t>KARLSTAD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16256-2022</t>
        </is>
      </c>
      <c r="B6706" s="1" t="n">
        <v>44669</v>
      </c>
      <c r="C6706" s="1" t="n">
        <v>45736</v>
      </c>
      <c r="D6706" t="inlineStr">
        <is>
          <t>VÄRMLANDS LÄN</t>
        </is>
      </c>
      <c r="E6706" t="inlineStr">
        <is>
          <t>ARVIKA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16251-2022</t>
        </is>
      </c>
      <c r="B6707" s="1" t="n">
        <v>44669</v>
      </c>
      <c r="C6707" s="1" t="n">
        <v>45736</v>
      </c>
      <c r="D6707" t="inlineStr">
        <is>
          <t>VÄRMLANDS LÄN</t>
        </is>
      </c>
      <c r="E6707" t="inlineStr">
        <is>
          <t>ARVIKA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16240-2022</t>
        </is>
      </c>
      <c r="B6708" s="1" t="n">
        <v>44669</v>
      </c>
      <c r="C6708" s="1" t="n">
        <v>45736</v>
      </c>
      <c r="D6708" t="inlineStr">
        <is>
          <t>VÄRMLANDS LÄN</t>
        </is>
      </c>
      <c r="E6708" t="inlineStr">
        <is>
          <t>ARVIKA</t>
        </is>
      </c>
      <c r="G6708" t="n">
        <v>3.7</v>
      </c>
      <c r="H6708" t="n">
        <v>0</v>
      </c>
      <c r="I6708" t="n">
        <v>0</v>
      </c>
      <c r="J6708" t="n">
        <v>0</v>
      </c>
      <c r="K6708" t="n">
        <v>0</v>
      </c>
      <c r="L6708" t="n">
        <v>0</v>
      </c>
      <c r="M6708" t="n">
        <v>0</v>
      </c>
      <c r="N6708" t="n">
        <v>0</v>
      </c>
      <c r="O6708" t="n">
        <v>0</v>
      </c>
      <c r="P6708" t="n">
        <v>0</v>
      </c>
      <c r="Q6708" t="n">
        <v>0</v>
      </c>
      <c r="R6708" s="2" t="inlineStr"/>
      <c r="U6708">
        <f>HYPERLINK("https://klasma.github.io/Logging_1784/knärot/A 16240-2022 karta knärot.png", "A 16240-2022")</f>
        <v/>
      </c>
      <c r="V6708">
        <f>HYPERLINK("https://klasma.github.io/Logging_1784/klagomål/A 16240-2022 FSC-klagomål.docx", "A 16240-2022")</f>
        <v/>
      </c>
      <c r="W6708">
        <f>HYPERLINK("https://klasma.github.io/Logging_1784/klagomålsmail/A 16240-2022 FSC-klagomål mail.docx", "A 16240-2022")</f>
        <v/>
      </c>
      <c r="X6708">
        <f>HYPERLINK("https://klasma.github.io/Logging_1784/tillsyn/A 16240-2022 tillsynsbegäran.docx", "A 16240-2022")</f>
        <v/>
      </c>
      <c r="Y6708">
        <f>HYPERLINK("https://klasma.github.io/Logging_1784/tillsynsmail/A 16240-2022 tillsynsbegäran mail.docx", "A 16240-2022")</f>
        <v/>
      </c>
    </row>
    <row r="6709" ht="15" customHeight="1">
      <c r="A6709" t="inlineStr">
        <is>
          <t>A 16217-2022</t>
        </is>
      </c>
      <c r="B6709" s="1" t="n">
        <v>44669</v>
      </c>
      <c r="C6709" s="1" t="n">
        <v>45736</v>
      </c>
      <c r="D6709" t="inlineStr">
        <is>
          <t>VÄRMLANDS LÄN</t>
        </is>
      </c>
      <c r="E6709" t="inlineStr">
        <is>
          <t>KARLSTAD</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16259-2022</t>
        </is>
      </c>
      <c r="B6710" s="1" t="n">
        <v>44669</v>
      </c>
      <c r="C6710" s="1" t="n">
        <v>45736</v>
      </c>
      <c r="D6710" t="inlineStr">
        <is>
          <t>VÄRMLANDS LÄN</t>
        </is>
      </c>
      <c r="E6710" t="inlineStr">
        <is>
          <t>ARVIKA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16303-2022</t>
        </is>
      </c>
      <c r="B6711" s="1" t="n">
        <v>44670</v>
      </c>
      <c r="C6711" s="1" t="n">
        <v>45736</v>
      </c>
      <c r="D6711" t="inlineStr">
        <is>
          <t>VÄRMLANDS LÄN</t>
        </is>
      </c>
      <c r="E6711" t="inlineStr">
        <is>
          <t>FILIPSTAD</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16334-2022</t>
        </is>
      </c>
      <c r="B6712" s="1" t="n">
        <v>44670</v>
      </c>
      <c r="C6712" s="1" t="n">
        <v>45736</v>
      </c>
      <c r="D6712" t="inlineStr">
        <is>
          <t>VÄRMLANDS LÄN</t>
        </is>
      </c>
      <c r="E6712" t="inlineStr">
        <is>
          <t>EDA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16467-2022</t>
        </is>
      </c>
      <c r="B6713" s="1" t="n">
        <v>44671</v>
      </c>
      <c r="C6713" s="1" t="n">
        <v>45736</v>
      </c>
      <c r="D6713" t="inlineStr">
        <is>
          <t>VÄRMLANDS LÄN</t>
        </is>
      </c>
      <c r="E6713" t="inlineStr">
        <is>
          <t>ARVIKA</t>
        </is>
      </c>
      <c r="F6713" t="inlineStr">
        <is>
          <t>Bergvik skog väst AB</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16383-2022</t>
        </is>
      </c>
      <c r="B6714" s="1" t="n">
        <v>44671</v>
      </c>
      <c r="C6714" s="1" t="n">
        <v>45736</v>
      </c>
      <c r="D6714" t="inlineStr">
        <is>
          <t>VÄRMLANDS LÄN</t>
        </is>
      </c>
      <c r="E6714" t="inlineStr">
        <is>
          <t>ÅRJÄNG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16399-2022</t>
        </is>
      </c>
      <c r="B6715" s="1" t="n">
        <v>44671</v>
      </c>
      <c r="C6715" s="1" t="n">
        <v>45736</v>
      </c>
      <c r="D6715" t="inlineStr">
        <is>
          <t>VÄRMLANDS LÄN</t>
        </is>
      </c>
      <c r="E6715" t="inlineStr">
        <is>
          <t>ÅRJÄNG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16457-2022</t>
        </is>
      </c>
      <c r="B6716" s="1" t="n">
        <v>44671</v>
      </c>
      <c r="C6716" s="1" t="n">
        <v>45736</v>
      </c>
      <c r="D6716" t="inlineStr">
        <is>
          <t>VÄRMLANDS LÄN</t>
        </is>
      </c>
      <c r="E6716" t="inlineStr">
        <is>
          <t>KARLSTAD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16505-2022</t>
        </is>
      </c>
      <c r="B6717" s="1" t="n">
        <v>44671</v>
      </c>
      <c r="C6717" s="1" t="n">
        <v>45736</v>
      </c>
      <c r="D6717" t="inlineStr">
        <is>
          <t>VÄRMLANDS LÄN</t>
        </is>
      </c>
      <c r="E6717" t="inlineStr">
        <is>
          <t>EDA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16400-2022</t>
        </is>
      </c>
      <c r="B6718" s="1" t="n">
        <v>44671</v>
      </c>
      <c r="C6718" s="1" t="n">
        <v>45736</v>
      </c>
      <c r="D6718" t="inlineStr">
        <is>
          <t>VÄRMLANDS LÄN</t>
        </is>
      </c>
      <c r="E6718" t="inlineStr">
        <is>
          <t>ÅRJÄNG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16466-2022</t>
        </is>
      </c>
      <c r="B6719" s="1" t="n">
        <v>44671</v>
      </c>
      <c r="C6719" s="1" t="n">
        <v>45736</v>
      </c>
      <c r="D6719" t="inlineStr">
        <is>
          <t>VÄRMLANDS LÄN</t>
        </is>
      </c>
      <c r="E6719" t="inlineStr">
        <is>
          <t>ARVIKA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16491-2022</t>
        </is>
      </c>
      <c r="B6720" s="1" t="n">
        <v>44671</v>
      </c>
      <c r="C6720" s="1" t="n">
        <v>45736</v>
      </c>
      <c r="D6720" t="inlineStr">
        <is>
          <t>VÄRMLANDS LÄN</t>
        </is>
      </c>
      <c r="E6720" t="inlineStr">
        <is>
          <t>KARLSTAD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16425-2022</t>
        </is>
      </c>
      <c r="B6721" s="1" t="n">
        <v>44671</v>
      </c>
      <c r="C6721" s="1" t="n">
        <v>45736</v>
      </c>
      <c r="D6721" t="inlineStr">
        <is>
          <t>VÄRMLANDS LÄN</t>
        </is>
      </c>
      <c r="E6721" t="inlineStr">
        <is>
          <t>TORSBY</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16484-2022</t>
        </is>
      </c>
      <c r="B6722" s="1" t="n">
        <v>44671</v>
      </c>
      <c r="C6722" s="1" t="n">
        <v>45736</v>
      </c>
      <c r="D6722" t="inlineStr">
        <is>
          <t>VÄRMLANDS LÄN</t>
        </is>
      </c>
      <c r="E6722" t="inlineStr">
        <is>
          <t>SÄFFLE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16498-2022</t>
        </is>
      </c>
      <c r="B6723" s="1" t="n">
        <v>44671</v>
      </c>
      <c r="C6723" s="1" t="n">
        <v>45736</v>
      </c>
      <c r="D6723" t="inlineStr">
        <is>
          <t>VÄRMLANDS LÄN</t>
        </is>
      </c>
      <c r="E6723" t="inlineStr">
        <is>
          <t>TORSBY</t>
        </is>
      </c>
      <c r="F6723" t="inlineStr">
        <is>
          <t>Kommuner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16494-2022</t>
        </is>
      </c>
      <c r="B6724" s="1" t="n">
        <v>44671</v>
      </c>
      <c r="C6724" s="1" t="n">
        <v>45736</v>
      </c>
      <c r="D6724" t="inlineStr">
        <is>
          <t>VÄRMLANDS LÄN</t>
        </is>
      </c>
      <c r="E6724" t="inlineStr">
        <is>
          <t>SÄFFLE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16553-2022</t>
        </is>
      </c>
      <c r="B6725" s="1" t="n">
        <v>44672</v>
      </c>
      <c r="C6725" s="1" t="n">
        <v>45736</v>
      </c>
      <c r="D6725" t="inlineStr">
        <is>
          <t>VÄRMLANDS LÄN</t>
        </is>
      </c>
      <c r="E6725" t="inlineStr">
        <is>
          <t>SUNNE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16560-2022</t>
        </is>
      </c>
      <c r="B6726" s="1" t="n">
        <v>44672</v>
      </c>
      <c r="C6726" s="1" t="n">
        <v>45736</v>
      </c>
      <c r="D6726" t="inlineStr">
        <is>
          <t>VÄRMLANDS LÄN</t>
        </is>
      </c>
      <c r="E6726" t="inlineStr">
        <is>
          <t>KARLSTAD</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16589-2022</t>
        </is>
      </c>
      <c r="B6727" s="1" t="n">
        <v>44672</v>
      </c>
      <c r="C6727" s="1" t="n">
        <v>45736</v>
      </c>
      <c r="D6727" t="inlineStr">
        <is>
          <t>VÄRMLANDS LÄN</t>
        </is>
      </c>
      <c r="E6727" t="inlineStr">
        <is>
          <t>SUNNE</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16628-2022</t>
        </is>
      </c>
      <c r="B6728" s="1" t="n">
        <v>44672</v>
      </c>
      <c r="C6728" s="1" t="n">
        <v>45736</v>
      </c>
      <c r="D6728" t="inlineStr">
        <is>
          <t>VÄRMLANDS LÄN</t>
        </is>
      </c>
      <c r="E6728" t="inlineStr">
        <is>
          <t>KARLSTAD</t>
        </is>
      </c>
      <c r="F6728" t="inlineStr">
        <is>
          <t>Naturvårdsverket</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16563-2022</t>
        </is>
      </c>
      <c r="B6729" s="1" t="n">
        <v>44672</v>
      </c>
      <c r="C6729" s="1" t="n">
        <v>45736</v>
      </c>
      <c r="D6729" t="inlineStr">
        <is>
          <t>VÄRMLANDS LÄN</t>
        </is>
      </c>
      <c r="E6729" t="inlineStr">
        <is>
          <t>KARLSTAD</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16642-2022</t>
        </is>
      </c>
      <c r="B6730" s="1" t="n">
        <v>44672</v>
      </c>
      <c r="C6730" s="1" t="n">
        <v>45736</v>
      </c>
      <c r="D6730" t="inlineStr">
        <is>
          <t>VÄRMLANDS LÄN</t>
        </is>
      </c>
      <c r="E6730" t="inlineStr">
        <is>
          <t>ÅRJÄNG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16591-2022</t>
        </is>
      </c>
      <c r="B6731" s="1" t="n">
        <v>44672</v>
      </c>
      <c r="C6731" s="1" t="n">
        <v>45736</v>
      </c>
      <c r="D6731" t="inlineStr">
        <is>
          <t>VÄRMLANDS LÄN</t>
        </is>
      </c>
      <c r="E6731" t="inlineStr">
        <is>
          <t>FILIPSTAD</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16613-2022</t>
        </is>
      </c>
      <c r="B6732" s="1" t="n">
        <v>44672</v>
      </c>
      <c r="C6732" s="1" t="n">
        <v>45736</v>
      </c>
      <c r="D6732" t="inlineStr">
        <is>
          <t>VÄRMLANDS LÄN</t>
        </is>
      </c>
      <c r="E6732" t="inlineStr">
        <is>
          <t>ÅRJÄNG</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16874-2022</t>
        </is>
      </c>
      <c r="B6733" s="1" t="n">
        <v>44675</v>
      </c>
      <c r="C6733" s="1" t="n">
        <v>45736</v>
      </c>
      <c r="D6733" t="inlineStr">
        <is>
          <t>VÄRMLANDS LÄN</t>
        </is>
      </c>
      <c r="E6733" t="inlineStr">
        <is>
          <t>KIL</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17006-2022</t>
        </is>
      </c>
      <c r="B6734" s="1" t="n">
        <v>44676</v>
      </c>
      <c r="C6734" s="1" t="n">
        <v>45736</v>
      </c>
      <c r="D6734" t="inlineStr">
        <is>
          <t>VÄRMLANDS LÄN</t>
        </is>
      </c>
      <c r="E6734" t="inlineStr">
        <is>
          <t>SÄFFLE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17033-2022</t>
        </is>
      </c>
      <c r="B6735" s="1" t="n">
        <v>44676</v>
      </c>
      <c r="C6735" s="1" t="n">
        <v>45736</v>
      </c>
      <c r="D6735" t="inlineStr">
        <is>
          <t>VÄRMLANDS LÄN</t>
        </is>
      </c>
      <c r="E6735" t="inlineStr">
        <is>
          <t>SUNNE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17031-2022</t>
        </is>
      </c>
      <c r="B6736" s="1" t="n">
        <v>44676</v>
      </c>
      <c r="C6736" s="1" t="n">
        <v>45736</v>
      </c>
      <c r="D6736" t="inlineStr">
        <is>
          <t>VÄRMLANDS LÄN</t>
        </is>
      </c>
      <c r="E6736" t="inlineStr">
        <is>
          <t>SUNNE</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17081-2022</t>
        </is>
      </c>
      <c r="B6737" s="1" t="n">
        <v>44677</v>
      </c>
      <c r="C6737" s="1" t="n">
        <v>45736</v>
      </c>
      <c r="D6737" t="inlineStr">
        <is>
          <t>VÄRMLANDS LÄN</t>
        </is>
      </c>
      <c r="E6737" t="inlineStr">
        <is>
          <t>EDA</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17177-2022</t>
        </is>
      </c>
      <c r="B6738" s="1" t="n">
        <v>44677</v>
      </c>
      <c r="C6738" s="1" t="n">
        <v>45736</v>
      </c>
      <c r="D6738" t="inlineStr">
        <is>
          <t>VÄRMLANDS LÄN</t>
        </is>
      </c>
      <c r="E6738" t="inlineStr">
        <is>
          <t>KRISTINEHAMN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17110-2022</t>
        </is>
      </c>
      <c r="B6739" s="1" t="n">
        <v>44677</v>
      </c>
      <c r="C6739" s="1" t="n">
        <v>45736</v>
      </c>
      <c r="D6739" t="inlineStr">
        <is>
          <t>VÄRMLANDS LÄN</t>
        </is>
      </c>
      <c r="E6739" t="inlineStr">
        <is>
          <t>KRISTINEHAMN</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17079-2022</t>
        </is>
      </c>
      <c r="B6740" s="1" t="n">
        <v>44677</v>
      </c>
      <c r="C6740" s="1" t="n">
        <v>45736</v>
      </c>
      <c r="D6740" t="inlineStr">
        <is>
          <t>VÄRMLANDS LÄN</t>
        </is>
      </c>
      <c r="E6740" t="inlineStr">
        <is>
          <t>ARVIKA</t>
        </is>
      </c>
      <c r="F6740" t="inlineStr">
        <is>
          <t>Bergvik skog väst AB</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17141-2022</t>
        </is>
      </c>
      <c r="B6741" s="1" t="n">
        <v>44677</v>
      </c>
      <c r="C6741" s="1" t="n">
        <v>45736</v>
      </c>
      <c r="D6741" t="inlineStr">
        <is>
          <t>VÄRMLANDS LÄN</t>
        </is>
      </c>
      <c r="E6741" t="inlineStr">
        <is>
          <t>ARVIKA</t>
        </is>
      </c>
      <c r="F6741" t="inlineStr">
        <is>
          <t>Bergvik skog väst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17135-2022</t>
        </is>
      </c>
      <c r="B6742" s="1" t="n">
        <v>44677</v>
      </c>
      <c r="C6742" s="1" t="n">
        <v>45736</v>
      </c>
      <c r="D6742" t="inlineStr">
        <is>
          <t>VÄRMLANDS LÄN</t>
        </is>
      </c>
      <c r="E6742" t="inlineStr">
        <is>
          <t>ÅRJÄNG</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17361-2022</t>
        </is>
      </c>
      <c r="B6743" s="1" t="n">
        <v>44678</v>
      </c>
      <c r="C6743" s="1" t="n">
        <v>45736</v>
      </c>
      <c r="D6743" t="inlineStr">
        <is>
          <t>VÄRMLANDS LÄN</t>
        </is>
      </c>
      <c r="E6743" t="inlineStr">
        <is>
          <t>ÅRJÄNG</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17230-2022</t>
        </is>
      </c>
      <c r="B6744" s="1" t="n">
        <v>44678</v>
      </c>
      <c r="C6744" s="1" t="n">
        <v>45736</v>
      </c>
      <c r="D6744" t="inlineStr">
        <is>
          <t>VÄRMLANDS LÄN</t>
        </is>
      </c>
      <c r="E6744" t="inlineStr">
        <is>
          <t>EDA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17318-2022</t>
        </is>
      </c>
      <c r="B6745" s="1" t="n">
        <v>44678</v>
      </c>
      <c r="C6745" s="1" t="n">
        <v>45736</v>
      </c>
      <c r="D6745" t="inlineStr">
        <is>
          <t>VÄRMLANDS LÄN</t>
        </is>
      </c>
      <c r="E6745" t="inlineStr">
        <is>
          <t>KARLSTAD</t>
        </is>
      </c>
      <c r="F6745" t="inlineStr">
        <is>
          <t>Naturvårdsverket</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17352-2022</t>
        </is>
      </c>
      <c r="B6746" s="1" t="n">
        <v>44678</v>
      </c>
      <c r="C6746" s="1" t="n">
        <v>45736</v>
      </c>
      <c r="D6746" t="inlineStr">
        <is>
          <t>VÄRMLANDS LÄN</t>
        </is>
      </c>
      <c r="E6746" t="inlineStr">
        <is>
          <t>ÅRJÄNG</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17358-2022</t>
        </is>
      </c>
      <c r="B6747" s="1" t="n">
        <v>44678</v>
      </c>
      <c r="C6747" s="1" t="n">
        <v>45736</v>
      </c>
      <c r="D6747" t="inlineStr">
        <is>
          <t>VÄRMLANDS LÄN</t>
        </is>
      </c>
      <c r="E6747" t="inlineStr">
        <is>
          <t>HAGFORS</t>
        </is>
      </c>
      <c r="F6747" t="inlineStr">
        <is>
          <t>Bergvik skog väst AB</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17402-2022</t>
        </is>
      </c>
      <c r="B6748" s="1" t="n">
        <v>44678</v>
      </c>
      <c r="C6748" s="1" t="n">
        <v>45736</v>
      </c>
      <c r="D6748" t="inlineStr">
        <is>
          <t>VÄRMLANDS LÄN</t>
        </is>
      </c>
      <c r="E6748" t="inlineStr">
        <is>
          <t>HAGFORS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17396-2022</t>
        </is>
      </c>
      <c r="B6749" s="1" t="n">
        <v>44678</v>
      </c>
      <c r="C6749" s="1" t="n">
        <v>45736</v>
      </c>
      <c r="D6749" t="inlineStr">
        <is>
          <t>VÄRMLANDS LÄN</t>
        </is>
      </c>
      <c r="E6749" t="inlineStr">
        <is>
          <t>SÄFFLE</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17408-2022</t>
        </is>
      </c>
      <c r="B6750" s="1" t="n">
        <v>44678</v>
      </c>
      <c r="C6750" s="1" t="n">
        <v>45736</v>
      </c>
      <c r="D6750" t="inlineStr">
        <is>
          <t>VÄRMLANDS LÄN</t>
        </is>
      </c>
      <c r="E6750" t="inlineStr">
        <is>
          <t>KIL</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17505-2022</t>
        </is>
      </c>
      <c r="B6751" s="1" t="n">
        <v>44679</v>
      </c>
      <c r="C6751" s="1" t="n">
        <v>45736</v>
      </c>
      <c r="D6751" t="inlineStr">
        <is>
          <t>VÄRMLANDS LÄN</t>
        </is>
      </c>
      <c r="E6751" t="inlineStr">
        <is>
          <t>SÄFFLE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17496-2022</t>
        </is>
      </c>
      <c r="B6752" s="1" t="n">
        <v>44679</v>
      </c>
      <c r="C6752" s="1" t="n">
        <v>45736</v>
      </c>
      <c r="D6752" t="inlineStr">
        <is>
          <t>VÄRMLANDS LÄN</t>
        </is>
      </c>
      <c r="E6752" t="inlineStr">
        <is>
          <t>SÄFFLE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17512-2022</t>
        </is>
      </c>
      <c r="B6753" s="1" t="n">
        <v>44679</v>
      </c>
      <c r="C6753" s="1" t="n">
        <v>45736</v>
      </c>
      <c r="D6753" t="inlineStr">
        <is>
          <t>VÄRMLANDS LÄN</t>
        </is>
      </c>
      <c r="E6753" t="inlineStr">
        <is>
          <t>SUNNE</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17516-2022</t>
        </is>
      </c>
      <c r="B6754" s="1" t="n">
        <v>44679</v>
      </c>
      <c r="C6754" s="1" t="n">
        <v>45736</v>
      </c>
      <c r="D6754" t="inlineStr">
        <is>
          <t>VÄRMLANDS LÄN</t>
        </is>
      </c>
      <c r="E6754" t="inlineStr">
        <is>
          <t>KARLSTAD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17514-2022</t>
        </is>
      </c>
      <c r="B6755" s="1" t="n">
        <v>44679</v>
      </c>
      <c r="C6755" s="1" t="n">
        <v>45736</v>
      </c>
      <c r="D6755" t="inlineStr">
        <is>
          <t>VÄRMLANDS LÄN</t>
        </is>
      </c>
      <c r="E6755" t="inlineStr">
        <is>
          <t>SUNNE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17456-2022</t>
        </is>
      </c>
      <c r="B6756" s="1" t="n">
        <v>44679</v>
      </c>
      <c r="C6756" s="1" t="n">
        <v>45736</v>
      </c>
      <c r="D6756" t="inlineStr">
        <is>
          <t>VÄRMLANDS LÄN</t>
        </is>
      </c>
      <c r="E6756" t="inlineStr">
        <is>
          <t>ARVIKA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17617-2022</t>
        </is>
      </c>
      <c r="B6757" s="1" t="n">
        <v>44680</v>
      </c>
      <c r="C6757" s="1" t="n">
        <v>45736</v>
      </c>
      <c r="D6757" t="inlineStr">
        <is>
          <t>VÄRMLANDS LÄN</t>
        </is>
      </c>
      <c r="E6757" t="inlineStr">
        <is>
          <t>FORSHAGA</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17623-2022</t>
        </is>
      </c>
      <c r="B6758" s="1" t="n">
        <v>44680</v>
      </c>
      <c r="C6758" s="1" t="n">
        <v>45736</v>
      </c>
      <c r="D6758" t="inlineStr">
        <is>
          <t>VÄRMLANDS LÄN</t>
        </is>
      </c>
      <c r="E6758" t="inlineStr">
        <is>
          <t>ARVIKA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17652-2022</t>
        </is>
      </c>
      <c r="B6759" s="1" t="n">
        <v>44680</v>
      </c>
      <c r="C6759" s="1" t="n">
        <v>45736</v>
      </c>
      <c r="D6759" t="inlineStr">
        <is>
          <t>VÄRMLANDS LÄN</t>
        </is>
      </c>
      <c r="E6759" t="inlineStr">
        <is>
          <t>KRISTINEHAMN</t>
        </is>
      </c>
      <c r="F6759" t="inlineStr">
        <is>
          <t>Naturvårdsverket</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17635-2022</t>
        </is>
      </c>
      <c r="B6760" s="1" t="n">
        <v>44680</v>
      </c>
      <c r="C6760" s="1" t="n">
        <v>45736</v>
      </c>
      <c r="D6760" t="inlineStr">
        <is>
          <t>VÄRMLANDS LÄN</t>
        </is>
      </c>
      <c r="E6760" t="inlineStr">
        <is>
          <t>KIL</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17663-2022</t>
        </is>
      </c>
      <c r="B6761" s="1" t="n">
        <v>44680</v>
      </c>
      <c r="C6761" s="1" t="n">
        <v>45736</v>
      </c>
      <c r="D6761" t="inlineStr">
        <is>
          <t>VÄRMLANDS LÄN</t>
        </is>
      </c>
      <c r="E6761" t="inlineStr">
        <is>
          <t>ARVIKA</t>
        </is>
      </c>
      <c r="F6761" t="inlineStr">
        <is>
          <t>Bergvik skog väst AB</t>
        </is>
      </c>
      <c r="G6761" t="n">
        <v>13.2</v>
      </c>
      <c r="H6761" t="n">
        <v>0</v>
      </c>
      <c r="I6761" t="n">
        <v>0</v>
      </c>
      <c r="J6761" t="n">
        <v>0</v>
      </c>
      <c r="K6761" t="n">
        <v>0</v>
      </c>
      <c r="L6761" t="n">
        <v>0</v>
      </c>
      <c r="M6761" t="n">
        <v>0</v>
      </c>
      <c r="N6761" t="n">
        <v>0</v>
      </c>
      <c r="O6761" t="n">
        <v>0</v>
      </c>
      <c r="P6761" t="n">
        <v>0</v>
      </c>
      <c r="Q6761" t="n">
        <v>0</v>
      </c>
      <c r="R6761" s="2" t="inlineStr"/>
    </row>
    <row r="6762" ht="15" customHeight="1">
      <c r="A6762" t="inlineStr">
        <is>
          <t>A 17722-2022</t>
        </is>
      </c>
      <c r="B6762" s="1" t="n">
        <v>44680</v>
      </c>
      <c r="C6762" s="1" t="n">
        <v>45736</v>
      </c>
      <c r="D6762" t="inlineStr">
        <is>
          <t>VÄRMLANDS LÄN</t>
        </is>
      </c>
      <c r="E6762" t="inlineStr">
        <is>
          <t>ÅRJÄNG</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17765-2022</t>
        </is>
      </c>
      <c r="B6763" s="1" t="n">
        <v>44681</v>
      </c>
      <c r="C6763" s="1" t="n">
        <v>45736</v>
      </c>
      <c r="D6763" t="inlineStr">
        <is>
          <t>VÄRMLANDS LÄN</t>
        </is>
      </c>
      <c r="E6763" t="inlineStr">
        <is>
          <t>TORSBY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17799-2022</t>
        </is>
      </c>
      <c r="B6764" s="1" t="n">
        <v>44683</v>
      </c>
      <c r="C6764" s="1" t="n">
        <v>45736</v>
      </c>
      <c r="D6764" t="inlineStr">
        <is>
          <t>VÄRMLANDS LÄN</t>
        </is>
      </c>
      <c r="E6764" t="inlineStr">
        <is>
          <t>EDA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17833-2022</t>
        </is>
      </c>
      <c r="B6765" s="1" t="n">
        <v>44683</v>
      </c>
      <c r="C6765" s="1" t="n">
        <v>45736</v>
      </c>
      <c r="D6765" t="inlineStr">
        <is>
          <t>VÄRMLANDS LÄN</t>
        </is>
      </c>
      <c r="E6765" t="inlineStr">
        <is>
          <t>HAGFORS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17860-2022</t>
        </is>
      </c>
      <c r="B6766" s="1" t="n">
        <v>44683</v>
      </c>
      <c r="C6766" s="1" t="n">
        <v>45736</v>
      </c>
      <c r="D6766" t="inlineStr">
        <is>
          <t>VÄRMLANDS LÄN</t>
        </is>
      </c>
      <c r="E6766" t="inlineStr">
        <is>
          <t>KRISTINEHAMN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17867-2022</t>
        </is>
      </c>
      <c r="B6767" s="1" t="n">
        <v>44683</v>
      </c>
      <c r="C6767" s="1" t="n">
        <v>45736</v>
      </c>
      <c r="D6767" t="inlineStr">
        <is>
          <t>VÄRMLANDS LÄN</t>
        </is>
      </c>
      <c r="E6767" t="inlineStr">
        <is>
          <t>KRISTINEHAMN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17923-2022</t>
        </is>
      </c>
      <c r="B6768" s="1" t="n">
        <v>44683</v>
      </c>
      <c r="C6768" s="1" t="n">
        <v>45736</v>
      </c>
      <c r="D6768" t="inlineStr">
        <is>
          <t>VÄRMLANDS LÄN</t>
        </is>
      </c>
      <c r="E6768" t="inlineStr">
        <is>
          <t>HAGFORS</t>
        </is>
      </c>
      <c r="F6768" t="inlineStr">
        <is>
          <t>Bergvik skog väst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17801-2022</t>
        </is>
      </c>
      <c r="B6769" s="1" t="n">
        <v>44683</v>
      </c>
      <c r="C6769" s="1" t="n">
        <v>45736</v>
      </c>
      <c r="D6769" t="inlineStr">
        <is>
          <t>VÄRMLANDS LÄN</t>
        </is>
      </c>
      <c r="E6769" t="inlineStr">
        <is>
          <t>ARVIKA</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17916-2022</t>
        </is>
      </c>
      <c r="B6770" s="1" t="n">
        <v>44683</v>
      </c>
      <c r="C6770" s="1" t="n">
        <v>45736</v>
      </c>
      <c r="D6770" t="inlineStr">
        <is>
          <t>VÄRMLANDS LÄN</t>
        </is>
      </c>
      <c r="E6770" t="inlineStr">
        <is>
          <t>KARLSTAD</t>
        </is>
      </c>
      <c r="F6770" t="inlineStr">
        <is>
          <t>Kyrkan</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17802-2022</t>
        </is>
      </c>
      <c r="B6771" s="1" t="n">
        <v>44683</v>
      </c>
      <c r="C6771" s="1" t="n">
        <v>45736</v>
      </c>
      <c r="D6771" t="inlineStr">
        <is>
          <t>VÄRMLANDS LÄN</t>
        </is>
      </c>
      <c r="E6771" t="inlineStr">
        <is>
          <t>EDA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17904-2022</t>
        </is>
      </c>
      <c r="B6772" s="1" t="n">
        <v>44683</v>
      </c>
      <c r="C6772" s="1" t="n">
        <v>45736</v>
      </c>
      <c r="D6772" t="inlineStr">
        <is>
          <t>VÄRMLANDS LÄN</t>
        </is>
      </c>
      <c r="E6772" t="inlineStr">
        <is>
          <t>SÄFFLE</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17944-2022</t>
        </is>
      </c>
      <c r="B6773" s="1" t="n">
        <v>44683</v>
      </c>
      <c r="C6773" s="1" t="n">
        <v>45736</v>
      </c>
      <c r="D6773" t="inlineStr">
        <is>
          <t>VÄRMLANDS LÄN</t>
        </is>
      </c>
      <c r="E6773" t="inlineStr">
        <is>
          <t>KRISTINEHAMN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17914-2022</t>
        </is>
      </c>
      <c r="B6774" s="1" t="n">
        <v>44683</v>
      </c>
      <c r="C6774" s="1" t="n">
        <v>45736</v>
      </c>
      <c r="D6774" t="inlineStr">
        <is>
          <t>VÄRMLANDS LÄN</t>
        </is>
      </c>
      <c r="E6774" t="inlineStr">
        <is>
          <t>HAGFORS</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18177-2022</t>
        </is>
      </c>
      <c r="B6775" s="1" t="n">
        <v>44684</v>
      </c>
      <c r="C6775" s="1" t="n">
        <v>45736</v>
      </c>
      <c r="D6775" t="inlineStr">
        <is>
          <t>VÄRMLANDS LÄN</t>
        </is>
      </c>
      <c r="E6775" t="inlineStr">
        <is>
          <t>FORSHAGA</t>
        </is>
      </c>
      <c r="F6775" t="inlineStr">
        <is>
          <t>Bergvik skog väst AB</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18101-2022</t>
        </is>
      </c>
      <c r="B6776" s="1" t="n">
        <v>44684</v>
      </c>
      <c r="C6776" s="1" t="n">
        <v>45736</v>
      </c>
      <c r="D6776" t="inlineStr">
        <is>
          <t>VÄRMLANDS LÄN</t>
        </is>
      </c>
      <c r="E6776" t="inlineStr">
        <is>
          <t>TORSBY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18115-2022</t>
        </is>
      </c>
      <c r="B6777" s="1" t="n">
        <v>44684</v>
      </c>
      <c r="C6777" s="1" t="n">
        <v>45736</v>
      </c>
      <c r="D6777" t="inlineStr">
        <is>
          <t>VÄRMLANDS LÄN</t>
        </is>
      </c>
      <c r="E6777" t="inlineStr">
        <is>
          <t>SUNNE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18095-2022</t>
        </is>
      </c>
      <c r="B6778" s="1" t="n">
        <v>44684</v>
      </c>
      <c r="C6778" s="1" t="n">
        <v>45736</v>
      </c>
      <c r="D6778" t="inlineStr">
        <is>
          <t>VÄRMLANDS LÄN</t>
        </is>
      </c>
      <c r="E6778" t="inlineStr">
        <is>
          <t>ÅRJÄNG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18105-2022</t>
        </is>
      </c>
      <c r="B6779" s="1" t="n">
        <v>44684</v>
      </c>
      <c r="C6779" s="1" t="n">
        <v>45736</v>
      </c>
      <c r="D6779" t="inlineStr">
        <is>
          <t>VÄRMLANDS LÄN</t>
        </is>
      </c>
      <c r="E6779" t="inlineStr">
        <is>
          <t>TORSBY</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18138-2022</t>
        </is>
      </c>
      <c r="B6780" s="1" t="n">
        <v>44684</v>
      </c>
      <c r="C6780" s="1" t="n">
        <v>45736</v>
      </c>
      <c r="D6780" t="inlineStr">
        <is>
          <t>VÄRMLANDS LÄN</t>
        </is>
      </c>
      <c r="E6780" t="inlineStr">
        <is>
          <t>FILIPSTAD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18099-2022</t>
        </is>
      </c>
      <c r="B6781" s="1" t="n">
        <v>44684</v>
      </c>
      <c r="C6781" s="1" t="n">
        <v>45736</v>
      </c>
      <c r="D6781" t="inlineStr">
        <is>
          <t>VÄRMLANDS LÄN</t>
        </is>
      </c>
      <c r="E6781" t="inlineStr">
        <is>
          <t>TORSBY</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18303-2022</t>
        </is>
      </c>
      <c r="B6782" s="1" t="n">
        <v>44685</v>
      </c>
      <c r="C6782" s="1" t="n">
        <v>45736</v>
      </c>
      <c r="D6782" t="inlineStr">
        <is>
          <t>VÄRMLANDS LÄN</t>
        </is>
      </c>
      <c r="E6782" t="inlineStr">
        <is>
          <t>MUNKFORS</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18311-2022</t>
        </is>
      </c>
      <c r="B6783" s="1" t="n">
        <v>44685</v>
      </c>
      <c r="C6783" s="1" t="n">
        <v>45736</v>
      </c>
      <c r="D6783" t="inlineStr">
        <is>
          <t>VÄRMLANDS LÄN</t>
        </is>
      </c>
      <c r="E6783" t="inlineStr">
        <is>
          <t>SUNNE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18332-2022</t>
        </is>
      </c>
      <c r="B6784" s="1" t="n">
        <v>44685</v>
      </c>
      <c r="C6784" s="1" t="n">
        <v>45736</v>
      </c>
      <c r="D6784" t="inlineStr">
        <is>
          <t>VÄRMLANDS LÄN</t>
        </is>
      </c>
      <c r="E6784" t="inlineStr">
        <is>
          <t>KARLSTAD</t>
        </is>
      </c>
      <c r="F6784" t="inlineStr">
        <is>
          <t>Naturvårdsverket</t>
        </is>
      </c>
      <c r="G6784" t="n">
        <v>22.1</v>
      </c>
      <c r="H6784" t="n">
        <v>0</v>
      </c>
      <c r="I6784" t="n">
        <v>0</v>
      </c>
      <c r="J6784" t="n">
        <v>0</v>
      </c>
      <c r="K6784" t="n">
        <v>0</v>
      </c>
      <c r="L6784" t="n">
        <v>0</v>
      </c>
      <c r="M6784" t="n">
        <v>0</v>
      </c>
      <c r="N6784" t="n">
        <v>0</v>
      </c>
      <c r="O6784" t="n">
        <v>0</v>
      </c>
      <c r="P6784" t="n">
        <v>0</v>
      </c>
      <c r="Q6784" t="n">
        <v>0</v>
      </c>
      <c r="R6784" s="2" t="inlineStr"/>
    </row>
    <row r="6785" ht="15" customHeight="1">
      <c r="A6785" t="inlineStr">
        <is>
          <t>A 18246-2022</t>
        </is>
      </c>
      <c r="B6785" s="1" t="n">
        <v>44685</v>
      </c>
      <c r="C6785" s="1" t="n">
        <v>45736</v>
      </c>
      <c r="D6785" t="inlineStr">
        <is>
          <t>VÄRMLANDS LÄN</t>
        </is>
      </c>
      <c r="E6785" t="inlineStr">
        <is>
          <t>EDA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18334-2022</t>
        </is>
      </c>
      <c r="B6786" s="1" t="n">
        <v>44685</v>
      </c>
      <c r="C6786" s="1" t="n">
        <v>45736</v>
      </c>
      <c r="D6786" t="inlineStr">
        <is>
          <t>VÄRMLANDS LÄN</t>
        </is>
      </c>
      <c r="E6786" t="inlineStr">
        <is>
          <t>HAGFORS</t>
        </is>
      </c>
      <c r="F6786" t="inlineStr">
        <is>
          <t>Bergvik skog väst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18347-2022</t>
        </is>
      </c>
      <c r="B6787" s="1" t="n">
        <v>44685</v>
      </c>
      <c r="C6787" s="1" t="n">
        <v>45736</v>
      </c>
      <c r="D6787" t="inlineStr">
        <is>
          <t>VÄRMLANDS LÄN</t>
        </is>
      </c>
      <c r="E6787" t="inlineStr">
        <is>
          <t>TORSBY</t>
        </is>
      </c>
      <c r="F6787" t="inlineStr">
        <is>
          <t>Bergvik skog väst AB</t>
        </is>
      </c>
      <c r="G6787" t="n">
        <v>14.6</v>
      </c>
      <c r="H6787" t="n">
        <v>0</v>
      </c>
      <c r="I6787" t="n">
        <v>0</v>
      </c>
      <c r="J6787" t="n">
        <v>0</v>
      </c>
      <c r="K6787" t="n">
        <v>0</v>
      </c>
      <c r="L6787" t="n">
        <v>0</v>
      </c>
      <c r="M6787" t="n">
        <v>0</v>
      </c>
      <c r="N6787" t="n">
        <v>0</v>
      </c>
      <c r="O6787" t="n">
        <v>0</v>
      </c>
      <c r="P6787" t="n">
        <v>0</v>
      </c>
      <c r="Q6787" t="n">
        <v>0</v>
      </c>
      <c r="R6787" s="2" t="inlineStr"/>
    </row>
    <row r="6788" ht="15" customHeight="1">
      <c r="A6788" t="inlineStr">
        <is>
          <t>A 18253-2022</t>
        </is>
      </c>
      <c r="B6788" s="1" t="n">
        <v>44685</v>
      </c>
      <c r="C6788" s="1" t="n">
        <v>45736</v>
      </c>
      <c r="D6788" t="inlineStr">
        <is>
          <t>VÄRMLANDS LÄN</t>
        </is>
      </c>
      <c r="E6788" t="inlineStr">
        <is>
          <t>KARLSTAD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18389-2022</t>
        </is>
      </c>
      <c r="B6789" s="1" t="n">
        <v>44685</v>
      </c>
      <c r="C6789" s="1" t="n">
        <v>45736</v>
      </c>
      <c r="D6789" t="inlineStr">
        <is>
          <t>VÄRMLANDS LÄN</t>
        </is>
      </c>
      <c r="E6789" t="inlineStr">
        <is>
          <t>ÅRJÄNG</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18406-2022</t>
        </is>
      </c>
      <c r="B6790" s="1" t="n">
        <v>44686</v>
      </c>
      <c r="C6790" s="1" t="n">
        <v>45736</v>
      </c>
      <c r="D6790" t="inlineStr">
        <is>
          <t>VÄRMLANDS LÄN</t>
        </is>
      </c>
      <c r="E6790" t="inlineStr">
        <is>
          <t>SUNNE</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18420-2022</t>
        </is>
      </c>
      <c r="B6791" s="1" t="n">
        <v>44686</v>
      </c>
      <c r="C6791" s="1" t="n">
        <v>45736</v>
      </c>
      <c r="D6791" t="inlineStr">
        <is>
          <t>VÄRMLANDS LÄN</t>
        </is>
      </c>
      <c r="E6791" t="inlineStr">
        <is>
          <t>ÅRJÄNG</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18470-2022</t>
        </is>
      </c>
      <c r="B6792" s="1" t="n">
        <v>44686</v>
      </c>
      <c r="C6792" s="1" t="n">
        <v>45736</v>
      </c>
      <c r="D6792" t="inlineStr">
        <is>
          <t>VÄRMLANDS LÄN</t>
        </is>
      </c>
      <c r="E6792" t="inlineStr">
        <is>
          <t>KARLSTAD</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18502-2022</t>
        </is>
      </c>
      <c r="B6793" s="1" t="n">
        <v>44686</v>
      </c>
      <c r="C6793" s="1" t="n">
        <v>45736</v>
      </c>
      <c r="D6793" t="inlineStr">
        <is>
          <t>VÄRMLANDS LÄN</t>
        </is>
      </c>
      <c r="E6793" t="inlineStr">
        <is>
          <t>SUNNE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18451-2022</t>
        </is>
      </c>
      <c r="B6794" s="1" t="n">
        <v>44686</v>
      </c>
      <c r="C6794" s="1" t="n">
        <v>45736</v>
      </c>
      <c r="D6794" t="inlineStr">
        <is>
          <t>VÄRMLANDS LÄN</t>
        </is>
      </c>
      <c r="E6794" t="inlineStr">
        <is>
          <t>KIL</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18471-2022</t>
        </is>
      </c>
      <c r="B6795" s="1" t="n">
        <v>44686</v>
      </c>
      <c r="C6795" s="1" t="n">
        <v>45736</v>
      </c>
      <c r="D6795" t="inlineStr">
        <is>
          <t>VÄRMLANDS LÄN</t>
        </is>
      </c>
      <c r="E6795" t="inlineStr">
        <is>
          <t>KARLSTAD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18479-2022</t>
        </is>
      </c>
      <c r="B6796" s="1" t="n">
        <v>44686</v>
      </c>
      <c r="C6796" s="1" t="n">
        <v>45736</v>
      </c>
      <c r="D6796" t="inlineStr">
        <is>
          <t>VÄRMLANDS LÄN</t>
        </is>
      </c>
      <c r="E6796" t="inlineStr">
        <is>
          <t>SÄFFLE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18699-2022</t>
        </is>
      </c>
      <c r="B6797" s="1" t="n">
        <v>44687</v>
      </c>
      <c r="C6797" s="1" t="n">
        <v>45736</v>
      </c>
      <c r="D6797" t="inlineStr">
        <is>
          <t>VÄRMLANDS LÄN</t>
        </is>
      </c>
      <c r="E6797" t="inlineStr">
        <is>
          <t>HAGFORS</t>
        </is>
      </c>
      <c r="F6797" t="inlineStr">
        <is>
          <t>Bergvik skog väst AB</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18617-2022</t>
        </is>
      </c>
      <c r="B6798" s="1" t="n">
        <v>44687</v>
      </c>
      <c r="C6798" s="1" t="n">
        <v>45736</v>
      </c>
      <c r="D6798" t="inlineStr">
        <is>
          <t>VÄRMLANDS LÄN</t>
        </is>
      </c>
      <c r="E6798" t="inlineStr">
        <is>
          <t>HAGFORS</t>
        </is>
      </c>
      <c r="F6798" t="inlineStr">
        <is>
          <t>Bergvik skog väst AB</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18628-2022</t>
        </is>
      </c>
      <c r="B6799" s="1" t="n">
        <v>44687</v>
      </c>
      <c r="C6799" s="1" t="n">
        <v>45736</v>
      </c>
      <c r="D6799" t="inlineStr">
        <is>
          <t>VÄRMLANDS LÄN</t>
        </is>
      </c>
      <c r="E6799" t="inlineStr">
        <is>
          <t>TORSBY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18637-2022</t>
        </is>
      </c>
      <c r="B6800" s="1" t="n">
        <v>44687</v>
      </c>
      <c r="C6800" s="1" t="n">
        <v>45736</v>
      </c>
      <c r="D6800" t="inlineStr">
        <is>
          <t>VÄRMLANDS LÄN</t>
        </is>
      </c>
      <c r="E6800" t="inlineStr">
        <is>
          <t>HAGFORS</t>
        </is>
      </c>
      <c r="F6800" t="inlineStr">
        <is>
          <t>Bergvik skog väst AB</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18697-2022</t>
        </is>
      </c>
      <c r="B6801" s="1" t="n">
        <v>44687</v>
      </c>
      <c r="C6801" s="1" t="n">
        <v>45736</v>
      </c>
      <c r="D6801" t="inlineStr">
        <is>
          <t>VÄRMLANDS LÄN</t>
        </is>
      </c>
      <c r="E6801" t="inlineStr">
        <is>
          <t>KARLSTAD</t>
        </is>
      </c>
      <c r="F6801" t="inlineStr">
        <is>
          <t>Bergvik skog väst AB</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18702-2022</t>
        </is>
      </c>
      <c r="B6802" s="1" t="n">
        <v>44687</v>
      </c>
      <c r="C6802" s="1" t="n">
        <v>45736</v>
      </c>
      <c r="D6802" t="inlineStr">
        <is>
          <t>VÄRMLANDS LÄN</t>
        </is>
      </c>
      <c r="E6802" t="inlineStr">
        <is>
          <t>ÅRJÄNG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18779-2022</t>
        </is>
      </c>
      <c r="B6803" s="1" t="n">
        <v>44689</v>
      </c>
      <c r="C6803" s="1" t="n">
        <v>45736</v>
      </c>
      <c r="D6803" t="inlineStr">
        <is>
          <t>VÄRMLANDS LÄN</t>
        </is>
      </c>
      <c r="E6803" t="inlineStr">
        <is>
          <t>TORSBY</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18791-2022</t>
        </is>
      </c>
      <c r="B6804" s="1" t="n">
        <v>44690</v>
      </c>
      <c r="C6804" s="1" t="n">
        <v>45736</v>
      </c>
      <c r="D6804" t="inlineStr">
        <is>
          <t>VÄRMLANDS LÄN</t>
        </is>
      </c>
      <c r="E6804" t="inlineStr">
        <is>
          <t>GRUMS</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18840-2022</t>
        </is>
      </c>
      <c r="B6805" s="1" t="n">
        <v>44690</v>
      </c>
      <c r="C6805" s="1" t="n">
        <v>45736</v>
      </c>
      <c r="D6805" t="inlineStr">
        <is>
          <t>VÄRMLANDS LÄN</t>
        </is>
      </c>
      <c r="E6805" t="inlineStr">
        <is>
          <t>ÅRJÄNG</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18897-2022</t>
        </is>
      </c>
      <c r="B6806" s="1" t="n">
        <v>44690</v>
      </c>
      <c r="C6806" s="1" t="n">
        <v>45736</v>
      </c>
      <c r="D6806" t="inlineStr">
        <is>
          <t>VÄRMLANDS LÄN</t>
        </is>
      </c>
      <c r="E6806" t="inlineStr">
        <is>
          <t>TORSBY</t>
        </is>
      </c>
      <c r="F6806" t="inlineStr">
        <is>
          <t>Bergvik skog väst AB</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18877-2022</t>
        </is>
      </c>
      <c r="B6807" s="1" t="n">
        <v>44690</v>
      </c>
      <c r="C6807" s="1" t="n">
        <v>45736</v>
      </c>
      <c r="D6807" t="inlineStr">
        <is>
          <t>VÄRMLANDS LÄN</t>
        </is>
      </c>
      <c r="E6807" t="inlineStr">
        <is>
          <t>TORSBY</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18895-2022</t>
        </is>
      </c>
      <c r="B6808" s="1" t="n">
        <v>44690</v>
      </c>
      <c r="C6808" s="1" t="n">
        <v>45736</v>
      </c>
      <c r="D6808" t="inlineStr">
        <is>
          <t>VÄRMLANDS LÄN</t>
        </is>
      </c>
      <c r="E6808" t="inlineStr">
        <is>
          <t>FORSHAGA</t>
        </is>
      </c>
      <c r="F6808" t="inlineStr">
        <is>
          <t>Bergvik skog väst AB</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18903-2022</t>
        </is>
      </c>
      <c r="B6809" s="1" t="n">
        <v>44690</v>
      </c>
      <c r="C6809" s="1" t="n">
        <v>45736</v>
      </c>
      <c r="D6809" t="inlineStr">
        <is>
          <t>VÄRMLANDS LÄN</t>
        </is>
      </c>
      <c r="E6809" t="inlineStr">
        <is>
          <t>TORSBY</t>
        </is>
      </c>
      <c r="F6809" t="inlineStr">
        <is>
          <t>Bergvik skog väst AB</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18875-2022</t>
        </is>
      </c>
      <c r="B6810" s="1" t="n">
        <v>44690</v>
      </c>
      <c r="C6810" s="1" t="n">
        <v>45736</v>
      </c>
      <c r="D6810" t="inlineStr">
        <is>
          <t>VÄRMLANDS LÄN</t>
        </is>
      </c>
      <c r="E6810" t="inlineStr">
        <is>
          <t>ARVIKA</t>
        </is>
      </c>
      <c r="F6810" t="inlineStr">
        <is>
          <t>Bergvik skog väst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19018-2022</t>
        </is>
      </c>
      <c r="B6811" s="1" t="n">
        <v>44691</v>
      </c>
      <c r="C6811" s="1" t="n">
        <v>45736</v>
      </c>
      <c r="D6811" t="inlineStr">
        <is>
          <t>VÄRMLANDS LÄN</t>
        </is>
      </c>
      <c r="E6811" t="inlineStr">
        <is>
          <t>FILIPSTAD</t>
        </is>
      </c>
      <c r="F6811" t="inlineStr">
        <is>
          <t>Bergvik skog väst AB</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19137-2022</t>
        </is>
      </c>
      <c r="B6812" s="1" t="n">
        <v>44691</v>
      </c>
      <c r="C6812" s="1" t="n">
        <v>45736</v>
      </c>
      <c r="D6812" t="inlineStr">
        <is>
          <t>VÄRMLANDS LÄN</t>
        </is>
      </c>
      <c r="E6812" t="inlineStr">
        <is>
          <t>ARVIKA</t>
        </is>
      </c>
      <c r="G6812" t="n">
        <v>9.5</v>
      </c>
      <c r="H6812" t="n">
        <v>0</v>
      </c>
      <c r="I6812" t="n">
        <v>0</v>
      </c>
      <c r="J6812" t="n">
        <v>0</v>
      </c>
      <c r="K6812" t="n">
        <v>0</v>
      </c>
      <c r="L6812" t="n">
        <v>0</v>
      </c>
      <c r="M6812" t="n">
        <v>0</v>
      </c>
      <c r="N6812" t="n">
        <v>0</v>
      </c>
      <c r="O6812" t="n">
        <v>0</v>
      </c>
      <c r="P6812" t="n">
        <v>0</v>
      </c>
      <c r="Q6812" t="n">
        <v>0</v>
      </c>
      <c r="R6812" s="2" t="inlineStr"/>
    </row>
    <row r="6813" ht="15" customHeight="1">
      <c r="A6813" t="inlineStr">
        <is>
          <t>A 19171-2022</t>
        </is>
      </c>
      <c r="B6813" s="1" t="n">
        <v>44691</v>
      </c>
      <c r="C6813" s="1" t="n">
        <v>45736</v>
      </c>
      <c r="D6813" t="inlineStr">
        <is>
          <t>VÄRMLANDS LÄN</t>
        </is>
      </c>
      <c r="E6813" t="inlineStr">
        <is>
          <t>TORSBY</t>
        </is>
      </c>
      <c r="F6813" t="inlineStr">
        <is>
          <t>Bergvik skog väst AB</t>
        </is>
      </c>
      <c r="G6813" t="n">
        <v>23.3</v>
      </c>
      <c r="H6813" t="n">
        <v>0</v>
      </c>
      <c r="I6813" t="n">
        <v>0</v>
      </c>
      <c r="J6813" t="n">
        <v>0</v>
      </c>
      <c r="K6813" t="n">
        <v>0</v>
      </c>
      <c r="L6813" t="n">
        <v>0</v>
      </c>
      <c r="M6813" t="n">
        <v>0</v>
      </c>
      <c r="N6813" t="n">
        <v>0</v>
      </c>
      <c r="O6813" t="n">
        <v>0</v>
      </c>
      <c r="P6813" t="n">
        <v>0</v>
      </c>
      <c r="Q6813" t="n">
        <v>0</v>
      </c>
      <c r="R6813" s="2" t="inlineStr"/>
    </row>
    <row r="6814" ht="15" customHeight="1">
      <c r="A6814" t="inlineStr">
        <is>
          <t>A 19030-2022</t>
        </is>
      </c>
      <c r="B6814" s="1" t="n">
        <v>44691</v>
      </c>
      <c r="C6814" s="1" t="n">
        <v>45736</v>
      </c>
      <c r="D6814" t="inlineStr">
        <is>
          <t>VÄRMLANDS LÄN</t>
        </is>
      </c>
      <c r="E6814" t="inlineStr">
        <is>
          <t>FILIPSTAD</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19127-2022</t>
        </is>
      </c>
      <c r="B6815" s="1" t="n">
        <v>44691</v>
      </c>
      <c r="C6815" s="1" t="n">
        <v>45736</v>
      </c>
      <c r="D6815" t="inlineStr">
        <is>
          <t>VÄRMLANDS LÄN</t>
        </is>
      </c>
      <c r="E6815" t="inlineStr">
        <is>
          <t>ÅRJÄNG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19270-2022</t>
        </is>
      </c>
      <c r="B6816" s="1" t="n">
        <v>44692</v>
      </c>
      <c r="C6816" s="1" t="n">
        <v>45736</v>
      </c>
      <c r="D6816" t="inlineStr">
        <is>
          <t>VÄRMLANDS LÄN</t>
        </is>
      </c>
      <c r="E6816" t="inlineStr">
        <is>
          <t>EDA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19282-2022</t>
        </is>
      </c>
      <c r="B6817" s="1" t="n">
        <v>44692</v>
      </c>
      <c r="C6817" s="1" t="n">
        <v>45736</v>
      </c>
      <c r="D6817" t="inlineStr">
        <is>
          <t>VÄRMLANDS LÄN</t>
        </is>
      </c>
      <c r="E6817" t="inlineStr">
        <is>
          <t>EDA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19320-2022</t>
        </is>
      </c>
      <c r="B6818" s="1" t="n">
        <v>44692</v>
      </c>
      <c r="C6818" s="1" t="n">
        <v>45736</v>
      </c>
      <c r="D6818" t="inlineStr">
        <is>
          <t>VÄRMLANDS LÄN</t>
        </is>
      </c>
      <c r="E6818" t="inlineStr">
        <is>
          <t>MUNKFORS</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19340-2022</t>
        </is>
      </c>
      <c r="B6819" s="1" t="n">
        <v>44692</v>
      </c>
      <c r="C6819" s="1" t="n">
        <v>45736</v>
      </c>
      <c r="D6819" t="inlineStr">
        <is>
          <t>VÄRMLANDS LÄN</t>
        </is>
      </c>
      <c r="E6819" t="inlineStr">
        <is>
          <t>SUNNE</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19307-2022</t>
        </is>
      </c>
      <c r="B6820" s="1" t="n">
        <v>44692</v>
      </c>
      <c r="C6820" s="1" t="n">
        <v>45736</v>
      </c>
      <c r="D6820" t="inlineStr">
        <is>
          <t>VÄRMLANDS LÄN</t>
        </is>
      </c>
      <c r="E6820" t="inlineStr">
        <is>
          <t>TORSBY</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19324-2022</t>
        </is>
      </c>
      <c r="B6821" s="1" t="n">
        <v>44692</v>
      </c>
      <c r="C6821" s="1" t="n">
        <v>45736</v>
      </c>
      <c r="D6821" t="inlineStr">
        <is>
          <t>VÄRMLANDS LÄN</t>
        </is>
      </c>
      <c r="E6821" t="inlineStr">
        <is>
          <t>STORFORS</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19469-2022</t>
        </is>
      </c>
      <c r="B6822" s="1" t="n">
        <v>44693</v>
      </c>
      <c r="C6822" s="1" t="n">
        <v>45736</v>
      </c>
      <c r="D6822" t="inlineStr">
        <is>
          <t>VÄRMLANDS LÄN</t>
        </is>
      </c>
      <c r="E6822" t="inlineStr">
        <is>
          <t>FORSHAGA</t>
        </is>
      </c>
      <c r="F6822" t="inlineStr">
        <is>
          <t>Bergvik skog väst AB</t>
        </is>
      </c>
      <c r="G6822" t="n">
        <v>11.1</v>
      </c>
      <c r="H6822" t="n">
        <v>0</v>
      </c>
      <c r="I6822" t="n">
        <v>0</v>
      </c>
      <c r="J6822" t="n">
        <v>0</v>
      </c>
      <c r="K6822" t="n">
        <v>0</v>
      </c>
      <c r="L6822" t="n">
        <v>0</v>
      </c>
      <c r="M6822" t="n">
        <v>0</v>
      </c>
      <c r="N6822" t="n">
        <v>0</v>
      </c>
      <c r="O6822" t="n">
        <v>0</v>
      </c>
      <c r="P6822" t="n">
        <v>0</v>
      </c>
      <c r="Q6822" t="n">
        <v>0</v>
      </c>
      <c r="R6822" s="2" t="inlineStr"/>
    </row>
    <row r="6823" ht="15" customHeight="1">
      <c r="A6823" t="inlineStr">
        <is>
          <t>A 19454-2022</t>
        </is>
      </c>
      <c r="B6823" s="1" t="n">
        <v>44693</v>
      </c>
      <c r="C6823" s="1" t="n">
        <v>45736</v>
      </c>
      <c r="D6823" t="inlineStr">
        <is>
          <t>VÄRMLANDS LÄN</t>
        </is>
      </c>
      <c r="E6823" t="inlineStr">
        <is>
          <t>SUNNE</t>
        </is>
      </c>
      <c r="G6823" t="n">
        <v>8.9</v>
      </c>
      <c r="H6823" t="n">
        <v>0</v>
      </c>
      <c r="I6823" t="n">
        <v>0</v>
      </c>
      <c r="J6823" t="n">
        <v>0</v>
      </c>
      <c r="K6823" t="n">
        <v>0</v>
      </c>
      <c r="L6823" t="n">
        <v>0</v>
      </c>
      <c r="M6823" t="n">
        <v>0</v>
      </c>
      <c r="N6823" t="n">
        <v>0</v>
      </c>
      <c r="O6823" t="n">
        <v>0</v>
      </c>
      <c r="P6823" t="n">
        <v>0</v>
      </c>
      <c r="Q6823" t="n">
        <v>0</v>
      </c>
      <c r="R6823" s="2" t="inlineStr"/>
    </row>
    <row r="6824" ht="15" customHeight="1">
      <c r="A6824" t="inlineStr">
        <is>
          <t>A 19523-2022</t>
        </is>
      </c>
      <c r="B6824" s="1" t="n">
        <v>44693</v>
      </c>
      <c r="C6824" s="1" t="n">
        <v>45736</v>
      </c>
      <c r="D6824" t="inlineStr">
        <is>
          <t>VÄRMLANDS LÄN</t>
        </is>
      </c>
      <c r="E6824" t="inlineStr">
        <is>
          <t>SUNNE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19526-2022</t>
        </is>
      </c>
      <c r="B6825" s="1" t="n">
        <v>44693</v>
      </c>
      <c r="C6825" s="1" t="n">
        <v>45736</v>
      </c>
      <c r="D6825" t="inlineStr">
        <is>
          <t>VÄRMLANDS LÄN</t>
        </is>
      </c>
      <c r="E6825" t="inlineStr">
        <is>
          <t>SUNNE</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19489-2022</t>
        </is>
      </c>
      <c r="B6826" s="1" t="n">
        <v>44693</v>
      </c>
      <c r="C6826" s="1" t="n">
        <v>45736</v>
      </c>
      <c r="D6826" t="inlineStr">
        <is>
          <t>VÄRMLANDS LÄN</t>
        </is>
      </c>
      <c r="E6826" t="inlineStr">
        <is>
          <t>TORSBY</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19520-2022</t>
        </is>
      </c>
      <c r="B6827" s="1" t="n">
        <v>44693</v>
      </c>
      <c r="C6827" s="1" t="n">
        <v>45736</v>
      </c>
      <c r="D6827" t="inlineStr">
        <is>
          <t>VÄRMLANDS LÄN</t>
        </is>
      </c>
      <c r="E6827" t="inlineStr">
        <is>
          <t>EDA</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19632-2022</t>
        </is>
      </c>
      <c r="B6828" s="1" t="n">
        <v>44694</v>
      </c>
      <c r="C6828" s="1" t="n">
        <v>45736</v>
      </c>
      <c r="D6828" t="inlineStr">
        <is>
          <t>VÄRMLANDS LÄN</t>
        </is>
      </c>
      <c r="E6828" t="inlineStr">
        <is>
          <t>TORSBY</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19662-2022</t>
        </is>
      </c>
      <c r="B6829" s="1" t="n">
        <v>44694</v>
      </c>
      <c r="C6829" s="1" t="n">
        <v>45736</v>
      </c>
      <c r="D6829" t="inlineStr">
        <is>
          <t>VÄRMLANDS LÄN</t>
        </is>
      </c>
      <c r="E6829" t="inlineStr">
        <is>
          <t>FORSHAGA</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19669-2022</t>
        </is>
      </c>
      <c r="B6830" s="1" t="n">
        <v>44694</v>
      </c>
      <c r="C6830" s="1" t="n">
        <v>45736</v>
      </c>
      <c r="D6830" t="inlineStr">
        <is>
          <t>VÄRMLANDS LÄN</t>
        </is>
      </c>
      <c r="E6830" t="inlineStr">
        <is>
          <t>GRUMS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19691-2022</t>
        </is>
      </c>
      <c r="B6831" s="1" t="n">
        <v>44694</v>
      </c>
      <c r="C6831" s="1" t="n">
        <v>45736</v>
      </c>
      <c r="D6831" t="inlineStr">
        <is>
          <t>VÄRMLANDS LÄN</t>
        </is>
      </c>
      <c r="E6831" t="inlineStr">
        <is>
          <t>EDA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19702-2022</t>
        </is>
      </c>
      <c r="B6832" s="1" t="n">
        <v>44694</v>
      </c>
      <c r="C6832" s="1" t="n">
        <v>45736</v>
      </c>
      <c r="D6832" t="inlineStr">
        <is>
          <t>VÄRMLANDS LÄN</t>
        </is>
      </c>
      <c r="E6832" t="inlineStr">
        <is>
          <t>HAGFORS</t>
        </is>
      </c>
      <c r="F6832" t="inlineStr">
        <is>
          <t>Bergvik skog väst AB</t>
        </is>
      </c>
      <c r="G6832" t="n">
        <v>24.6</v>
      </c>
      <c r="H6832" t="n">
        <v>0</v>
      </c>
      <c r="I6832" t="n">
        <v>0</v>
      </c>
      <c r="J6832" t="n">
        <v>0</v>
      </c>
      <c r="K6832" t="n">
        <v>0</v>
      </c>
      <c r="L6832" t="n">
        <v>0</v>
      </c>
      <c r="M6832" t="n">
        <v>0</v>
      </c>
      <c r="N6832" t="n">
        <v>0</v>
      </c>
      <c r="O6832" t="n">
        <v>0</v>
      </c>
      <c r="P6832" t="n">
        <v>0</v>
      </c>
      <c r="Q6832" t="n">
        <v>0</v>
      </c>
      <c r="R6832" s="2" t="inlineStr"/>
    </row>
    <row r="6833" ht="15" customHeight="1">
      <c r="A6833" t="inlineStr">
        <is>
          <t>A 19737-2022</t>
        </is>
      </c>
      <c r="B6833" s="1" t="n">
        <v>44694</v>
      </c>
      <c r="C6833" s="1" t="n">
        <v>45736</v>
      </c>
      <c r="D6833" t="inlineStr">
        <is>
          <t>VÄRMLANDS LÄN</t>
        </is>
      </c>
      <c r="E6833" t="inlineStr">
        <is>
          <t>SUNNE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19743-2022</t>
        </is>
      </c>
      <c r="B6834" s="1" t="n">
        <v>44694</v>
      </c>
      <c r="C6834" s="1" t="n">
        <v>45736</v>
      </c>
      <c r="D6834" t="inlineStr">
        <is>
          <t>VÄRMLANDS LÄN</t>
        </is>
      </c>
      <c r="E6834" t="inlineStr">
        <is>
          <t>HAGFORS</t>
        </is>
      </c>
      <c r="F6834" t="inlineStr">
        <is>
          <t>Bergvik skog väst AB</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19626-2022</t>
        </is>
      </c>
      <c r="B6835" s="1" t="n">
        <v>44694</v>
      </c>
      <c r="C6835" s="1" t="n">
        <v>45736</v>
      </c>
      <c r="D6835" t="inlineStr">
        <is>
          <t>VÄRMLANDS LÄN</t>
        </is>
      </c>
      <c r="E6835" t="inlineStr">
        <is>
          <t>FILIPSTAD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19677-2022</t>
        </is>
      </c>
      <c r="B6836" s="1" t="n">
        <v>44694</v>
      </c>
      <c r="C6836" s="1" t="n">
        <v>45736</v>
      </c>
      <c r="D6836" t="inlineStr">
        <is>
          <t>VÄRMLANDS LÄN</t>
        </is>
      </c>
      <c r="E6836" t="inlineStr">
        <is>
          <t>FORSHAGA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19739-2022</t>
        </is>
      </c>
      <c r="B6837" s="1" t="n">
        <v>44694</v>
      </c>
      <c r="C6837" s="1" t="n">
        <v>45736</v>
      </c>
      <c r="D6837" t="inlineStr">
        <is>
          <t>VÄRMLANDS LÄN</t>
        </is>
      </c>
      <c r="E6837" t="inlineStr">
        <is>
          <t>SUNNE</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19696-2022</t>
        </is>
      </c>
      <c r="B6838" s="1" t="n">
        <v>44694</v>
      </c>
      <c r="C6838" s="1" t="n">
        <v>45736</v>
      </c>
      <c r="D6838" t="inlineStr">
        <is>
          <t>VÄRMLANDS LÄN</t>
        </is>
      </c>
      <c r="E6838" t="inlineStr">
        <is>
          <t>KRISTINEHAMN</t>
        </is>
      </c>
      <c r="F6838" t="inlineStr">
        <is>
          <t>Bergvik skog väst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19776-2022</t>
        </is>
      </c>
      <c r="B6839" s="1" t="n">
        <v>44694</v>
      </c>
      <c r="C6839" s="1" t="n">
        <v>45736</v>
      </c>
      <c r="D6839" t="inlineStr">
        <is>
          <t>VÄRMLANDS LÄN</t>
        </is>
      </c>
      <c r="E6839" t="inlineStr">
        <is>
          <t>ÅRJÄNG</t>
        </is>
      </c>
      <c r="G6839" t="n">
        <v>9</v>
      </c>
      <c r="H6839" t="n">
        <v>0</v>
      </c>
      <c r="I6839" t="n">
        <v>0</v>
      </c>
      <c r="J6839" t="n">
        <v>0</v>
      </c>
      <c r="K6839" t="n">
        <v>0</v>
      </c>
      <c r="L6839" t="n">
        <v>0</v>
      </c>
      <c r="M6839" t="n">
        <v>0</v>
      </c>
      <c r="N6839" t="n">
        <v>0</v>
      </c>
      <c r="O6839" t="n">
        <v>0</v>
      </c>
      <c r="P6839" t="n">
        <v>0</v>
      </c>
      <c r="Q6839" t="n">
        <v>0</v>
      </c>
      <c r="R6839" s="2" t="inlineStr"/>
    </row>
    <row r="6840" ht="15" customHeight="1">
      <c r="A6840" t="inlineStr">
        <is>
          <t>A 19764-2022</t>
        </is>
      </c>
      <c r="B6840" s="1" t="n">
        <v>44694</v>
      </c>
      <c r="C6840" s="1" t="n">
        <v>45736</v>
      </c>
      <c r="D6840" t="inlineStr">
        <is>
          <t>VÄRMLANDS LÄN</t>
        </is>
      </c>
      <c r="E6840" t="inlineStr">
        <is>
          <t>ARVIKA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19778-2022</t>
        </is>
      </c>
      <c r="B6841" s="1" t="n">
        <v>44694</v>
      </c>
      <c r="C6841" s="1" t="n">
        <v>45736</v>
      </c>
      <c r="D6841" t="inlineStr">
        <is>
          <t>VÄRMLANDS LÄN</t>
        </is>
      </c>
      <c r="E6841" t="inlineStr">
        <is>
          <t>ARVIKA</t>
        </is>
      </c>
      <c r="F6841" t="inlineStr">
        <is>
          <t>Bergvik skog väst AB</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19614-2022</t>
        </is>
      </c>
      <c r="B6842" s="1" t="n">
        <v>44694</v>
      </c>
      <c r="C6842" s="1" t="n">
        <v>45736</v>
      </c>
      <c r="D6842" t="inlineStr">
        <is>
          <t>VÄRMLANDS LÄN</t>
        </is>
      </c>
      <c r="E6842" t="inlineStr">
        <is>
          <t>TORSBY</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19893-2022</t>
        </is>
      </c>
      <c r="B6843" s="1" t="n">
        <v>44697</v>
      </c>
      <c r="C6843" s="1" t="n">
        <v>45736</v>
      </c>
      <c r="D6843" t="inlineStr">
        <is>
          <t>VÄRMLANDS LÄN</t>
        </is>
      </c>
      <c r="E6843" t="inlineStr">
        <is>
          <t>ÅRJÄNG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19996-2022</t>
        </is>
      </c>
      <c r="B6844" s="1" t="n">
        <v>44697</v>
      </c>
      <c r="C6844" s="1" t="n">
        <v>45736</v>
      </c>
      <c r="D6844" t="inlineStr">
        <is>
          <t>VÄRMLANDS LÄN</t>
        </is>
      </c>
      <c r="E6844" t="inlineStr">
        <is>
          <t>FORSHAGA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20023-2022</t>
        </is>
      </c>
      <c r="B6845" s="1" t="n">
        <v>44697</v>
      </c>
      <c r="C6845" s="1" t="n">
        <v>45736</v>
      </c>
      <c r="D6845" t="inlineStr">
        <is>
          <t>VÄRMLANDS LÄN</t>
        </is>
      </c>
      <c r="E6845" t="inlineStr">
        <is>
          <t>HAGFORS</t>
        </is>
      </c>
      <c r="F6845" t="inlineStr">
        <is>
          <t>Bergvik skog väst AB</t>
        </is>
      </c>
      <c r="G6845" t="n">
        <v>31.9</v>
      </c>
      <c r="H6845" t="n">
        <v>0</v>
      </c>
      <c r="I6845" t="n">
        <v>0</v>
      </c>
      <c r="J6845" t="n">
        <v>0</v>
      </c>
      <c r="K6845" t="n">
        <v>0</v>
      </c>
      <c r="L6845" t="n">
        <v>0</v>
      </c>
      <c r="M6845" t="n">
        <v>0</v>
      </c>
      <c r="N6845" t="n">
        <v>0</v>
      </c>
      <c r="O6845" t="n">
        <v>0</v>
      </c>
      <c r="P6845" t="n">
        <v>0</v>
      </c>
      <c r="Q6845" t="n">
        <v>0</v>
      </c>
      <c r="R6845" s="2" t="inlineStr"/>
    </row>
    <row r="6846" ht="15" customHeight="1">
      <c r="A6846" t="inlineStr">
        <is>
          <t>A 20045-2022</t>
        </is>
      </c>
      <c r="B6846" s="1" t="n">
        <v>44697</v>
      </c>
      <c r="C6846" s="1" t="n">
        <v>45736</v>
      </c>
      <c r="D6846" t="inlineStr">
        <is>
          <t>VÄRMLANDS LÄN</t>
        </is>
      </c>
      <c r="E6846" t="inlineStr">
        <is>
          <t>TORSBY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20041-2022</t>
        </is>
      </c>
      <c r="B6847" s="1" t="n">
        <v>44697</v>
      </c>
      <c r="C6847" s="1" t="n">
        <v>45736</v>
      </c>
      <c r="D6847" t="inlineStr">
        <is>
          <t>VÄRMLANDS LÄN</t>
        </is>
      </c>
      <c r="E6847" t="inlineStr">
        <is>
          <t>SUNNE</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20046-2022</t>
        </is>
      </c>
      <c r="B6848" s="1" t="n">
        <v>44697</v>
      </c>
      <c r="C6848" s="1" t="n">
        <v>45736</v>
      </c>
      <c r="D6848" t="inlineStr">
        <is>
          <t>VÄRMLANDS LÄN</t>
        </is>
      </c>
      <c r="E6848" t="inlineStr">
        <is>
          <t>TORSBY</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20042-2022</t>
        </is>
      </c>
      <c r="B6849" s="1" t="n">
        <v>44697</v>
      </c>
      <c r="C6849" s="1" t="n">
        <v>45736</v>
      </c>
      <c r="D6849" t="inlineStr">
        <is>
          <t>VÄRMLANDS LÄN</t>
        </is>
      </c>
      <c r="E6849" t="inlineStr">
        <is>
          <t>SUNNE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20035-2022</t>
        </is>
      </c>
      <c r="B6850" s="1" t="n">
        <v>44697</v>
      </c>
      <c r="C6850" s="1" t="n">
        <v>45736</v>
      </c>
      <c r="D6850" t="inlineStr">
        <is>
          <t>VÄRMLANDS LÄN</t>
        </is>
      </c>
      <c r="E6850" t="inlineStr">
        <is>
          <t>SUNNE</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19947-2022</t>
        </is>
      </c>
      <c r="B6851" s="1" t="n">
        <v>44697</v>
      </c>
      <c r="C6851" s="1" t="n">
        <v>45736</v>
      </c>
      <c r="D6851" t="inlineStr">
        <is>
          <t>VÄRMLANDS LÄN</t>
        </is>
      </c>
      <c r="E6851" t="inlineStr">
        <is>
          <t>ÅRJÄNG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20106-2022</t>
        </is>
      </c>
      <c r="B6852" s="1" t="n">
        <v>44697</v>
      </c>
      <c r="C6852" s="1" t="n">
        <v>45736</v>
      </c>
      <c r="D6852" t="inlineStr">
        <is>
          <t>VÄRMLANDS LÄN</t>
        </is>
      </c>
      <c r="E6852" t="inlineStr">
        <is>
          <t>ARVIKA</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20031-2022</t>
        </is>
      </c>
      <c r="B6853" s="1" t="n">
        <v>44697</v>
      </c>
      <c r="C6853" s="1" t="n">
        <v>45736</v>
      </c>
      <c r="D6853" t="inlineStr">
        <is>
          <t>VÄRMLANDS LÄN</t>
        </is>
      </c>
      <c r="E6853" t="inlineStr">
        <is>
          <t>SUNNE</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20009-2022</t>
        </is>
      </c>
      <c r="B6854" s="1" t="n">
        <v>44697</v>
      </c>
      <c r="C6854" s="1" t="n">
        <v>45736</v>
      </c>
      <c r="D6854" t="inlineStr">
        <is>
          <t>VÄRMLANDS LÄN</t>
        </is>
      </c>
      <c r="E6854" t="inlineStr">
        <is>
          <t>TORSBY</t>
        </is>
      </c>
      <c r="G6854" t="n">
        <v>14.4</v>
      </c>
      <c r="H6854" t="n">
        <v>0</v>
      </c>
      <c r="I6854" t="n">
        <v>0</v>
      </c>
      <c r="J6854" t="n">
        <v>0</v>
      </c>
      <c r="K6854" t="n">
        <v>0</v>
      </c>
      <c r="L6854" t="n">
        <v>0</v>
      </c>
      <c r="M6854" t="n">
        <v>0</v>
      </c>
      <c r="N6854" t="n">
        <v>0</v>
      </c>
      <c r="O6854" t="n">
        <v>0</v>
      </c>
      <c r="P6854" t="n">
        <v>0</v>
      </c>
      <c r="Q6854" t="n">
        <v>0</v>
      </c>
      <c r="R6854" s="2" t="inlineStr"/>
    </row>
    <row r="6855" ht="15" customHeight="1">
      <c r="A6855" t="inlineStr">
        <is>
          <t>A 19889-2022</t>
        </is>
      </c>
      <c r="B6855" s="1" t="n">
        <v>44697</v>
      </c>
      <c r="C6855" s="1" t="n">
        <v>45736</v>
      </c>
      <c r="D6855" t="inlineStr">
        <is>
          <t>VÄRMLANDS LÄN</t>
        </is>
      </c>
      <c r="E6855" t="inlineStr">
        <is>
          <t>ARVIKA</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20176-2022</t>
        </is>
      </c>
      <c r="B6856" s="1" t="n">
        <v>44698</v>
      </c>
      <c r="C6856" s="1" t="n">
        <v>45736</v>
      </c>
      <c r="D6856" t="inlineStr">
        <is>
          <t>VÄRMLANDS LÄN</t>
        </is>
      </c>
      <c r="E6856" t="inlineStr">
        <is>
          <t>ARVIKA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20168-2022</t>
        </is>
      </c>
      <c r="B6857" s="1" t="n">
        <v>44698</v>
      </c>
      <c r="C6857" s="1" t="n">
        <v>45736</v>
      </c>
      <c r="D6857" t="inlineStr">
        <is>
          <t>VÄRMLANDS LÄN</t>
        </is>
      </c>
      <c r="E6857" t="inlineStr">
        <is>
          <t>TORSBY</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20175-2022</t>
        </is>
      </c>
      <c r="B6858" s="1" t="n">
        <v>44698</v>
      </c>
      <c r="C6858" s="1" t="n">
        <v>45736</v>
      </c>
      <c r="D6858" t="inlineStr">
        <is>
          <t>VÄRMLANDS LÄN</t>
        </is>
      </c>
      <c r="E6858" t="inlineStr">
        <is>
          <t>TORSBY</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20236-2022</t>
        </is>
      </c>
      <c r="B6859" s="1" t="n">
        <v>44698</v>
      </c>
      <c r="C6859" s="1" t="n">
        <v>45736</v>
      </c>
      <c r="D6859" t="inlineStr">
        <is>
          <t>VÄRMLANDS LÄN</t>
        </is>
      </c>
      <c r="E6859" t="inlineStr">
        <is>
          <t>SUNNE</t>
        </is>
      </c>
      <c r="F6859" t="inlineStr">
        <is>
          <t>Övriga Aktiebolag</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20119-2022</t>
        </is>
      </c>
      <c r="B6860" s="1" t="n">
        <v>44698</v>
      </c>
      <c r="C6860" s="1" t="n">
        <v>45736</v>
      </c>
      <c r="D6860" t="inlineStr">
        <is>
          <t>VÄRMLANDS LÄN</t>
        </is>
      </c>
      <c r="E6860" t="inlineStr">
        <is>
          <t>SÄFFLE</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20174-2022</t>
        </is>
      </c>
      <c r="B6861" s="1" t="n">
        <v>44698</v>
      </c>
      <c r="C6861" s="1" t="n">
        <v>45736</v>
      </c>
      <c r="D6861" t="inlineStr">
        <is>
          <t>VÄRMLANDS LÄN</t>
        </is>
      </c>
      <c r="E6861" t="inlineStr">
        <is>
          <t>TORSBY</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20237-2022</t>
        </is>
      </c>
      <c r="B6862" s="1" t="n">
        <v>44698</v>
      </c>
      <c r="C6862" s="1" t="n">
        <v>45736</v>
      </c>
      <c r="D6862" t="inlineStr">
        <is>
          <t>VÄRMLANDS LÄN</t>
        </is>
      </c>
      <c r="E6862" t="inlineStr">
        <is>
          <t>KARLSTAD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20216-2022</t>
        </is>
      </c>
      <c r="B6863" s="1" t="n">
        <v>44698</v>
      </c>
      <c r="C6863" s="1" t="n">
        <v>45736</v>
      </c>
      <c r="D6863" t="inlineStr">
        <is>
          <t>VÄRMLANDS LÄN</t>
        </is>
      </c>
      <c r="E6863" t="inlineStr">
        <is>
          <t>EDA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20234-2022</t>
        </is>
      </c>
      <c r="B6864" s="1" t="n">
        <v>44698</v>
      </c>
      <c r="C6864" s="1" t="n">
        <v>45736</v>
      </c>
      <c r="D6864" t="inlineStr">
        <is>
          <t>VÄRMLANDS LÄN</t>
        </is>
      </c>
      <c r="E6864" t="inlineStr">
        <is>
          <t>KARLSTAD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20241-2022</t>
        </is>
      </c>
      <c r="B6865" s="1" t="n">
        <v>44698</v>
      </c>
      <c r="C6865" s="1" t="n">
        <v>45736</v>
      </c>
      <c r="D6865" t="inlineStr">
        <is>
          <t>VÄRMLANDS LÄN</t>
        </is>
      </c>
      <c r="E6865" t="inlineStr">
        <is>
          <t>KARLSTAD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20371-2022</t>
        </is>
      </c>
      <c r="B6866" s="1" t="n">
        <v>44699</v>
      </c>
      <c r="C6866" s="1" t="n">
        <v>45736</v>
      </c>
      <c r="D6866" t="inlineStr">
        <is>
          <t>VÄRMLANDS LÄN</t>
        </is>
      </c>
      <c r="E6866" t="inlineStr">
        <is>
          <t>SÄFFLE</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20345-2022</t>
        </is>
      </c>
      <c r="B6867" s="1" t="n">
        <v>44699</v>
      </c>
      <c r="C6867" s="1" t="n">
        <v>45736</v>
      </c>
      <c r="D6867" t="inlineStr">
        <is>
          <t>VÄRMLANDS LÄN</t>
        </is>
      </c>
      <c r="E6867" t="inlineStr">
        <is>
          <t>ARVIKA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20436-2022</t>
        </is>
      </c>
      <c r="B6868" s="1" t="n">
        <v>44699</v>
      </c>
      <c r="C6868" s="1" t="n">
        <v>45736</v>
      </c>
      <c r="D6868" t="inlineStr">
        <is>
          <t>VÄRMLANDS LÄN</t>
        </is>
      </c>
      <c r="E6868" t="inlineStr">
        <is>
          <t>HAGFORS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20348-2022</t>
        </is>
      </c>
      <c r="B6869" s="1" t="n">
        <v>44699</v>
      </c>
      <c r="C6869" s="1" t="n">
        <v>45736</v>
      </c>
      <c r="D6869" t="inlineStr">
        <is>
          <t>VÄRMLANDS LÄN</t>
        </is>
      </c>
      <c r="E6869" t="inlineStr">
        <is>
          <t>ARVIKA</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20382-2022</t>
        </is>
      </c>
      <c r="B6870" s="1" t="n">
        <v>44699</v>
      </c>
      <c r="C6870" s="1" t="n">
        <v>45736</v>
      </c>
      <c r="D6870" t="inlineStr">
        <is>
          <t>VÄRMLANDS LÄN</t>
        </is>
      </c>
      <c r="E6870" t="inlineStr">
        <is>
          <t>TORSBY</t>
        </is>
      </c>
      <c r="G6870" t="n">
        <v>14.3</v>
      </c>
      <c r="H6870" t="n">
        <v>0</v>
      </c>
      <c r="I6870" t="n">
        <v>0</v>
      </c>
      <c r="J6870" t="n">
        <v>0</v>
      </c>
      <c r="K6870" t="n">
        <v>0</v>
      </c>
      <c r="L6870" t="n">
        <v>0</v>
      </c>
      <c r="M6870" t="n">
        <v>0</v>
      </c>
      <c r="N6870" t="n">
        <v>0</v>
      </c>
      <c r="O6870" t="n">
        <v>0</v>
      </c>
      <c r="P6870" t="n">
        <v>0</v>
      </c>
      <c r="Q6870" t="n">
        <v>0</v>
      </c>
      <c r="R6870" s="2" t="inlineStr"/>
    </row>
    <row r="6871" ht="15" customHeight="1">
      <c r="A6871" t="inlineStr">
        <is>
          <t>A 20819-2022</t>
        </is>
      </c>
      <c r="B6871" s="1" t="n">
        <v>44699</v>
      </c>
      <c r="C6871" s="1" t="n">
        <v>45736</v>
      </c>
      <c r="D6871" t="inlineStr">
        <is>
          <t>VÄRMLANDS LÄN</t>
        </is>
      </c>
      <c r="E6871" t="inlineStr">
        <is>
          <t>TORSBY</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20611-2022</t>
        </is>
      </c>
      <c r="B6872" s="1" t="n">
        <v>44700</v>
      </c>
      <c r="C6872" s="1" t="n">
        <v>45736</v>
      </c>
      <c r="D6872" t="inlineStr">
        <is>
          <t>VÄRMLANDS LÄN</t>
        </is>
      </c>
      <c r="E6872" t="inlineStr">
        <is>
          <t>EDA</t>
        </is>
      </c>
      <c r="F6872" t="inlineStr">
        <is>
          <t>Kommuner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20652-2022</t>
        </is>
      </c>
      <c r="B6873" s="1" t="n">
        <v>44700</v>
      </c>
      <c r="C6873" s="1" t="n">
        <v>45736</v>
      </c>
      <c r="D6873" t="inlineStr">
        <is>
          <t>VÄRMLANDS LÄN</t>
        </is>
      </c>
      <c r="E6873" t="inlineStr">
        <is>
          <t>HAGFORS</t>
        </is>
      </c>
      <c r="F6873" t="inlineStr">
        <is>
          <t>Bergvik skog väst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20673-2022</t>
        </is>
      </c>
      <c r="B6874" s="1" t="n">
        <v>44700</v>
      </c>
      <c r="C6874" s="1" t="n">
        <v>45736</v>
      </c>
      <c r="D6874" t="inlineStr">
        <is>
          <t>VÄRMLANDS LÄN</t>
        </is>
      </c>
      <c r="E6874" t="inlineStr">
        <is>
          <t>KRISTINEHAMN</t>
        </is>
      </c>
      <c r="F6874" t="inlineStr">
        <is>
          <t>Naturvårdsverket</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20777-2022</t>
        </is>
      </c>
      <c r="B6875" s="1" t="n">
        <v>44701</v>
      </c>
      <c r="C6875" s="1" t="n">
        <v>45736</v>
      </c>
      <c r="D6875" t="inlineStr">
        <is>
          <t>VÄRMLANDS LÄN</t>
        </is>
      </c>
      <c r="E6875" t="inlineStr">
        <is>
          <t>KARLSTAD</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20788-2022</t>
        </is>
      </c>
      <c r="B6876" s="1" t="n">
        <v>44701</v>
      </c>
      <c r="C6876" s="1" t="n">
        <v>45736</v>
      </c>
      <c r="D6876" t="inlineStr">
        <is>
          <t>VÄRMLANDS LÄN</t>
        </is>
      </c>
      <c r="E6876" t="inlineStr">
        <is>
          <t>FORSHAGA</t>
        </is>
      </c>
      <c r="F6876" t="inlineStr">
        <is>
          <t>Bergvik skog väst AB</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20881-2022</t>
        </is>
      </c>
      <c r="B6877" s="1" t="n">
        <v>44701</v>
      </c>
      <c r="C6877" s="1" t="n">
        <v>45736</v>
      </c>
      <c r="D6877" t="inlineStr">
        <is>
          <t>VÄRMLANDS LÄN</t>
        </is>
      </c>
      <c r="E6877" t="inlineStr">
        <is>
          <t>TORSBY</t>
        </is>
      </c>
      <c r="F6877" t="inlineStr">
        <is>
          <t>Bergvik skog väst AB</t>
        </is>
      </c>
      <c r="G6877" t="n">
        <v>17.2</v>
      </c>
      <c r="H6877" t="n">
        <v>0</v>
      </c>
      <c r="I6877" t="n">
        <v>0</v>
      </c>
      <c r="J6877" t="n">
        <v>0</v>
      </c>
      <c r="K6877" t="n">
        <v>0</v>
      </c>
      <c r="L6877" t="n">
        <v>0</v>
      </c>
      <c r="M6877" t="n">
        <v>0</v>
      </c>
      <c r="N6877" t="n">
        <v>0</v>
      </c>
      <c r="O6877" t="n">
        <v>0</v>
      </c>
      <c r="P6877" t="n">
        <v>0</v>
      </c>
      <c r="Q6877" t="n">
        <v>0</v>
      </c>
      <c r="R6877" s="2" t="inlineStr"/>
    </row>
    <row r="6878" ht="15" customHeight="1">
      <c r="A6878" t="inlineStr">
        <is>
          <t>A 20907-2022</t>
        </is>
      </c>
      <c r="B6878" s="1" t="n">
        <v>44701</v>
      </c>
      <c r="C6878" s="1" t="n">
        <v>45736</v>
      </c>
      <c r="D6878" t="inlineStr">
        <is>
          <t>VÄRMLANDS LÄN</t>
        </is>
      </c>
      <c r="E6878" t="inlineStr">
        <is>
          <t>TORSBY</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20899-2022</t>
        </is>
      </c>
      <c r="B6879" s="1" t="n">
        <v>44701</v>
      </c>
      <c r="C6879" s="1" t="n">
        <v>45736</v>
      </c>
      <c r="D6879" t="inlineStr">
        <is>
          <t>VÄRMLANDS LÄN</t>
        </is>
      </c>
      <c r="E6879" t="inlineStr">
        <is>
          <t>TORSBY</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21128-2022</t>
        </is>
      </c>
      <c r="B6880" s="1" t="n">
        <v>44704</v>
      </c>
      <c r="C6880" s="1" t="n">
        <v>45736</v>
      </c>
      <c r="D6880" t="inlineStr">
        <is>
          <t>VÄRMLANDS LÄN</t>
        </is>
      </c>
      <c r="E6880" t="inlineStr">
        <is>
          <t>ARVIKA</t>
        </is>
      </c>
      <c r="F6880" t="inlineStr">
        <is>
          <t>Bergvik skog väst AB</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21052-2022</t>
        </is>
      </c>
      <c r="B6881" s="1" t="n">
        <v>44704</v>
      </c>
      <c r="C6881" s="1" t="n">
        <v>45736</v>
      </c>
      <c r="D6881" t="inlineStr">
        <is>
          <t>VÄRMLANDS LÄN</t>
        </is>
      </c>
      <c r="E6881" t="inlineStr">
        <is>
          <t>ARVIKA</t>
        </is>
      </c>
      <c r="F6881" t="inlineStr">
        <is>
          <t>Kyrkan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21069-2022</t>
        </is>
      </c>
      <c r="B6882" s="1" t="n">
        <v>44704</v>
      </c>
      <c r="C6882" s="1" t="n">
        <v>45736</v>
      </c>
      <c r="D6882" t="inlineStr">
        <is>
          <t>VÄRMLANDS LÄN</t>
        </is>
      </c>
      <c r="E6882" t="inlineStr">
        <is>
          <t>ARVIKA</t>
        </is>
      </c>
      <c r="F6882" t="inlineStr">
        <is>
          <t>Bergvik skog väst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21094-2022</t>
        </is>
      </c>
      <c r="B6883" s="1" t="n">
        <v>44704</v>
      </c>
      <c r="C6883" s="1" t="n">
        <v>45736</v>
      </c>
      <c r="D6883" t="inlineStr">
        <is>
          <t>VÄRMLANDS LÄN</t>
        </is>
      </c>
      <c r="E6883" t="inlineStr">
        <is>
          <t>TORSBY</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21070-2022</t>
        </is>
      </c>
      <c r="B6884" s="1" t="n">
        <v>44704</v>
      </c>
      <c r="C6884" s="1" t="n">
        <v>45736</v>
      </c>
      <c r="D6884" t="inlineStr">
        <is>
          <t>VÄRMLANDS LÄN</t>
        </is>
      </c>
      <c r="E6884" t="inlineStr">
        <is>
          <t>TORSBY</t>
        </is>
      </c>
      <c r="G6884" t="n">
        <v>13.7</v>
      </c>
      <c r="H6884" t="n">
        <v>0</v>
      </c>
      <c r="I6884" t="n">
        <v>0</v>
      </c>
      <c r="J6884" t="n">
        <v>0</v>
      </c>
      <c r="K6884" t="n">
        <v>0</v>
      </c>
      <c r="L6884" t="n">
        <v>0</v>
      </c>
      <c r="M6884" t="n">
        <v>0</v>
      </c>
      <c r="N6884" t="n">
        <v>0</v>
      </c>
      <c r="O6884" t="n">
        <v>0</v>
      </c>
      <c r="P6884" t="n">
        <v>0</v>
      </c>
      <c r="Q6884" t="n">
        <v>0</v>
      </c>
      <c r="R6884" s="2" t="inlineStr"/>
    </row>
    <row r="6885" ht="15" customHeight="1">
      <c r="A6885" t="inlineStr">
        <is>
          <t>A 21145-2022</t>
        </is>
      </c>
      <c r="B6885" s="1" t="n">
        <v>44704</v>
      </c>
      <c r="C6885" s="1" t="n">
        <v>45736</v>
      </c>
      <c r="D6885" t="inlineStr">
        <is>
          <t>VÄRMLANDS LÄN</t>
        </is>
      </c>
      <c r="E6885" t="inlineStr">
        <is>
          <t>ÅRJÄNG</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21089-2022</t>
        </is>
      </c>
      <c r="B6886" s="1" t="n">
        <v>44704</v>
      </c>
      <c r="C6886" s="1" t="n">
        <v>45736</v>
      </c>
      <c r="D6886" t="inlineStr">
        <is>
          <t>VÄRMLANDS LÄN</t>
        </is>
      </c>
      <c r="E6886" t="inlineStr">
        <is>
          <t>TORSBY</t>
        </is>
      </c>
      <c r="G6886" t="n">
        <v>13.4</v>
      </c>
      <c r="H6886" t="n">
        <v>0</v>
      </c>
      <c r="I6886" t="n">
        <v>0</v>
      </c>
      <c r="J6886" t="n">
        <v>0</v>
      </c>
      <c r="K6886" t="n">
        <v>0</v>
      </c>
      <c r="L6886" t="n">
        <v>0</v>
      </c>
      <c r="M6886" t="n">
        <v>0</v>
      </c>
      <c r="N6886" t="n">
        <v>0</v>
      </c>
      <c r="O6886" t="n">
        <v>0</v>
      </c>
      <c r="P6886" t="n">
        <v>0</v>
      </c>
      <c r="Q6886" t="n">
        <v>0</v>
      </c>
      <c r="R6886" s="2" t="inlineStr"/>
    </row>
    <row r="6887" ht="15" customHeight="1">
      <c r="A6887" t="inlineStr">
        <is>
          <t>A 21248-2022</t>
        </is>
      </c>
      <c r="B6887" s="1" t="n">
        <v>44705</v>
      </c>
      <c r="C6887" s="1" t="n">
        <v>45736</v>
      </c>
      <c r="D6887" t="inlineStr">
        <is>
          <t>VÄRMLANDS LÄN</t>
        </is>
      </c>
      <c r="E6887" t="inlineStr">
        <is>
          <t>GRUMS</t>
        </is>
      </c>
      <c r="G6887" t="n">
        <v>12.4</v>
      </c>
      <c r="H6887" t="n">
        <v>0</v>
      </c>
      <c r="I6887" t="n">
        <v>0</v>
      </c>
      <c r="J6887" t="n">
        <v>0</v>
      </c>
      <c r="K6887" t="n">
        <v>0</v>
      </c>
      <c r="L6887" t="n">
        <v>0</v>
      </c>
      <c r="M6887" t="n">
        <v>0</v>
      </c>
      <c r="N6887" t="n">
        <v>0</v>
      </c>
      <c r="O6887" t="n">
        <v>0</v>
      </c>
      <c r="P6887" t="n">
        <v>0</v>
      </c>
      <c r="Q6887" t="n">
        <v>0</v>
      </c>
      <c r="R6887" s="2" t="inlineStr"/>
    </row>
    <row r="6888" ht="15" customHeight="1">
      <c r="A6888" t="inlineStr">
        <is>
          <t>A 21311-2022</t>
        </is>
      </c>
      <c r="B6888" s="1" t="n">
        <v>44705</v>
      </c>
      <c r="C6888" s="1" t="n">
        <v>45736</v>
      </c>
      <c r="D6888" t="inlineStr">
        <is>
          <t>VÄRMLANDS LÄN</t>
        </is>
      </c>
      <c r="E6888" t="inlineStr">
        <is>
          <t>FILIPSTAD</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21342-2022</t>
        </is>
      </c>
      <c r="B6889" s="1" t="n">
        <v>44705</v>
      </c>
      <c r="C6889" s="1" t="n">
        <v>45736</v>
      </c>
      <c r="D6889" t="inlineStr">
        <is>
          <t>VÄRMLANDS LÄN</t>
        </is>
      </c>
      <c r="E6889" t="inlineStr">
        <is>
          <t>ARVIKA</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21348-2022</t>
        </is>
      </c>
      <c r="B6890" s="1" t="n">
        <v>44705</v>
      </c>
      <c r="C6890" s="1" t="n">
        <v>45736</v>
      </c>
      <c r="D6890" t="inlineStr">
        <is>
          <t>VÄRMLANDS LÄN</t>
        </is>
      </c>
      <c r="E6890" t="inlineStr">
        <is>
          <t>ARVIKA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21365-2022</t>
        </is>
      </c>
      <c r="B6891" s="1" t="n">
        <v>44705</v>
      </c>
      <c r="C6891" s="1" t="n">
        <v>45736</v>
      </c>
      <c r="D6891" t="inlineStr">
        <is>
          <t>VÄRMLANDS LÄN</t>
        </is>
      </c>
      <c r="E6891" t="inlineStr">
        <is>
          <t>ÅRJÄNG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21362-2022</t>
        </is>
      </c>
      <c r="B6892" s="1" t="n">
        <v>44705</v>
      </c>
      <c r="C6892" s="1" t="n">
        <v>45736</v>
      </c>
      <c r="D6892" t="inlineStr">
        <is>
          <t>VÄRMLANDS LÄN</t>
        </is>
      </c>
      <c r="E6892" t="inlineStr">
        <is>
          <t>ÅRJÄNG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21303-2022</t>
        </is>
      </c>
      <c r="B6893" s="1" t="n">
        <v>44705</v>
      </c>
      <c r="C6893" s="1" t="n">
        <v>45736</v>
      </c>
      <c r="D6893" t="inlineStr">
        <is>
          <t>VÄRMLANDS LÄN</t>
        </is>
      </c>
      <c r="E6893" t="inlineStr">
        <is>
          <t>ARVIKA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21323-2022</t>
        </is>
      </c>
      <c r="B6894" s="1" t="n">
        <v>44705</v>
      </c>
      <c r="C6894" s="1" t="n">
        <v>45736</v>
      </c>
      <c r="D6894" t="inlineStr">
        <is>
          <t>VÄRMLANDS LÄN</t>
        </is>
      </c>
      <c r="E6894" t="inlineStr">
        <is>
          <t>EDA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21385-2022</t>
        </is>
      </c>
      <c r="B6895" s="1" t="n">
        <v>44705</v>
      </c>
      <c r="C6895" s="1" t="n">
        <v>45736</v>
      </c>
      <c r="D6895" t="inlineStr">
        <is>
          <t>VÄRMLANDS LÄN</t>
        </is>
      </c>
      <c r="E6895" t="inlineStr">
        <is>
          <t>SUNNE</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21383-2022</t>
        </is>
      </c>
      <c r="B6896" s="1" t="n">
        <v>44705</v>
      </c>
      <c r="C6896" s="1" t="n">
        <v>45736</v>
      </c>
      <c r="D6896" t="inlineStr">
        <is>
          <t>VÄRMLANDS LÄN</t>
        </is>
      </c>
      <c r="E6896" t="inlineStr">
        <is>
          <t>ARVIKA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21435-2022</t>
        </is>
      </c>
      <c r="B6897" s="1" t="n">
        <v>44706</v>
      </c>
      <c r="C6897" s="1" t="n">
        <v>45736</v>
      </c>
      <c r="D6897" t="inlineStr">
        <is>
          <t>VÄRMLANDS LÄN</t>
        </is>
      </c>
      <c r="E6897" t="inlineStr">
        <is>
          <t>ARVIKA</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21448-2022</t>
        </is>
      </c>
      <c r="B6898" s="1" t="n">
        <v>44706</v>
      </c>
      <c r="C6898" s="1" t="n">
        <v>45736</v>
      </c>
      <c r="D6898" t="inlineStr">
        <is>
          <t>VÄRMLANDS LÄN</t>
        </is>
      </c>
      <c r="E6898" t="inlineStr">
        <is>
          <t>ÅRJÄNG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21469-2022</t>
        </is>
      </c>
      <c r="B6899" s="1" t="n">
        <v>44706</v>
      </c>
      <c r="C6899" s="1" t="n">
        <v>45736</v>
      </c>
      <c r="D6899" t="inlineStr">
        <is>
          <t>VÄRMLANDS LÄN</t>
        </is>
      </c>
      <c r="E6899" t="inlineStr">
        <is>
          <t>SUNNE</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21498-2022</t>
        </is>
      </c>
      <c r="B6900" s="1" t="n">
        <v>44706</v>
      </c>
      <c r="C6900" s="1" t="n">
        <v>45736</v>
      </c>
      <c r="D6900" t="inlineStr">
        <is>
          <t>VÄRMLANDS LÄN</t>
        </is>
      </c>
      <c r="E6900" t="inlineStr">
        <is>
          <t>KARLSTAD</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21507-2022</t>
        </is>
      </c>
      <c r="B6901" s="1" t="n">
        <v>44706</v>
      </c>
      <c r="C6901" s="1" t="n">
        <v>45736</v>
      </c>
      <c r="D6901" t="inlineStr">
        <is>
          <t>VÄRMLANDS LÄN</t>
        </is>
      </c>
      <c r="E6901" t="inlineStr">
        <is>
          <t>ARVIKA</t>
        </is>
      </c>
      <c r="F6901" t="inlineStr">
        <is>
          <t>Bergvik skog väst AB</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21516-2022</t>
        </is>
      </c>
      <c r="B6902" s="1" t="n">
        <v>44706</v>
      </c>
      <c r="C6902" s="1" t="n">
        <v>45736</v>
      </c>
      <c r="D6902" t="inlineStr">
        <is>
          <t>VÄRMLANDS LÄN</t>
        </is>
      </c>
      <c r="E6902" t="inlineStr">
        <is>
          <t>TORSBY</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21433-2022</t>
        </is>
      </c>
      <c r="B6903" s="1" t="n">
        <v>44706</v>
      </c>
      <c r="C6903" s="1" t="n">
        <v>45736</v>
      </c>
      <c r="D6903" t="inlineStr">
        <is>
          <t>VÄRMLANDS LÄN</t>
        </is>
      </c>
      <c r="E6903" t="inlineStr">
        <is>
          <t>ARVIKA</t>
        </is>
      </c>
      <c r="F6903" t="inlineStr">
        <is>
          <t>Bergvik skog väst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21443-2022</t>
        </is>
      </c>
      <c r="B6904" s="1" t="n">
        <v>44706</v>
      </c>
      <c r="C6904" s="1" t="n">
        <v>45736</v>
      </c>
      <c r="D6904" t="inlineStr">
        <is>
          <t>VÄRMLANDS LÄN</t>
        </is>
      </c>
      <c r="E6904" t="inlineStr">
        <is>
          <t>ÅRJÄNG</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21432-2022</t>
        </is>
      </c>
      <c r="B6905" s="1" t="n">
        <v>44706</v>
      </c>
      <c r="C6905" s="1" t="n">
        <v>45736</v>
      </c>
      <c r="D6905" t="inlineStr">
        <is>
          <t>VÄRMLANDS LÄN</t>
        </is>
      </c>
      <c r="E6905" t="inlineStr">
        <is>
          <t>ARVIKA</t>
        </is>
      </c>
      <c r="F6905" t="inlineStr">
        <is>
          <t>Bergvik skog väst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21442-2022</t>
        </is>
      </c>
      <c r="B6906" s="1" t="n">
        <v>44706</v>
      </c>
      <c r="C6906" s="1" t="n">
        <v>45736</v>
      </c>
      <c r="D6906" t="inlineStr">
        <is>
          <t>VÄRMLANDS LÄN</t>
        </is>
      </c>
      <c r="E6906" t="inlineStr">
        <is>
          <t>HAGFORS</t>
        </is>
      </c>
      <c r="F6906" t="inlineStr">
        <is>
          <t>Bergvik skog väst AB</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21465-2022</t>
        </is>
      </c>
      <c r="B6907" s="1" t="n">
        <v>44706</v>
      </c>
      <c r="C6907" s="1" t="n">
        <v>45736</v>
      </c>
      <c r="D6907" t="inlineStr">
        <is>
          <t>VÄRMLANDS LÄN</t>
        </is>
      </c>
      <c r="E6907" t="inlineStr">
        <is>
          <t>TORSBY</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21434-2022</t>
        </is>
      </c>
      <c r="B6908" s="1" t="n">
        <v>44706</v>
      </c>
      <c r="C6908" s="1" t="n">
        <v>45736</v>
      </c>
      <c r="D6908" t="inlineStr">
        <is>
          <t>VÄRMLANDS LÄN</t>
        </is>
      </c>
      <c r="E6908" t="inlineStr">
        <is>
          <t>FORSHAGA</t>
        </is>
      </c>
      <c r="F6908" t="inlineStr">
        <is>
          <t>Bergvik skog väst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21515-2022</t>
        </is>
      </c>
      <c r="B6909" s="1" t="n">
        <v>44706</v>
      </c>
      <c r="C6909" s="1" t="n">
        <v>45736</v>
      </c>
      <c r="D6909" t="inlineStr">
        <is>
          <t>VÄRMLANDS LÄN</t>
        </is>
      </c>
      <c r="E6909" t="inlineStr">
        <is>
          <t>KRISTINEHAMN</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21521-2022</t>
        </is>
      </c>
      <c r="B6910" s="1" t="n">
        <v>44706</v>
      </c>
      <c r="C6910" s="1" t="n">
        <v>45736</v>
      </c>
      <c r="D6910" t="inlineStr">
        <is>
          <t>VÄRMLANDS LÄN</t>
        </is>
      </c>
      <c r="E6910" t="inlineStr">
        <is>
          <t>TORSBY</t>
        </is>
      </c>
      <c r="G6910" t="n">
        <v>0.1</v>
      </c>
      <c r="H6910" t="n">
        <v>0</v>
      </c>
      <c r="I6910" t="n">
        <v>0</v>
      </c>
      <c r="J6910" t="n">
        <v>0</v>
      </c>
      <c r="K6910" t="n">
        <v>0</v>
      </c>
      <c r="L6910" t="n">
        <v>0</v>
      </c>
      <c r="M6910" t="n">
        <v>0</v>
      </c>
      <c r="N6910" t="n">
        <v>0</v>
      </c>
      <c r="O6910" t="n">
        <v>0</v>
      </c>
      <c r="P6910" t="n">
        <v>0</v>
      </c>
      <c r="Q6910" t="n">
        <v>0</v>
      </c>
      <c r="R6910" s="2" t="inlineStr"/>
    </row>
    <row r="6911" ht="15" customHeight="1">
      <c r="A6911" t="inlineStr">
        <is>
          <t>A 21549-2022</t>
        </is>
      </c>
      <c r="B6911" s="1" t="n">
        <v>44706</v>
      </c>
      <c r="C6911" s="1" t="n">
        <v>45736</v>
      </c>
      <c r="D6911" t="inlineStr">
        <is>
          <t>VÄRMLANDS LÄN</t>
        </is>
      </c>
      <c r="E6911" t="inlineStr">
        <is>
          <t>KRISTINEHAMN</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21599-2022</t>
        </is>
      </c>
      <c r="B6912" s="1" t="n">
        <v>44706</v>
      </c>
      <c r="C6912" s="1" t="n">
        <v>45736</v>
      </c>
      <c r="D6912" t="inlineStr">
        <is>
          <t>VÄRMLANDS LÄN</t>
        </is>
      </c>
      <c r="E6912" t="inlineStr">
        <is>
          <t>HAGFORS</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21609-2022</t>
        </is>
      </c>
      <c r="B6913" s="1" t="n">
        <v>44706</v>
      </c>
      <c r="C6913" s="1" t="n">
        <v>45736</v>
      </c>
      <c r="D6913" t="inlineStr">
        <is>
          <t>VÄRMLANDS LÄN</t>
        </is>
      </c>
      <c r="E6913" t="inlineStr">
        <is>
          <t>KARLSTAD</t>
        </is>
      </c>
      <c r="F6913" t="inlineStr">
        <is>
          <t>Bergvik skog väst AB</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21566-2022</t>
        </is>
      </c>
      <c r="B6914" s="1" t="n">
        <v>44706</v>
      </c>
      <c r="C6914" s="1" t="n">
        <v>45736</v>
      </c>
      <c r="D6914" t="inlineStr">
        <is>
          <t>VÄRMLANDS LÄN</t>
        </is>
      </c>
      <c r="E6914" t="inlineStr">
        <is>
          <t>ARVIKA</t>
        </is>
      </c>
      <c r="F6914" t="inlineStr">
        <is>
          <t>Bergvik skog väst AB</t>
        </is>
      </c>
      <c r="G6914" t="n">
        <v>18.4</v>
      </c>
      <c r="H6914" t="n">
        <v>0</v>
      </c>
      <c r="I6914" t="n">
        <v>0</v>
      </c>
      <c r="J6914" t="n">
        <v>0</v>
      </c>
      <c r="K6914" t="n">
        <v>0</v>
      </c>
      <c r="L6914" t="n">
        <v>0</v>
      </c>
      <c r="M6914" t="n">
        <v>0</v>
      </c>
      <c r="N6914" t="n">
        <v>0</v>
      </c>
      <c r="O6914" t="n">
        <v>0</v>
      </c>
      <c r="P6914" t="n">
        <v>0</v>
      </c>
      <c r="Q6914" t="n">
        <v>0</v>
      </c>
      <c r="R6914" s="2" t="inlineStr"/>
    </row>
    <row r="6915" ht="15" customHeight="1">
      <c r="A6915" t="inlineStr">
        <is>
          <t>A 21679-2022</t>
        </is>
      </c>
      <c r="B6915" s="1" t="n">
        <v>44707</v>
      </c>
      <c r="C6915" s="1" t="n">
        <v>45736</v>
      </c>
      <c r="D6915" t="inlineStr">
        <is>
          <t>VÄRMLANDS LÄN</t>
        </is>
      </c>
      <c r="E6915" t="inlineStr">
        <is>
          <t>KRISTINEHAMN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21680-2022</t>
        </is>
      </c>
      <c r="B6916" s="1" t="n">
        <v>44707</v>
      </c>
      <c r="C6916" s="1" t="n">
        <v>45736</v>
      </c>
      <c r="D6916" t="inlineStr">
        <is>
          <t>VÄRMLANDS LÄN</t>
        </is>
      </c>
      <c r="E6916" t="inlineStr">
        <is>
          <t>KRISTINEHAMN</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25799-2022</t>
        </is>
      </c>
      <c r="B6917" s="1" t="n">
        <v>44708</v>
      </c>
      <c r="C6917" s="1" t="n">
        <v>45736</v>
      </c>
      <c r="D6917" t="inlineStr">
        <is>
          <t>VÄRMLANDS LÄN</t>
        </is>
      </c>
      <c r="E6917" t="inlineStr">
        <is>
          <t>KARLSTAD</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22158-2022</t>
        </is>
      </c>
      <c r="B6918" s="1" t="n">
        <v>44708</v>
      </c>
      <c r="C6918" s="1" t="n">
        <v>45736</v>
      </c>
      <c r="D6918" t="inlineStr">
        <is>
          <t>VÄRMLANDS LÄN</t>
        </is>
      </c>
      <c r="E6918" t="inlineStr">
        <is>
          <t>TORSBY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25791-2022</t>
        </is>
      </c>
      <c r="B6919" s="1" t="n">
        <v>44708</v>
      </c>
      <c r="C6919" s="1" t="n">
        <v>45736</v>
      </c>
      <c r="D6919" t="inlineStr">
        <is>
          <t>VÄRMLANDS LÄN</t>
        </is>
      </c>
      <c r="E6919" t="inlineStr">
        <is>
          <t>KARLSTAD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21821-2022</t>
        </is>
      </c>
      <c r="B6920" s="1" t="n">
        <v>44709</v>
      </c>
      <c r="C6920" s="1" t="n">
        <v>45736</v>
      </c>
      <c r="D6920" t="inlineStr">
        <is>
          <t>VÄRMLANDS LÄN</t>
        </is>
      </c>
      <c r="E6920" t="inlineStr">
        <is>
          <t>SÄFFLE</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21949-2022</t>
        </is>
      </c>
      <c r="B6921" s="1" t="n">
        <v>44711</v>
      </c>
      <c r="C6921" s="1" t="n">
        <v>45736</v>
      </c>
      <c r="D6921" t="inlineStr">
        <is>
          <t>VÄRMLANDS LÄN</t>
        </is>
      </c>
      <c r="E6921" t="inlineStr">
        <is>
          <t>HAGFORS</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21979-2022</t>
        </is>
      </c>
      <c r="B6922" s="1" t="n">
        <v>44711</v>
      </c>
      <c r="C6922" s="1" t="n">
        <v>45736</v>
      </c>
      <c r="D6922" t="inlineStr">
        <is>
          <t>VÄRMLANDS LÄN</t>
        </is>
      </c>
      <c r="E6922" t="inlineStr">
        <is>
          <t>ARVIKA</t>
        </is>
      </c>
      <c r="F6922" t="inlineStr">
        <is>
          <t>Bergvik skog väst AB</t>
        </is>
      </c>
      <c r="G6922" t="n">
        <v>20.1</v>
      </c>
      <c r="H6922" t="n">
        <v>0</v>
      </c>
      <c r="I6922" t="n">
        <v>0</v>
      </c>
      <c r="J6922" t="n">
        <v>0</v>
      </c>
      <c r="K6922" t="n">
        <v>0</v>
      </c>
      <c r="L6922" t="n">
        <v>0</v>
      </c>
      <c r="M6922" t="n">
        <v>0</v>
      </c>
      <c r="N6922" t="n">
        <v>0</v>
      </c>
      <c r="O6922" t="n">
        <v>0</v>
      </c>
      <c r="P6922" t="n">
        <v>0</v>
      </c>
      <c r="Q6922" t="n">
        <v>0</v>
      </c>
      <c r="R6922" s="2" t="inlineStr"/>
    </row>
    <row r="6923" ht="15" customHeight="1">
      <c r="A6923" t="inlineStr">
        <is>
          <t>A 21939-2022</t>
        </is>
      </c>
      <c r="B6923" s="1" t="n">
        <v>44711</v>
      </c>
      <c r="C6923" s="1" t="n">
        <v>45736</v>
      </c>
      <c r="D6923" t="inlineStr">
        <is>
          <t>VÄRMLANDS LÄN</t>
        </is>
      </c>
      <c r="E6923" t="inlineStr">
        <is>
          <t>ÅRJÄNG</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21978-2022</t>
        </is>
      </c>
      <c r="B6924" s="1" t="n">
        <v>44711</v>
      </c>
      <c r="C6924" s="1" t="n">
        <v>45736</v>
      </c>
      <c r="D6924" t="inlineStr">
        <is>
          <t>VÄRMLANDS LÄN</t>
        </is>
      </c>
      <c r="E6924" t="inlineStr">
        <is>
          <t>ARVIKA</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22025-2022</t>
        </is>
      </c>
      <c r="B6925" s="1" t="n">
        <v>44711</v>
      </c>
      <c r="C6925" s="1" t="n">
        <v>45736</v>
      </c>
      <c r="D6925" t="inlineStr">
        <is>
          <t>VÄRMLANDS LÄN</t>
        </is>
      </c>
      <c r="E6925" t="inlineStr">
        <is>
          <t>KIL</t>
        </is>
      </c>
      <c r="F6925" t="inlineStr">
        <is>
          <t>Bergvik skog väst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22057-2022</t>
        </is>
      </c>
      <c r="B6926" s="1" t="n">
        <v>44711</v>
      </c>
      <c r="C6926" s="1" t="n">
        <v>45736</v>
      </c>
      <c r="D6926" t="inlineStr">
        <is>
          <t>VÄRMLANDS LÄN</t>
        </is>
      </c>
      <c r="E6926" t="inlineStr">
        <is>
          <t>SÄFFLE</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22006-2022</t>
        </is>
      </c>
      <c r="B6927" s="1" t="n">
        <v>44711</v>
      </c>
      <c r="C6927" s="1" t="n">
        <v>45736</v>
      </c>
      <c r="D6927" t="inlineStr">
        <is>
          <t>VÄRMLANDS LÄN</t>
        </is>
      </c>
      <c r="E6927" t="inlineStr">
        <is>
          <t>KARLSTAD</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22124-2022</t>
        </is>
      </c>
      <c r="B6928" s="1" t="n">
        <v>44712</v>
      </c>
      <c r="C6928" s="1" t="n">
        <v>45736</v>
      </c>
      <c r="D6928" t="inlineStr">
        <is>
          <t>VÄRMLANDS LÄN</t>
        </is>
      </c>
      <c r="E6928" t="inlineStr">
        <is>
          <t>TORSBY</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22167-2022</t>
        </is>
      </c>
      <c r="B6929" s="1" t="n">
        <v>44712</v>
      </c>
      <c r="C6929" s="1" t="n">
        <v>45736</v>
      </c>
      <c r="D6929" t="inlineStr">
        <is>
          <t>VÄRMLANDS LÄN</t>
        </is>
      </c>
      <c r="E6929" t="inlineStr">
        <is>
          <t>ÅRJÄNG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22205-2022</t>
        </is>
      </c>
      <c r="B6930" s="1" t="n">
        <v>44712</v>
      </c>
      <c r="C6930" s="1" t="n">
        <v>45736</v>
      </c>
      <c r="D6930" t="inlineStr">
        <is>
          <t>VÄRMLANDS LÄN</t>
        </is>
      </c>
      <c r="E6930" t="inlineStr">
        <is>
          <t>KARLSTAD</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22121-2022</t>
        </is>
      </c>
      <c r="B6931" s="1" t="n">
        <v>44712</v>
      </c>
      <c r="C6931" s="1" t="n">
        <v>45736</v>
      </c>
      <c r="D6931" t="inlineStr">
        <is>
          <t>VÄRMLANDS LÄN</t>
        </is>
      </c>
      <c r="E6931" t="inlineStr">
        <is>
          <t>SUNNE</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22150-2022</t>
        </is>
      </c>
      <c r="B6932" s="1" t="n">
        <v>44712</v>
      </c>
      <c r="C6932" s="1" t="n">
        <v>45736</v>
      </c>
      <c r="D6932" t="inlineStr">
        <is>
          <t>VÄRMLANDS LÄN</t>
        </is>
      </c>
      <c r="E6932" t="inlineStr">
        <is>
          <t>EDA</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22163-2022</t>
        </is>
      </c>
      <c r="B6933" s="1" t="n">
        <v>44712</v>
      </c>
      <c r="C6933" s="1" t="n">
        <v>45736</v>
      </c>
      <c r="D6933" t="inlineStr">
        <is>
          <t>VÄRMLANDS LÄN</t>
        </is>
      </c>
      <c r="E6933" t="inlineStr">
        <is>
          <t>EDA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22181-2022</t>
        </is>
      </c>
      <c r="B6934" s="1" t="n">
        <v>44712</v>
      </c>
      <c r="C6934" s="1" t="n">
        <v>45736</v>
      </c>
      <c r="D6934" t="inlineStr">
        <is>
          <t>VÄRMLANDS LÄN</t>
        </is>
      </c>
      <c r="E6934" t="inlineStr">
        <is>
          <t>HAGFORS</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22192-2022</t>
        </is>
      </c>
      <c r="B6935" s="1" t="n">
        <v>44712</v>
      </c>
      <c r="C6935" s="1" t="n">
        <v>45736</v>
      </c>
      <c r="D6935" t="inlineStr">
        <is>
          <t>VÄRMLANDS LÄN</t>
        </is>
      </c>
      <c r="E6935" t="inlineStr">
        <is>
          <t>SUNNE</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22201-2022</t>
        </is>
      </c>
      <c r="B6936" s="1" t="n">
        <v>44712</v>
      </c>
      <c r="C6936" s="1" t="n">
        <v>45736</v>
      </c>
      <c r="D6936" t="inlineStr">
        <is>
          <t>VÄRMLANDS LÄN</t>
        </is>
      </c>
      <c r="E6936" t="inlineStr">
        <is>
          <t>KRISTINEHAMN</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22234-2022</t>
        </is>
      </c>
      <c r="B6937" s="1" t="n">
        <v>44712</v>
      </c>
      <c r="C6937" s="1" t="n">
        <v>45736</v>
      </c>
      <c r="D6937" t="inlineStr">
        <is>
          <t>VÄRMLANDS LÄN</t>
        </is>
      </c>
      <c r="E6937" t="inlineStr">
        <is>
          <t>MUNKFORS</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22290-2022</t>
        </is>
      </c>
      <c r="B6938" s="1" t="n">
        <v>44712</v>
      </c>
      <c r="C6938" s="1" t="n">
        <v>45736</v>
      </c>
      <c r="D6938" t="inlineStr">
        <is>
          <t>VÄRMLANDS LÄN</t>
        </is>
      </c>
      <c r="E6938" t="inlineStr">
        <is>
          <t>ARVIKA</t>
        </is>
      </c>
      <c r="F6938" t="inlineStr">
        <is>
          <t>Bergvik skog väst AB</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22356-2022</t>
        </is>
      </c>
      <c r="B6939" s="1" t="n">
        <v>44713</v>
      </c>
      <c r="C6939" s="1" t="n">
        <v>45736</v>
      </c>
      <c r="D6939" t="inlineStr">
        <is>
          <t>VÄRMLANDS LÄN</t>
        </is>
      </c>
      <c r="E6939" t="inlineStr">
        <is>
          <t>FILIPSTAD</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22491-2022</t>
        </is>
      </c>
      <c r="B6940" s="1" t="n">
        <v>44713</v>
      </c>
      <c r="C6940" s="1" t="n">
        <v>45736</v>
      </c>
      <c r="D6940" t="inlineStr">
        <is>
          <t>VÄRMLANDS LÄN</t>
        </is>
      </c>
      <c r="E6940" t="inlineStr">
        <is>
          <t>SUNNE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22514-2022</t>
        </is>
      </c>
      <c r="B6941" s="1" t="n">
        <v>44713</v>
      </c>
      <c r="C6941" s="1" t="n">
        <v>45736</v>
      </c>
      <c r="D6941" t="inlineStr">
        <is>
          <t>VÄRMLANDS LÄN</t>
        </is>
      </c>
      <c r="E6941" t="inlineStr">
        <is>
          <t>ARVIKA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22519-2022</t>
        </is>
      </c>
      <c r="B6942" s="1" t="n">
        <v>44713</v>
      </c>
      <c r="C6942" s="1" t="n">
        <v>45736</v>
      </c>
      <c r="D6942" t="inlineStr">
        <is>
          <t>VÄRMLANDS LÄN</t>
        </is>
      </c>
      <c r="E6942" t="inlineStr">
        <is>
          <t>ARVIKA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22604-2022</t>
        </is>
      </c>
      <c r="B6943" s="1" t="n">
        <v>44714</v>
      </c>
      <c r="C6943" s="1" t="n">
        <v>45736</v>
      </c>
      <c r="D6943" t="inlineStr">
        <is>
          <t>VÄRMLANDS LÄN</t>
        </is>
      </c>
      <c r="E6943" t="inlineStr">
        <is>
          <t>ARVIKA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22600-2022</t>
        </is>
      </c>
      <c r="B6944" s="1" t="n">
        <v>44714</v>
      </c>
      <c r="C6944" s="1" t="n">
        <v>45736</v>
      </c>
      <c r="D6944" t="inlineStr">
        <is>
          <t>VÄRMLANDS LÄN</t>
        </is>
      </c>
      <c r="E6944" t="inlineStr">
        <is>
          <t>ARVIKA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22635-2022</t>
        </is>
      </c>
      <c r="B6945" s="1" t="n">
        <v>44714</v>
      </c>
      <c r="C6945" s="1" t="n">
        <v>45736</v>
      </c>
      <c r="D6945" t="inlineStr">
        <is>
          <t>VÄRMLANDS LÄN</t>
        </is>
      </c>
      <c r="E6945" t="inlineStr">
        <is>
          <t>TORSBY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22662-2022</t>
        </is>
      </c>
      <c r="B6946" s="1" t="n">
        <v>44714</v>
      </c>
      <c r="C6946" s="1" t="n">
        <v>45736</v>
      </c>
      <c r="D6946" t="inlineStr">
        <is>
          <t>VÄRMLANDS LÄN</t>
        </is>
      </c>
      <c r="E6946" t="inlineStr">
        <is>
          <t>TORSBY</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22721-2022</t>
        </is>
      </c>
      <c r="B6947" s="1" t="n">
        <v>44714</v>
      </c>
      <c r="C6947" s="1" t="n">
        <v>45736</v>
      </c>
      <c r="D6947" t="inlineStr">
        <is>
          <t>VÄRMLANDS LÄN</t>
        </is>
      </c>
      <c r="E6947" t="inlineStr">
        <is>
          <t>EDA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22701-2022</t>
        </is>
      </c>
      <c r="B6948" s="1" t="n">
        <v>44714</v>
      </c>
      <c r="C6948" s="1" t="n">
        <v>45736</v>
      </c>
      <c r="D6948" t="inlineStr">
        <is>
          <t>VÄRMLANDS LÄN</t>
        </is>
      </c>
      <c r="E6948" t="inlineStr">
        <is>
          <t>SUNNE</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22719-2022</t>
        </is>
      </c>
      <c r="B6949" s="1" t="n">
        <v>44714</v>
      </c>
      <c r="C6949" s="1" t="n">
        <v>45736</v>
      </c>
      <c r="D6949" t="inlineStr">
        <is>
          <t>VÄRMLANDS LÄN</t>
        </is>
      </c>
      <c r="E6949" t="inlineStr">
        <is>
          <t>EDA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22826-2022</t>
        </is>
      </c>
      <c r="B6950" s="1" t="n">
        <v>44714</v>
      </c>
      <c r="C6950" s="1" t="n">
        <v>45736</v>
      </c>
      <c r="D6950" t="inlineStr">
        <is>
          <t>VÄRMLANDS LÄN</t>
        </is>
      </c>
      <c r="E6950" t="inlineStr">
        <is>
          <t>TORSBY</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22823-2022</t>
        </is>
      </c>
      <c r="B6951" s="1" t="n">
        <v>44714</v>
      </c>
      <c r="C6951" s="1" t="n">
        <v>45736</v>
      </c>
      <c r="D6951" t="inlineStr">
        <is>
          <t>VÄRMLANDS LÄN</t>
        </is>
      </c>
      <c r="E6951" t="inlineStr">
        <is>
          <t>TORSBY</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22798-2022</t>
        </is>
      </c>
      <c r="B6952" s="1" t="n">
        <v>44715</v>
      </c>
      <c r="C6952" s="1" t="n">
        <v>45736</v>
      </c>
      <c r="D6952" t="inlineStr">
        <is>
          <t>VÄRMLANDS LÄN</t>
        </is>
      </c>
      <c r="E6952" t="inlineStr">
        <is>
          <t>KARLSTAD</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22921-2022</t>
        </is>
      </c>
      <c r="B6953" s="1" t="n">
        <v>44715</v>
      </c>
      <c r="C6953" s="1" t="n">
        <v>45736</v>
      </c>
      <c r="D6953" t="inlineStr">
        <is>
          <t>VÄRMLANDS LÄN</t>
        </is>
      </c>
      <c r="E6953" t="inlineStr">
        <is>
          <t>ÅRJÄNG</t>
        </is>
      </c>
      <c r="F6953" t="inlineStr">
        <is>
          <t>Bergvik skog väst AB</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22951-2022</t>
        </is>
      </c>
      <c r="B6954" s="1" t="n">
        <v>44716</v>
      </c>
      <c r="C6954" s="1" t="n">
        <v>45736</v>
      </c>
      <c r="D6954" t="inlineStr">
        <is>
          <t>VÄRMLANDS LÄN</t>
        </is>
      </c>
      <c r="E6954" t="inlineStr">
        <is>
          <t>ARVIKA</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23072-2022</t>
        </is>
      </c>
      <c r="B6955" s="1" t="n">
        <v>44718</v>
      </c>
      <c r="C6955" s="1" t="n">
        <v>45736</v>
      </c>
      <c r="D6955" t="inlineStr">
        <is>
          <t>VÄRMLANDS LÄN</t>
        </is>
      </c>
      <c r="E6955" t="inlineStr">
        <is>
          <t>ARVIKA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23075-2022</t>
        </is>
      </c>
      <c r="B6956" s="1" t="n">
        <v>44718</v>
      </c>
      <c r="C6956" s="1" t="n">
        <v>45736</v>
      </c>
      <c r="D6956" t="inlineStr">
        <is>
          <t>VÄRMLANDS LÄN</t>
        </is>
      </c>
      <c r="E6956" t="inlineStr">
        <is>
          <t>ARVIKA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23061-2022</t>
        </is>
      </c>
      <c r="B6957" s="1" t="n">
        <v>44718</v>
      </c>
      <c r="C6957" s="1" t="n">
        <v>45736</v>
      </c>
      <c r="D6957" t="inlineStr">
        <is>
          <t>VÄRMLANDS LÄN</t>
        </is>
      </c>
      <c r="E6957" t="inlineStr">
        <is>
          <t>ARVIKA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23047-2022</t>
        </is>
      </c>
      <c r="B6958" s="1" t="n">
        <v>44718</v>
      </c>
      <c r="C6958" s="1" t="n">
        <v>45736</v>
      </c>
      <c r="D6958" t="inlineStr">
        <is>
          <t>VÄRMLANDS LÄN</t>
        </is>
      </c>
      <c r="E6958" t="inlineStr">
        <is>
          <t>ARVIKA</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23078-2022</t>
        </is>
      </c>
      <c r="B6959" s="1" t="n">
        <v>44718</v>
      </c>
      <c r="C6959" s="1" t="n">
        <v>45736</v>
      </c>
      <c r="D6959" t="inlineStr">
        <is>
          <t>VÄRMLANDS LÄN</t>
        </is>
      </c>
      <c r="E6959" t="inlineStr">
        <is>
          <t>ARVIKA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23116-2022</t>
        </is>
      </c>
      <c r="B6960" s="1" t="n">
        <v>44719</v>
      </c>
      <c r="C6960" s="1" t="n">
        <v>45736</v>
      </c>
      <c r="D6960" t="inlineStr">
        <is>
          <t>VÄRMLANDS LÄN</t>
        </is>
      </c>
      <c r="E6960" t="inlineStr">
        <is>
          <t>HAGFORS</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23062-2022</t>
        </is>
      </c>
      <c r="B6961" s="1" t="n">
        <v>44719</v>
      </c>
      <c r="C6961" s="1" t="n">
        <v>45736</v>
      </c>
      <c r="D6961" t="inlineStr">
        <is>
          <t>VÄRMLANDS LÄN</t>
        </is>
      </c>
      <c r="E6961" t="inlineStr">
        <is>
          <t>SUNNE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23073-2022</t>
        </is>
      </c>
      <c r="B6962" s="1" t="n">
        <v>44719</v>
      </c>
      <c r="C6962" s="1" t="n">
        <v>45736</v>
      </c>
      <c r="D6962" t="inlineStr">
        <is>
          <t>VÄRMLANDS LÄN</t>
        </is>
      </c>
      <c r="E6962" t="inlineStr">
        <is>
          <t>ARVIKA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23086-2022</t>
        </is>
      </c>
      <c r="B6963" s="1" t="n">
        <v>44719</v>
      </c>
      <c r="C6963" s="1" t="n">
        <v>45736</v>
      </c>
      <c r="D6963" t="inlineStr">
        <is>
          <t>VÄRMLANDS LÄN</t>
        </is>
      </c>
      <c r="E6963" t="inlineStr">
        <is>
          <t>SÄFFLE</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23090-2022</t>
        </is>
      </c>
      <c r="B6964" s="1" t="n">
        <v>44719</v>
      </c>
      <c r="C6964" s="1" t="n">
        <v>45736</v>
      </c>
      <c r="D6964" t="inlineStr">
        <is>
          <t>VÄRMLANDS LÄN</t>
        </is>
      </c>
      <c r="E6964" t="inlineStr">
        <is>
          <t>SÄFFLE</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23095-2022</t>
        </is>
      </c>
      <c r="B6965" s="1" t="n">
        <v>44719</v>
      </c>
      <c r="C6965" s="1" t="n">
        <v>45736</v>
      </c>
      <c r="D6965" t="inlineStr">
        <is>
          <t>VÄRMLANDS LÄN</t>
        </is>
      </c>
      <c r="E6965" t="inlineStr">
        <is>
          <t>SÄFFLE</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23134-2022</t>
        </is>
      </c>
      <c r="B6966" s="1" t="n">
        <v>44719</v>
      </c>
      <c r="C6966" s="1" t="n">
        <v>45736</v>
      </c>
      <c r="D6966" t="inlineStr">
        <is>
          <t>VÄRMLANDS LÄN</t>
        </is>
      </c>
      <c r="E6966" t="inlineStr">
        <is>
          <t>SUNNE</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23155-2022</t>
        </is>
      </c>
      <c r="B6967" s="1" t="n">
        <v>44719</v>
      </c>
      <c r="C6967" s="1" t="n">
        <v>45736</v>
      </c>
      <c r="D6967" t="inlineStr">
        <is>
          <t>VÄRMLANDS LÄN</t>
        </is>
      </c>
      <c r="E6967" t="inlineStr">
        <is>
          <t>EDA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23157-2022</t>
        </is>
      </c>
      <c r="B6968" s="1" t="n">
        <v>44719</v>
      </c>
      <c r="C6968" s="1" t="n">
        <v>45736</v>
      </c>
      <c r="D6968" t="inlineStr">
        <is>
          <t>VÄRMLANDS LÄN</t>
        </is>
      </c>
      <c r="E6968" t="inlineStr">
        <is>
          <t>EDA</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23144-2022</t>
        </is>
      </c>
      <c r="B6969" s="1" t="n">
        <v>44719</v>
      </c>
      <c r="C6969" s="1" t="n">
        <v>45736</v>
      </c>
      <c r="D6969" t="inlineStr">
        <is>
          <t>VÄRMLANDS LÄN</t>
        </is>
      </c>
      <c r="E6969" t="inlineStr">
        <is>
          <t>ÅRJÄNG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23185-2022</t>
        </is>
      </c>
      <c r="B6970" s="1" t="n">
        <v>44719</v>
      </c>
      <c r="C6970" s="1" t="n">
        <v>45736</v>
      </c>
      <c r="D6970" t="inlineStr">
        <is>
          <t>VÄRMLANDS LÄN</t>
        </is>
      </c>
      <c r="E6970" t="inlineStr">
        <is>
          <t>TORSBY</t>
        </is>
      </c>
      <c r="F6970" t="inlineStr">
        <is>
          <t>Naturvårdsverket</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23063-2022</t>
        </is>
      </c>
      <c r="B6971" s="1" t="n">
        <v>44719</v>
      </c>
      <c r="C6971" s="1" t="n">
        <v>45736</v>
      </c>
      <c r="D6971" t="inlineStr">
        <is>
          <t>VÄRMLANDS LÄN</t>
        </is>
      </c>
      <c r="E6971" t="inlineStr">
        <is>
          <t>FILIPSTAD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23020-2022</t>
        </is>
      </c>
      <c r="B6972" s="1" t="n">
        <v>44719</v>
      </c>
      <c r="C6972" s="1" t="n">
        <v>45736</v>
      </c>
      <c r="D6972" t="inlineStr">
        <is>
          <t>VÄRMLANDS LÄN</t>
        </is>
      </c>
      <c r="E6972" t="inlineStr">
        <is>
          <t>FORSHAGA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23011-2022</t>
        </is>
      </c>
      <c r="B6973" s="1" t="n">
        <v>44719</v>
      </c>
      <c r="C6973" s="1" t="n">
        <v>45736</v>
      </c>
      <c r="D6973" t="inlineStr">
        <is>
          <t>VÄRMLANDS LÄN</t>
        </is>
      </c>
      <c r="E6973" t="inlineStr">
        <is>
          <t>TORSBY</t>
        </is>
      </c>
      <c r="F6973" t="inlineStr">
        <is>
          <t>Bergvik skog väst AB</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23277-2022</t>
        </is>
      </c>
      <c r="B6974" s="1" t="n">
        <v>44720</v>
      </c>
      <c r="C6974" s="1" t="n">
        <v>45736</v>
      </c>
      <c r="D6974" t="inlineStr">
        <is>
          <t>VÄRMLANDS LÄN</t>
        </is>
      </c>
      <c r="E6974" t="inlineStr">
        <is>
          <t>ARVIKA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23301-2022</t>
        </is>
      </c>
      <c r="B6975" s="1" t="n">
        <v>44720</v>
      </c>
      <c r="C6975" s="1" t="n">
        <v>45736</v>
      </c>
      <c r="D6975" t="inlineStr">
        <is>
          <t>VÄRMLANDS LÄN</t>
        </is>
      </c>
      <c r="E6975" t="inlineStr">
        <is>
          <t>SUNNE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23323-2022</t>
        </is>
      </c>
      <c r="B6976" s="1" t="n">
        <v>44720</v>
      </c>
      <c r="C6976" s="1" t="n">
        <v>45736</v>
      </c>
      <c r="D6976" t="inlineStr">
        <is>
          <t>VÄRMLANDS LÄN</t>
        </is>
      </c>
      <c r="E6976" t="inlineStr">
        <is>
          <t>ARVIKA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23351-2022</t>
        </is>
      </c>
      <c r="B6977" s="1" t="n">
        <v>44720</v>
      </c>
      <c r="C6977" s="1" t="n">
        <v>45736</v>
      </c>
      <c r="D6977" t="inlineStr">
        <is>
          <t>VÄRMLANDS LÄN</t>
        </is>
      </c>
      <c r="E6977" t="inlineStr">
        <is>
          <t>KIL</t>
        </is>
      </c>
      <c r="F6977" t="inlineStr">
        <is>
          <t>Bergvik skog väst AB</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23259-2022</t>
        </is>
      </c>
      <c r="B6978" s="1" t="n">
        <v>44720</v>
      </c>
      <c r="C6978" s="1" t="n">
        <v>45736</v>
      </c>
      <c r="D6978" t="inlineStr">
        <is>
          <t>VÄRMLANDS LÄN</t>
        </is>
      </c>
      <c r="E6978" t="inlineStr">
        <is>
          <t>SÄFFLE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23264-2022</t>
        </is>
      </c>
      <c r="B6979" s="1" t="n">
        <v>44720</v>
      </c>
      <c r="C6979" s="1" t="n">
        <v>45736</v>
      </c>
      <c r="D6979" t="inlineStr">
        <is>
          <t>VÄRMLANDS LÄN</t>
        </is>
      </c>
      <c r="E6979" t="inlineStr">
        <is>
          <t>TORSBY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23315-2022</t>
        </is>
      </c>
      <c r="B6980" s="1" t="n">
        <v>44720</v>
      </c>
      <c r="C6980" s="1" t="n">
        <v>45736</v>
      </c>
      <c r="D6980" t="inlineStr">
        <is>
          <t>VÄRMLANDS LÄN</t>
        </is>
      </c>
      <c r="E6980" t="inlineStr">
        <is>
          <t>SUNNE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23343-2022</t>
        </is>
      </c>
      <c r="B6981" s="1" t="n">
        <v>44720</v>
      </c>
      <c r="C6981" s="1" t="n">
        <v>45736</v>
      </c>
      <c r="D6981" t="inlineStr">
        <is>
          <t>VÄRMLANDS LÄN</t>
        </is>
      </c>
      <c r="E6981" t="inlineStr">
        <is>
          <t>TORSBY</t>
        </is>
      </c>
      <c r="F6981" t="inlineStr">
        <is>
          <t>Bergvik skog väst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23352-2022</t>
        </is>
      </c>
      <c r="B6982" s="1" t="n">
        <v>44720</v>
      </c>
      <c r="C6982" s="1" t="n">
        <v>45736</v>
      </c>
      <c r="D6982" t="inlineStr">
        <is>
          <t>VÄRMLANDS LÄN</t>
        </is>
      </c>
      <c r="E6982" t="inlineStr">
        <is>
          <t>ARVIKA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23280-2022</t>
        </is>
      </c>
      <c r="B6983" s="1" t="n">
        <v>44720</v>
      </c>
      <c r="C6983" s="1" t="n">
        <v>45736</v>
      </c>
      <c r="D6983" t="inlineStr">
        <is>
          <t>VÄRMLANDS LÄN</t>
        </is>
      </c>
      <c r="E6983" t="inlineStr">
        <is>
          <t>FORSHAGA</t>
        </is>
      </c>
      <c r="F6983" t="inlineStr">
        <is>
          <t>Bergvik skog väst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23318-2022</t>
        </is>
      </c>
      <c r="B6984" s="1" t="n">
        <v>44720</v>
      </c>
      <c r="C6984" s="1" t="n">
        <v>45736</v>
      </c>
      <c r="D6984" t="inlineStr">
        <is>
          <t>VÄRMLANDS LÄN</t>
        </is>
      </c>
      <c r="E6984" t="inlineStr">
        <is>
          <t>SUNNE</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23401-2022</t>
        </is>
      </c>
      <c r="B6985" s="1" t="n">
        <v>44720</v>
      </c>
      <c r="C6985" s="1" t="n">
        <v>45736</v>
      </c>
      <c r="D6985" t="inlineStr">
        <is>
          <t>VÄRMLANDS LÄN</t>
        </is>
      </c>
      <c r="E6985" t="inlineStr">
        <is>
          <t>TORSBY</t>
        </is>
      </c>
      <c r="F6985" t="inlineStr">
        <is>
          <t>Bergvik skog väst AB</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23379-2022</t>
        </is>
      </c>
      <c r="B6986" s="1" t="n">
        <v>44720</v>
      </c>
      <c r="C6986" s="1" t="n">
        <v>45736</v>
      </c>
      <c r="D6986" t="inlineStr">
        <is>
          <t>VÄRMLANDS LÄN</t>
        </is>
      </c>
      <c r="E6986" t="inlineStr">
        <is>
          <t>FORSHAGA</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23392-2022</t>
        </is>
      </c>
      <c r="B6987" s="1" t="n">
        <v>44720</v>
      </c>
      <c r="C6987" s="1" t="n">
        <v>45736</v>
      </c>
      <c r="D6987" t="inlineStr">
        <is>
          <t>VÄRMLANDS LÄN</t>
        </is>
      </c>
      <c r="E6987" t="inlineStr">
        <is>
          <t>SUNNE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23405-2022</t>
        </is>
      </c>
      <c r="B6988" s="1" t="n">
        <v>44720</v>
      </c>
      <c r="C6988" s="1" t="n">
        <v>45736</v>
      </c>
      <c r="D6988" t="inlineStr">
        <is>
          <t>VÄRMLANDS LÄN</t>
        </is>
      </c>
      <c r="E6988" t="inlineStr">
        <is>
          <t>TORSBY</t>
        </is>
      </c>
      <c r="F6988" t="inlineStr">
        <is>
          <t>Bergvik skog väst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23488-2022</t>
        </is>
      </c>
      <c r="B6989" s="1" t="n">
        <v>44720</v>
      </c>
      <c r="C6989" s="1" t="n">
        <v>45736</v>
      </c>
      <c r="D6989" t="inlineStr">
        <is>
          <t>VÄRMLANDS LÄN</t>
        </is>
      </c>
      <c r="E6989" t="inlineStr">
        <is>
          <t>SUNNE</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23377-2022</t>
        </is>
      </c>
      <c r="B6990" s="1" t="n">
        <v>44720</v>
      </c>
      <c r="C6990" s="1" t="n">
        <v>45736</v>
      </c>
      <c r="D6990" t="inlineStr">
        <is>
          <t>VÄRMLANDS LÄN</t>
        </is>
      </c>
      <c r="E6990" t="inlineStr">
        <is>
          <t>FORSHAGA</t>
        </is>
      </c>
      <c r="F6990" t="inlineStr">
        <is>
          <t>Bergvik skog väst AB</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23490-2022</t>
        </is>
      </c>
      <c r="B6991" s="1" t="n">
        <v>44720</v>
      </c>
      <c r="C6991" s="1" t="n">
        <v>45736</v>
      </c>
      <c r="D6991" t="inlineStr">
        <is>
          <t>VÄRMLANDS LÄN</t>
        </is>
      </c>
      <c r="E6991" t="inlineStr">
        <is>
          <t>SUNNE</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23399-2022</t>
        </is>
      </c>
      <c r="B6992" s="1" t="n">
        <v>44720</v>
      </c>
      <c r="C6992" s="1" t="n">
        <v>45736</v>
      </c>
      <c r="D6992" t="inlineStr">
        <is>
          <t>VÄRMLANDS LÄN</t>
        </is>
      </c>
      <c r="E6992" t="inlineStr">
        <is>
          <t>SUNNE</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23406-2022</t>
        </is>
      </c>
      <c r="B6993" s="1" t="n">
        <v>44720</v>
      </c>
      <c r="C6993" s="1" t="n">
        <v>45736</v>
      </c>
      <c r="D6993" t="inlineStr">
        <is>
          <t>VÄRMLANDS LÄN</t>
        </is>
      </c>
      <c r="E6993" t="inlineStr">
        <is>
          <t>SUNNE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23499-2022</t>
        </is>
      </c>
      <c r="B6994" s="1" t="n">
        <v>44720</v>
      </c>
      <c r="C6994" s="1" t="n">
        <v>45736</v>
      </c>
      <c r="D6994" t="inlineStr">
        <is>
          <t>VÄRMLANDS LÄN</t>
        </is>
      </c>
      <c r="E6994" t="inlineStr">
        <is>
          <t>SUNNE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23482-2022</t>
        </is>
      </c>
      <c r="B6995" s="1" t="n">
        <v>44720</v>
      </c>
      <c r="C6995" s="1" t="n">
        <v>45736</v>
      </c>
      <c r="D6995" t="inlineStr">
        <is>
          <t>VÄRMLANDS LÄN</t>
        </is>
      </c>
      <c r="E6995" t="inlineStr">
        <is>
          <t>SUNNE</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23803-2022</t>
        </is>
      </c>
      <c r="B6996" s="1" t="n">
        <v>44720</v>
      </c>
      <c r="C6996" s="1" t="n">
        <v>45736</v>
      </c>
      <c r="D6996" t="inlineStr">
        <is>
          <t>VÄRMLANDS LÄN</t>
        </is>
      </c>
      <c r="E6996" t="inlineStr">
        <is>
          <t>TORSBY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23495-2022</t>
        </is>
      </c>
      <c r="B6997" s="1" t="n">
        <v>44721</v>
      </c>
      <c r="C6997" s="1" t="n">
        <v>45736</v>
      </c>
      <c r="D6997" t="inlineStr">
        <is>
          <t>VÄRMLANDS LÄN</t>
        </is>
      </c>
      <c r="E6997" t="inlineStr">
        <is>
          <t>ARVIKA</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23704-2022</t>
        </is>
      </c>
      <c r="B6998" s="1" t="n">
        <v>44722</v>
      </c>
      <c r="C6998" s="1" t="n">
        <v>45736</v>
      </c>
      <c r="D6998" t="inlineStr">
        <is>
          <t>VÄRMLANDS LÄN</t>
        </is>
      </c>
      <c r="E6998" t="inlineStr">
        <is>
          <t>KRISTINEHAMN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23706-2022</t>
        </is>
      </c>
      <c r="B6999" s="1" t="n">
        <v>44722</v>
      </c>
      <c r="C6999" s="1" t="n">
        <v>45736</v>
      </c>
      <c r="D6999" t="inlineStr">
        <is>
          <t>VÄRMLANDS LÄN</t>
        </is>
      </c>
      <c r="E6999" t="inlineStr">
        <is>
          <t>KRISTINEHAMN</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23786-2022</t>
        </is>
      </c>
      <c r="B7000" s="1" t="n">
        <v>44722</v>
      </c>
      <c r="C7000" s="1" t="n">
        <v>45736</v>
      </c>
      <c r="D7000" t="inlineStr">
        <is>
          <t>VÄRMLANDS LÄN</t>
        </is>
      </c>
      <c r="E7000" t="inlineStr">
        <is>
          <t>KIL</t>
        </is>
      </c>
      <c r="G7000" t="n">
        <v>7.3</v>
      </c>
      <c r="H7000" t="n">
        <v>0</v>
      </c>
      <c r="I7000" t="n">
        <v>0</v>
      </c>
      <c r="J7000" t="n">
        <v>0</v>
      </c>
      <c r="K7000" t="n">
        <v>0</v>
      </c>
      <c r="L7000" t="n">
        <v>0</v>
      </c>
      <c r="M7000" t="n">
        <v>0</v>
      </c>
      <c r="N7000" t="n">
        <v>0</v>
      </c>
      <c r="O7000" t="n">
        <v>0</v>
      </c>
      <c r="P7000" t="n">
        <v>0</v>
      </c>
      <c r="Q7000" t="n">
        <v>0</v>
      </c>
      <c r="R7000" s="2" t="inlineStr"/>
    </row>
    <row r="7001" ht="15" customHeight="1">
      <c r="A7001" t="inlineStr">
        <is>
          <t>A 23804-2022</t>
        </is>
      </c>
      <c r="B7001" s="1" t="n">
        <v>44722</v>
      </c>
      <c r="C7001" s="1" t="n">
        <v>45736</v>
      </c>
      <c r="D7001" t="inlineStr">
        <is>
          <t>VÄRMLANDS LÄN</t>
        </is>
      </c>
      <c r="E7001" t="inlineStr">
        <is>
          <t>TORSBY</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23813-2022</t>
        </is>
      </c>
      <c r="B7002" s="1" t="n">
        <v>44722</v>
      </c>
      <c r="C7002" s="1" t="n">
        <v>45736</v>
      </c>
      <c r="D7002" t="inlineStr">
        <is>
          <t>VÄRMLANDS LÄN</t>
        </is>
      </c>
      <c r="E7002" t="inlineStr">
        <is>
          <t>ARVIKA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23823-2022</t>
        </is>
      </c>
      <c r="B7003" s="1" t="n">
        <v>44722</v>
      </c>
      <c r="C7003" s="1" t="n">
        <v>45736</v>
      </c>
      <c r="D7003" t="inlineStr">
        <is>
          <t>VÄRMLANDS LÄN</t>
        </is>
      </c>
      <c r="E7003" t="inlineStr">
        <is>
          <t>TORSBY</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23792-2022</t>
        </is>
      </c>
      <c r="B7004" s="1" t="n">
        <v>44722</v>
      </c>
      <c r="C7004" s="1" t="n">
        <v>45736</v>
      </c>
      <c r="D7004" t="inlineStr">
        <is>
          <t>VÄRMLANDS LÄN</t>
        </is>
      </c>
      <c r="E7004" t="inlineStr">
        <is>
          <t>HAGFORS</t>
        </is>
      </c>
      <c r="F7004" t="inlineStr">
        <is>
          <t>Bergvik skog väst AB</t>
        </is>
      </c>
      <c r="G7004" t="n">
        <v>9.6</v>
      </c>
      <c r="H7004" t="n">
        <v>0</v>
      </c>
      <c r="I7004" t="n">
        <v>0</v>
      </c>
      <c r="J7004" t="n">
        <v>0</v>
      </c>
      <c r="K7004" t="n">
        <v>0</v>
      </c>
      <c r="L7004" t="n">
        <v>0</v>
      </c>
      <c r="M7004" t="n">
        <v>0</v>
      </c>
      <c r="N7004" t="n">
        <v>0</v>
      </c>
      <c r="O7004" t="n">
        <v>0</v>
      </c>
      <c r="P7004" t="n">
        <v>0</v>
      </c>
      <c r="Q7004" t="n">
        <v>0</v>
      </c>
      <c r="R7004" s="2" t="inlineStr"/>
    </row>
    <row r="7005" ht="15" customHeight="1">
      <c r="A7005" t="inlineStr">
        <is>
          <t>A 23807-2022</t>
        </is>
      </c>
      <c r="B7005" s="1" t="n">
        <v>44722</v>
      </c>
      <c r="C7005" s="1" t="n">
        <v>45736</v>
      </c>
      <c r="D7005" t="inlineStr">
        <is>
          <t>VÄRMLANDS LÄN</t>
        </is>
      </c>
      <c r="E7005" t="inlineStr">
        <is>
          <t>EDA</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23707-2022</t>
        </is>
      </c>
      <c r="B7006" s="1" t="n">
        <v>44722</v>
      </c>
      <c r="C7006" s="1" t="n">
        <v>45736</v>
      </c>
      <c r="D7006" t="inlineStr">
        <is>
          <t>VÄRMLANDS LÄN</t>
        </is>
      </c>
      <c r="E7006" t="inlineStr">
        <is>
          <t>KRISTINEHAMN</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23705-2022</t>
        </is>
      </c>
      <c r="B7007" s="1" t="n">
        <v>44722</v>
      </c>
      <c r="C7007" s="1" t="n">
        <v>45736</v>
      </c>
      <c r="D7007" t="inlineStr">
        <is>
          <t>VÄRMLANDS LÄN</t>
        </is>
      </c>
      <c r="E7007" t="inlineStr">
        <is>
          <t>KRISTINEHAMN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23735-2022</t>
        </is>
      </c>
      <c r="B7008" s="1" t="n">
        <v>44722</v>
      </c>
      <c r="C7008" s="1" t="n">
        <v>45736</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23818-2022</t>
        </is>
      </c>
      <c r="B7009" s="1" t="n">
        <v>44722</v>
      </c>
      <c r="C7009" s="1" t="n">
        <v>45736</v>
      </c>
      <c r="D7009" t="inlineStr">
        <is>
          <t>VÄRMLANDS LÄN</t>
        </is>
      </c>
      <c r="E7009" t="inlineStr">
        <is>
          <t>TORSBY</t>
        </is>
      </c>
      <c r="G7009" t="n">
        <v>23.5</v>
      </c>
      <c r="H7009" t="n">
        <v>0</v>
      </c>
      <c r="I7009" t="n">
        <v>0</v>
      </c>
      <c r="J7009" t="n">
        <v>0</v>
      </c>
      <c r="K7009" t="n">
        <v>0</v>
      </c>
      <c r="L7009" t="n">
        <v>0</v>
      </c>
      <c r="M7009" t="n">
        <v>0</v>
      </c>
      <c r="N7009" t="n">
        <v>0</v>
      </c>
      <c r="O7009" t="n">
        <v>0</v>
      </c>
      <c r="P7009" t="n">
        <v>0</v>
      </c>
      <c r="Q7009" t="n">
        <v>0</v>
      </c>
      <c r="R7009" s="2" t="inlineStr"/>
    </row>
    <row r="7010" ht="15" customHeight="1">
      <c r="A7010" t="inlineStr">
        <is>
          <t>A 23732-2022</t>
        </is>
      </c>
      <c r="B7010" s="1" t="n">
        <v>44722</v>
      </c>
      <c r="C7010" s="1" t="n">
        <v>45736</v>
      </c>
      <c r="D7010" t="inlineStr">
        <is>
          <t>VÄRMLANDS LÄN</t>
        </is>
      </c>
      <c r="E7010" t="inlineStr">
        <is>
          <t>TORSBY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23746-2022</t>
        </is>
      </c>
      <c r="B7011" s="1" t="n">
        <v>44722</v>
      </c>
      <c r="C7011" s="1" t="n">
        <v>45736</v>
      </c>
      <c r="D7011" t="inlineStr">
        <is>
          <t>VÄRMLANDS LÄN</t>
        </is>
      </c>
      <c r="E7011" t="inlineStr">
        <is>
          <t>TORSBY</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23851-2022</t>
        </is>
      </c>
      <c r="B7012" s="1" t="n">
        <v>44722</v>
      </c>
      <c r="C7012" s="1" t="n">
        <v>45736</v>
      </c>
      <c r="D7012" t="inlineStr">
        <is>
          <t>VÄRMLANDS LÄN</t>
        </is>
      </c>
      <c r="E7012" t="inlineStr">
        <is>
          <t>TORSBY</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23887-2022</t>
        </is>
      </c>
      <c r="B7013" s="1" t="n">
        <v>44722</v>
      </c>
      <c r="C7013" s="1" t="n">
        <v>45736</v>
      </c>
      <c r="D7013" t="inlineStr">
        <is>
          <t>VÄRMLANDS LÄN</t>
        </is>
      </c>
      <c r="E7013" t="inlineStr">
        <is>
          <t>FORSHAGA</t>
        </is>
      </c>
      <c r="F7013" t="inlineStr">
        <is>
          <t>Bergvik skog väst AB</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23948-2022</t>
        </is>
      </c>
      <c r="B7014" s="1" t="n">
        <v>44722</v>
      </c>
      <c r="C7014" s="1" t="n">
        <v>45736</v>
      </c>
      <c r="D7014" t="inlineStr">
        <is>
          <t>VÄRMLANDS LÄN</t>
        </is>
      </c>
      <c r="E7014" t="inlineStr">
        <is>
          <t>KRISTINEHAMN</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24036-2022</t>
        </is>
      </c>
      <c r="B7015" s="1" t="n">
        <v>44724</v>
      </c>
      <c r="C7015" s="1" t="n">
        <v>45736</v>
      </c>
      <c r="D7015" t="inlineStr">
        <is>
          <t>VÄRMLANDS LÄN</t>
        </is>
      </c>
      <c r="E7015" t="inlineStr">
        <is>
          <t>FORSHAGA</t>
        </is>
      </c>
      <c r="G7015" t="n">
        <v>11.2</v>
      </c>
      <c r="H7015" t="n">
        <v>0</v>
      </c>
      <c r="I7015" t="n">
        <v>0</v>
      </c>
      <c r="J7015" t="n">
        <v>0</v>
      </c>
      <c r="K7015" t="n">
        <v>0</v>
      </c>
      <c r="L7015" t="n">
        <v>0</v>
      </c>
      <c r="M7015" t="n">
        <v>0</v>
      </c>
      <c r="N7015" t="n">
        <v>0</v>
      </c>
      <c r="O7015" t="n">
        <v>0</v>
      </c>
      <c r="P7015" t="n">
        <v>0</v>
      </c>
      <c r="Q7015" t="n">
        <v>0</v>
      </c>
      <c r="R7015" s="2" t="inlineStr"/>
    </row>
    <row r="7016" ht="15" customHeight="1">
      <c r="A7016" t="inlineStr">
        <is>
          <t>A 24145-2022</t>
        </is>
      </c>
      <c r="B7016" s="1" t="n">
        <v>44725</v>
      </c>
      <c r="C7016" s="1" t="n">
        <v>45736</v>
      </c>
      <c r="D7016" t="inlineStr">
        <is>
          <t>VÄRMLANDS LÄN</t>
        </is>
      </c>
      <c r="E7016" t="inlineStr">
        <is>
          <t>HAGFORS</t>
        </is>
      </c>
      <c r="F7016" t="inlineStr">
        <is>
          <t>Bergvik skog väst AB</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24137-2022</t>
        </is>
      </c>
      <c r="B7017" s="1" t="n">
        <v>44725</v>
      </c>
      <c r="C7017" s="1" t="n">
        <v>45736</v>
      </c>
      <c r="D7017" t="inlineStr">
        <is>
          <t>VÄRMLANDS LÄN</t>
        </is>
      </c>
      <c r="E7017" t="inlineStr">
        <is>
          <t>ARVIKA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24130-2022</t>
        </is>
      </c>
      <c r="B7018" s="1" t="n">
        <v>44725</v>
      </c>
      <c r="C7018" s="1" t="n">
        <v>45736</v>
      </c>
      <c r="D7018" t="inlineStr">
        <is>
          <t>VÄRMLANDS LÄN</t>
        </is>
      </c>
      <c r="E7018" t="inlineStr">
        <is>
          <t>ARVIKA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24220-2022</t>
        </is>
      </c>
      <c r="B7019" s="1" t="n">
        <v>44725</v>
      </c>
      <c r="C7019" s="1" t="n">
        <v>45736</v>
      </c>
      <c r="D7019" t="inlineStr">
        <is>
          <t>VÄRMLANDS LÄN</t>
        </is>
      </c>
      <c r="E7019" t="inlineStr">
        <is>
          <t>HAGFORS</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24373-2022</t>
        </is>
      </c>
      <c r="B7020" s="1" t="n">
        <v>44726</v>
      </c>
      <c r="C7020" s="1" t="n">
        <v>45736</v>
      </c>
      <c r="D7020" t="inlineStr">
        <is>
          <t>VÄRMLANDS LÄN</t>
        </is>
      </c>
      <c r="E7020" t="inlineStr">
        <is>
          <t>KRISTINEHAMN</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24442-2022</t>
        </is>
      </c>
      <c r="B7021" s="1" t="n">
        <v>44726</v>
      </c>
      <c r="C7021" s="1" t="n">
        <v>45736</v>
      </c>
      <c r="D7021" t="inlineStr">
        <is>
          <t>VÄRMLANDS LÄN</t>
        </is>
      </c>
      <c r="E7021" t="inlineStr">
        <is>
          <t>FILIPSTAD</t>
        </is>
      </c>
      <c r="F7021" t="inlineStr">
        <is>
          <t>Bergvik skog väst AB</t>
        </is>
      </c>
      <c r="G7021" t="n">
        <v>30.7</v>
      </c>
      <c r="H7021" t="n">
        <v>0</v>
      </c>
      <c r="I7021" t="n">
        <v>0</v>
      </c>
      <c r="J7021" t="n">
        <v>0</v>
      </c>
      <c r="K7021" t="n">
        <v>0</v>
      </c>
      <c r="L7021" t="n">
        <v>0</v>
      </c>
      <c r="M7021" t="n">
        <v>0</v>
      </c>
      <c r="N7021" t="n">
        <v>0</v>
      </c>
      <c r="O7021" t="n">
        <v>0</v>
      </c>
      <c r="P7021" t="n">
        <v>0</v>
      </c>
      <c r="Q7021" t="n">
        <v>0</v>
      </c>
      <c r="R7021" s="2" t="inlineStr"/>
    </row>
    <row r="7022" ht="15" customHeight="1">
      <c r="A7022" t="inlineStr">
        <is>
          <t>A 24370-2022</t>
        </is>
      </c>
      <c r="B7022" s="1" t="n">
        <v>44726</v>
      </c>
      <c r="C7022" s="1" t="n">
        <v>45736</v>
      </c>
      <c r="D7022" t="inlineStr">
        <is>
          <t>VÄRMLANDS LÄN</t>
        </is>
      </c>
      <c r="E7022" t="inlineStr">
        <is>
          <t>KRISTINEHAMN</t>
        </is>
      </c>
      <c r="F7022" t="inlineStr">
        <is>
          <t>Sveaskog</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24412-2022</t>
        </is>
      </c>
      <c r="B7023" s="1" t="n">
        <v>44726</v>
      </c>
      <c r="C7023" s="1" t="n">
        <v>45736</v>
      </c>
      <c r="D7023" t="inlineStr">
        <is>
          <t>VÄRMLANDS LÄN</t>
        </is>
      </c>
      <c r="E7023" t="inlineStr">
        <is>
          <t>FILIPSTAD</t>
        </is>
      </c>
      <c r="F7023" t="inlineStr">
        <is>
          <t>Bergvik skog väst AB</t>
        </is>
      </c>
      <c r="G7023" t="n">
        <v>13.2</v>
      </c>
      <c r="H7023" t="n">
        <v>0</v>
      </c>
      <c r="I7023" t="n">
        <v>0</v>
      </c>
      <c r="J7023" t="n">
        <v>0</v>
      </c>
      <c r="K7023" t="n">
        <v>0</v>
      </c>
      <c r="L7023" t="n">
        <v>0</v>
      </c>
      <c r="M7023" t="n">
        <v>0</v>
      </c>
      <c r="N7023" t="n">
        <v>0</v>
      </c>
      <c r="O7023" t="n">
        <v>0</v>
      </c>
      <c r="P7023" t="n">
        <v>0</v>
      </c>
      <c r="Q7023" t="n">
        <v>0</v>
      </c>
      <c r="R7023" s="2" t="inlineStr"/>
    </row>
    <row r="7024" ht="15" customHeight="1">
      <c r="A7024" t="inlineStr">
        <is>
          <t>A 24477-2022</t>
        </is>
      </c>
      <c r="B7024" s="1" t="n">
        <v>44726</v>
      </c>
      <c r="C7024" s="1" t="n">
        <v>45736</v>
      </c>
      <c r="D7024" t="inlineStr">
        <is>
          <t>VÄRMLANDS LÄN</t>
        </is>
      </c>
      <c r="E7024" t="inlineStr">
        <is>
          <t>ÅRJÄNG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24456-2022</t>
        </is>
      </c>
      <c r="B7025" s="1" t="n">
        <v>44726</v>
      </c>
      <c r="C7025" s="1" t="n">
        <v>45736</v>
      </c>
      <c r="D7025" t="inlineStr">
        <is>
          <t>VÄRMLANDS LÄN</t>
        </is>
      </c>
      <c r="E7025" t="inlineStr">
        <is>
          <t>EDA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24463-2022</t>
        </is>
      </c>
      <c r="B7026" s="1" t="n">
        <v>44726</v>
      </c>
      <c r="C7026" s="1" t="n">
        <v>45736</v>
      </c>
      <c r="D7026" t="inlineStr">
        <is>
          <t>VÄRMLANDS LÄN</t>
        </is>
      </c>
      <c r="E7026" t="inlineStr">
        <is>
          <t>FILIPSTAD</t>
        </is>
      </c>
      <c r="F7026" t="inlineStr">
        <is>
          <t>Bergvik skog väst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24476-2022</t>
        </is>
      </c>
      <c r="B7027" s="1" t="n">
        <v>44726</v>
      </c>
      <c r="C7027" s="1" t="n">
        <v>45736</v>
      </c>
      <c r="D7027" t="inlineStr">
        <is>
          <t>VÄRMLANDS LÄN</t>
        </is>
      </c>
      <c r="E7027" t="inlineStr">
        <is>
          <t>ÅRJÄNG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24480-2022</t>
        </is>
      </c>
      <c r="B7028" s="1" t="n">
        <v>44726</v>
      </c>
      <c r="C7028" s="1" t="n">
        <v>45736</v>
      </c>
      <c r="D7028" t="inlineStr">
        <is>
          <t>VÄRMLANDS LÄN</t>
        </is>
      </c>
      <c r="E7028" t="inlineStr">
        <is>
          <t>ÅRJÄNG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24414-2022</t>
        </is>
      </c>
      <c r="B7029" s="1" t="n">
        <v>44726</v>
      </c>
      <c r="C7029" s="1" t="n">
        <v>45736</v>
      </c>
      <c r="D7029" t="inlineStr">
        <is>
          <t>VÄRMLANDS LÄN</t>
        </is>
      </c>
      <c r="E7029" t="inlineStr">
        <is>
          <t>FORSHAGA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24568-2022</t>
        </is>
      </c>
      <c r="B7030" s="1" t="n">
        <v>44727</v>
      </c>
      <c r="C7030" s="1" t="n">
        <v>45736</v>
      </c>
      <c r="D7030" t="inlineStr">
        <is>
          <t>VÄRMLANDS LÄN</t>
        </is>
      </c>
      <c r="E7030" t="inlineStr">
        <is>
          <t>SUNNE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24600-2022</t>
        </is>
      </c>
      <c r="B7031" s="1" t="n">
        <v>44727</v>
      </c>
      <c r="C7031" s="1" t="n">
        <v>45736</v>
      </c>
      <c r="D7031" t="inlineStr">
        <is>
          <t>VÄRMLANDS LÄN</t>
        </is>
      </c>
      <c r="E7031" t="inlineStr">
        <is>
          <t>SUNNE</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24582-2022</t>
        </is>
      </c>
      <c r="B7032" s="1" t="n">
        <v>44727</v>
      </c>
      <c r="C7032" s="1" t="n">
        <v>45736</v>
      </c>
      <c r="D7032" t="inlineStr">
        <is>
          <t>VÄRMLANDS LÄN</t>
        </is>
      </c>
      <c r="E7032" t="inlineStr">
        <is>
          <t>SUNNE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24648-2022</t>
        </is>
      </c>
      <c r="B7033" s="1" t="n">
        <v>44727</v>
      </c>
      <c r="C7033" s="1" t="n">
        <v>45736</v>
      </c>
      <c r="D7033" t="inlineStr">
        <is>
          <t>VÄRMLANDS LÄN</t>
        </is>
      </c>
      <c r="E7033" t="inlineStr">
        <is>
          <t>KARLSTAD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24567-2022</t>
        </is>
      </c>
      <c r="B7034" s="1" t="n">
        <v>44727</v>
      </c>
      <c r="C7034" s="1" t="n">
        <v>45736</v>
      </c>
      <c r="D7034" t="inlineStr">
        <is>
          <t>VÄRMLANDS LÄN</t>
        </is>
      </c>
      <c r="E7034" t="inlineStr">
        <is>
          <t>MUNKFORS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24592-2022</t>
        </is>
      </c>
      <c r="B7035" s="1" t="n">
        <v>44727</v>
      </c>
      <c r="C7035" s="1" t="n">
        <v>45736</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24566-2022</t>
        </is>
      </c>
      <c r="B7036" s="1" t="n">
        <v>44727</v>
      </c>
      <c r="C7036" s="1" t="n">
        <v>45736</v>
      </c>
      <c r="D7036" t="inlineStr">
        <is>
          <t>VÄRMLANDS LÄN</t>
        </is>
      </c>
      <c r="E7036" t="inlineStr">
        <is>
          <t>MUNKFORS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24771-2022</t>
        </is>
      </c>
      <c r="B7037" s="1" t="n">
        <v>44728</v>
      </c>
      <c r="C7037" s="1" t="n">
        <v>45736</v>
      </c>
      <c r="D7037" t="inlineStr">
        <is>
          <t>VÄRMLANDS LÄN</t>
        </is>
      </c>
      <c r="E7037" t="inlineStr">
        <is>
          <t>ARVIKA</t>
        </is>
      </c>
      <c r="F7037" t="inlineStr">
        <is>
          <t>Bergvik skog väst AB</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24846-2022</t>
        </is>
      </c>
      <c r="B7038" s="1" t="n">
        <v>44728</v>
      </c>
      <c r="C7038" s="1" t="n">
        <v>45736</v>
      </c>
      <c r="D7038" t="inlineStr">
        <is>
          <t>VÄRMLANDS LÄN</t>
        </is>
      </c>
      <c r="E7038" t="inlineStr">
        <is>
          <t>STORFORS</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24852-2022</t>
        </is>
      </c>
      <c r="B7039" s="1" t="n">
        <v>44728</v>
      </c>
      <c r="C7039" s="1" t="n">
        <v>45736</v>
      </c>
      <c r="D7039" t="inlineStr">
        <is>
          <t>VÄRMLANDS LÄN</t>
        </is>
      </c>
      <c r="E7039" t="inlineStr">
        <is>
          <t>ÅRJÄNG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24874-2022</t>
        </is>
      </c>
      <c r="B7040" s="1" t="n">
        <v>44728</v>
      </c>
      <c r="C7040" s="1" t="n">
        <v>45736</v>
      </c>
      <c r="D7040" t="inlineStr">
        <is>
          <t>VÄRMLANDS LÄN</t>
        </is>
      </c>
      <c r="E7040" t="inlineStr">
        <is>
          <t>ÅRJÄNG</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24960-2022</t>
        </is>
      </c>
      <c r="B7041" s="1" t="n">
        <v>44728</v>
      </c>
      <c r="C7041" s="1" t="n">
        <v>45736</v>
      </c>
      <c r="D7041" t="inlineStr">
        <is>
          <t>VÄRMLANDS LÄN</t>
        </is>
      </c>
      <c r="E7041" t="inlineStr">
        <is>
          <t>TORSBY</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24894-2022</t>
        </is>
      </c>
      <c r="B7042" s="1" t="n">
        <v>44728</v>
      </c>
      <c r="C7042" s="1" t="n">
        <v>45736</v>
      </c>
      <c r="D7042" t="inlineStr">
        <is>
          <t>VÄRMLANDS LÄN</t>
        </is>
      </c>
      <c r="E7042" t="inlineStr">
        <is>
          <t>ARVIKA</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27319-2022</t>
        </is>
      </c>
      <c r="B7043" s="1" t="n">
        <v>44728</v>
      </c>
      <c r="C7043" s="1" t="n">
        <v>45736</v>
      </c>
      <c r="D7043" t="inlineStr">
        <is>
          <t>VÄRMLANDS LÄN</t>
        </is>
      </c>
      <c r="E7043" t="inlineStr">
        <is>
          <t>ARVIKA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27311-2022</t>
        </is>
      </c>
      <c r="B7044" s="1" t="n">
        <v>44728</v>
      </c>
      <c r="C7044" s="1" t="n">
        <v>45736</v>
      </c>
      <c r="D7044" t="inlineStr">
        <is>
          <t>VÄRMLANDS LÄN</t>
        </is>
      </c>
      <c r="E7044" t="inlineStr">
        <is>
          <t>ÅRJÄNG</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25061-2022</t>
        </is>
      </c>
      <c r="B7045" s="1" t="n">
        <v>44729</v>
      </c>
      <c r="C7045" s="1" t="n">
        <v>45736</v>
      </c>
      <c r="D7045" t="inlineStr">
        <is>
          <t>VÄRMLANDS LÄN</t>
        </is>
      </c>
      <c r="E7045" t="inlineStr">
        <is>
          <t>ARVIKA</t>
        </is>
      </c>
      <c r="F7045" t="inlineStr">
        <is>
          <t>Bergvik skog väst AB</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25186-2022</t>
        </is>
      </c>
      <c r="B7046" s="1" t="n">
        <v>44729</v>
      </c>
      <c r="C7046" s="1" t="n">
        <v>45736</v>
      </c>
      <c r="D7046" t="inlineStr">
        <is>
          <t>VÄRMLANDS LÄN</t>
        </is>
      </c>
      <c r="E7046" t="inlineStr">
        <is>
          <t>ARVIKA</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25333-2022</t>
        </is>
      </c>
      <c r="B7047" s="1" t="n">
        <v>44731</v>
      </c>
      <c r="C7047" s="1" t="n">
        <v>45736</v>
      </c>
      <c r="D7047" t="inlineStr">
        <is>
          <t>VÄRMLANDS LÄN</t>
        </is>
      </c>
      <c r="E7047" t="inlineStr">
        <is>
          <t>ARVIKA</t>
        </is>
      </c>
      <c r="F7047" t="inlineStr">
        <is>
          <t>Bergvik skog väst AB</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25360-2022</t>
        </is>
      </c>
      <c r="B7048" s="1" t="n">
        <v>44732</v>
      </c>
      <c r="C7048" s="1" t="n">
        <v>45736</v>
      </c>
      <c r="D7048" t="inlineStr">
        <is>
          <t>VÄRMLANDS LÄN</t>
        </is>
      </c>
      <c r="E7048" t="inlineStr">
        <is>
          <t>ARVIKA</t>
        </is>
      </c>
      <c r="F7048" t="inlineStr">
        <is>
          <t>Bergvik skog väst AB</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25694-2022</t>
        </is>
      </c>
      <c r="B7049" s="1" t="n">
        <v>44732</v>
      </c>
      <c r="C7049" s="1" t="n">
        <v>45736</v>
      </c>
      <c r="D7049" t="inlineStr">
        <is>
          <t>VÄRMLANDS LÄN</t>
        </is>
      </c>
      <c r="E7049" t="inlineStr">
        <is>
          <t>GRUMS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25537-2022</t>
        </is>
      </c>
      <c r="B7050" s="1" t="n">
        <v>44732</v>
      </c>
      <c r="C7050" s="1" t="n">
        <v>45736</v>
      </c>
      <c r="D7050" t="inlineStr">
        <is>
          <t>VÄRMLANDS LÄN</t>
        </is>
      </c>
      <c r="E7050" t="inlineStr">
        <is>
          <t>TORSBY</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25616-2022</t>
        </is>
      </c>
      <c r="B7051" s="1" t="n">
        <v>44732</v>
      </c>
      <c r="C7051" s="1" t="n">
        <v>45736</v>
      </c>
      <c r="D7051" t="inlineStr">
        <is>
          <t>VÄRMLANDS LÄN</t>
        </is>
      </c>
      <c r="E7051" t="inlineStr">
        <is>
          <t>SUNNE</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25686-2022</t>
        </is>
      </c>
      <c r="B7052" s="1" t="n">
        <v>44733</v>
      </c>
      <c r="C7052" s="1" t="n">
        <v>45736</v>
      </c>
      <c r="D7052" t="inlineStr">
        <is>
          <t>VÄRMLANDS LÄN</t>
        </is>
      </c>
      <c r="E7052" t="inlineStr">
        <is>
          <t>EDA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25824-2022</t>
        </is>
      </c>
      <c r="B7053" s="1" t="n">
        <v>44733</v>
      </c>
      <c r="C7053" s="1" t="n">
        <v>45736</v>
      </c>
      <c r="D7053" t="inlineStr">
        <is>
          <t>VÄRMLANDS LÄN</t>
        </is>
      </c>
      <c r="E7053" t="inlineStr">
        <is>
          <t>STORFORS</t>
        </is>
      </c>
      <c r="F7053" t="inlineStr">
        <is>
          <t>Bergvik skog väst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25767-2022</t>
        </is>
      </c>
      <c r="B7054" s="1" t="n">
        <v>44733</v>
      </c>
      <c r="C7054" s="1" t="n">
        <v>45736</v>
      </c>
      <c r="D7054" t="inlineStr">
        <is>
          <t>VÄRMLANDS LÄN</t>
        </is>
      </c>
      <c r="E7054" t="inlineStr">
        <is>
          <t>KIL</t>
        </is>
      </c>
      <c r="F7054" t="inlineStr">
        <is>
          <t>Bergvik skog väst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25829-2022</t>
        </is>
      </c>
      <c r="B7055" s="1" t="n">
        <v>44733</v>
      </c>
      <c r="C7055" s="1" t="n">
        <v>45736</v>
      </c>
      <c r="D7055" t="inlineStr">
        <is>
          <t>VÄRMLANDS LÄN</t>
        </is>
      </c>
      <c r="E7055" t="inlineStr">
        <is>
          <t>KARLSTAD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25841-2022</t>
        </is>
      </c>
      <c r="B7056" s="1" t="n">
        <v>44733</v>
      </c>
      <c r="C7056" s="1" t="n">
        <v>45736</v>
      </c>
      <c r="D7056" t="inlineStr">
        <is>
          <t>VÄRMLANDS LÄN</t>
        </is>
      </c>
      <c r="E7056" t="inlineStr">
        <is>
          <t>KIL</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25874-2022</t>
        </is>
      </c>
      <c r="B7057" s="1" t="n">
        <v>44733</v>
      </c>
      <c r="C7057" s="1" t="n">
        <v>45736</v>
      </c>
      <c r="D7057" t="inlineStr">
        <is>
          <t>VÄRMLANDS LÄN</t>
        </is>
      </c>
      <c r="E7057" t="inlineStr">
        <is>
          <t>ÅRJÄNG</t>
        </is>
      </c>
      <c r="F7057" t="inlineStr">
        <is>
          <t>Bergvik skog väst AB</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25947-2022</t>
        </is>
      </c>
      <c r="B7058" s="1" t="n">
        <v>44734</v>
      </c>
      <c r="C7058" s="1" t="n">
        <v>45736</v>
      </c>
      <c r="D7058" t="inlineStr">
        <is>
          <t>VÄRMLANDS LÄN</t>
        </is>
      </c>
      <c r="E7058" t="inlineStr">
        <is>
          <t>SÄFFLE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25970-2022</t>
        </is>
      </c>
      <c r="B7059" s="1" t="n">
        <v>44734</v>
      </c>
      <c r="C7059" s="1" t="n">
        <v>45736</v>
      </c>
      <c r="D7059" t="inlineStr">
        <is>
          <t>VÄRMLANDS LÄN</t>
        </is>
      </c>
      <c r="E7059" t="inlineStr">
        <is>
          <t>GRUMS</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26042-2022</t>
        </is>
      </c>
      <c r="B7060" s="1" t="n">
        <v>44734</v>
      </c>
      <c r="C7060" s="1" t="n">
        <v>45736</v>
      </c>
      <c r="D7060" t="inlineStr">
        <is>
          <t>VÄRMLANDS LÄN</t>
        </is>
      </c>
      <c r="E7060" t="inlineStr">
        <is>
          <t>KRISTINEHAMN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26053-2022</t>
        </is>
      </c>
      <c r="B7061" s="1" t="n">
        <v>44734</v>
      </c>
      <c r="C7061" s="1" t="n">
        <v>45736</v>
      </c>
      <c r="D7061" t="inlineStr">
        <is>
          <t>VÄRMLANDS LÄN</t>
        </is>
      </c>
      <c r="E7061" t="inlineStr">
        <is>
          <t>FORSHAGA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26045-2022</t>
        </is>
      </c>
      <c r="B7062" s="1" t="n">
        <v>44734</v>
      </c>
      <c r="C7062" s="1" t="n">
        <v>45736</v>
      </c>
      <c r="D7062" t="inlineStr">
        <is>
          <t>VÄRMLANDS LÄN</t>
        </is>
      </c>
      <c r="E7062" t="inlineStr">
        <is>
          <t>KRISTINEHAMN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26090-2022</t>
        </is>
      </c>
      <c r="B7063" s="1" t="n">
        <v>44734</v>
      </c>
      <c r="C7063" s="1" t="n">
        <v>45736</v>
      </c>
      <c r="D7063" t="inlineStr">
        <is>
          <t>VÄRMLANDS LÄN</t>
        </is>
      </c>
      <c r="E7063" t="inlineStr">
        <is>
          <t>ARVIKA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26154-2022</t>
        </is>
      </c>
      <c r="B7064" s="1" t="n">
        <v>44735</v>
      </c>
      <c r="C7064" s="1" t="n">
        <v>45736</v>
      </c>
      <c r="D7064" t="inlineStr">
        <is>
          <t>VÄRMLANDS LÄN</t>
        </is>
      </c>
      <c r="E7064" t="inlineStr">
        <is>
          <t>FORSHAGA</t>
        </is>
      </c>
      <c r="F7064" t="inlineStr">
        <is>
          <t>Bergvik skog väst AB</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26295-2022</t>
        </is>
      </c>
      <c r="B7065" s="1" t="n">
        <v>44735</v>
      </c>
      <c r="C7065" s="1" t="n">
        <v>45736</v>
      </c>
      <c r="D7065" t="inlineStr">
        <is>
          <t>VÄRMLANDS LÄN</t>
        </is>
      </c>
      <c r="E7065" t="inlineStr">
        <is>
          <t>SÄFFLE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26270-2022</t>
        </is>
      </c>
      <c r="B7066" s="1" t="n">
        <v>44735</v>
      </c>
      <c r="C7066" s="1" t="n">
        <v>45736</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26261-2022</t>
        </is>
      </c>
      <c r="B7067" s="1" t="n">
        <v>44735</v>
      </c>
      <c r="C7067" s="1" t="n">
        <v>45736</v>
      </c>
      <c r="D7067" t="inlineStr">
        <is>
          <t>VÄRMLANDS LÄN</t>
        </is>
      </c>
      <c r="E7067" t="inlineStr">
        <is>
          <t>ARVIKA</t>
        </is>
      </c>
      <c r="F7067" t="inlineStr">
        <is>
          <t>Bergvik skog väst AB</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26323-2022</t>
        </is>
      </c>
      <c r="B7068" s="1" t="n">
        <v>44735</v>
      </c>
      <c r="C7068" s="1" t="n">
        <v>45736</v>
      </c>
      <c r="D7068" t="inlineStr">
        <is>
          <t>VÄRMLANDS LÄN</t>
        </is>
      </c>
      <c r="E7068" t="inlineStr">
        <is>
          <t>KARLSTAD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26201-2022</t>
        </is>
      </c>
      <c r="B7069" s="1" t="n">
        <v>44735</v>
      </c>
      <c r="C7069" s="1" t="n">
        <v>45736</v>
      </c>
      <c r="D7069" t="inlineStr">
        <is>
          <t>VÄRMLANDS LÄN</t>
        </is>
      </c>
      <c r="E7069" t="inlineStr">
        <is>
          <t>SÄFFLE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26362-2022</t>
        </is>
      </c>
      <c r="B7070" s="1" t="n">
        <v>44735</v>
      </c>
      <c r="C7070" s="1" t="n">
        <v>45736</v>
      </c>
      <c r="D7070" t="inlineStr">
        <is>
          <t>VÄRMLANDS LÄN</t>
        </is>
      </c>
      <c r="E7070" t="inlineStr">
        <is>
          <t>GRUMS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26443-2022</t>
        </is>
      </c>
      <c r="B7071" s="1" t="n">
        <v>44738</v>
      </c>
      <c r="C7071" s="1" t="n">
        <v>45736</v>
      </c>
      <c r="D7071" t="inlineStr">
        <is>
          <t>VÄRMLANDS LÄN</t>
        </is>
      </c>
      <c r="E7071" t="inlineStr">
        <is>
          <t>KARLSTAD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26686-2022</t>
        </is>
      </c>
      <c r="B7072" s="1" t="n">
        <v>44739</v>
      </c>
      <c r="C7072" s="1" t="n">
        <v>45736</v>
      </c>
      <c r="D7072" t="inlineStr">
        <is>
          <t>VÄRMLANDS LÄN</t>
        </is>
      </c>
      <c r="E7072" t="inlineStr">
        <is>
          <t>TORSBY</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26576-2022</t>
        </is>
      </c>
      <c r="B7073" s="1" t="n">
        <v>44739</v>
      </c>
      <c r="C7073" s="1" t="n">
        <v>45736</v>
      </c>
      <c r="D7073" t="inlineStr">
        <is>
          <t>VÄRMLANDS LÄN</t>
        </is>
      </c>
      <c r="E7073" t="inlineStr">
        <is>
          <t>KRISTINEHAMN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26710-2022</t>
        </is>
      </c>
      <c r="B7074" s="1" t="n">
        <v>44739</v>
      </c>
      <c r="C7074" s="1" t="n">
        <v>45736</v>
      </c>
      <c r="D7074" t="inlineStr">
        <is>
          <t>VÄRMLANDS LÄN</t>
        </is>
      </c>
      <c r="E7074" t="inlineStr">
        <is>
          <t>ARVIKA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26646-2022</t>
        </is>
      </c>
      <c r="B7075" s="1" t="n">
        <v>44739</v>
      </c>
      <c r="C7075" s="1" t="n">
        <v>45736</v>
      </c>
      <c r="D7075" t="inlineStr">
        <is>
          <t>VÄRMLANDS LÄN</t>
        </is>
      </c>
      <c r="E7075" t="inlineStr">
        <is>
          <t>HAGFORS</t>
        </is>
      </c>
      <c r="F7075" t="inlineStr">
        <is>
          <t>Bergvik skog väst AB</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26783-2022</t>
        </is>
      </c>
      <c r="B7076" s="1" t="n">
        <v>44740</v>
      </c>
      <c r="C7076" s="1" t="n">
        <v>45736</v>
      </c>
      <c r="D7076" t="inlineStr">
        <is>
          <t>VÄRMLANDS LÄN</t>
        </is>
      </c>
      <c r="E7076" t="inlineStr">
        <is>
          <t>EDA</t>
        </is>
      </c>
      <c r="G7076" t="n">
        <v>13.7</v>
      </c>
      <c r="H7076" t="n">
        <v>0</v>
      </c>
      <c r="I7076" t="n">
        <v>0</v>
      </c>
      <c r="J7076" t="n">
        <v>0</v>
      </c>
      <c r="K7076" t="n">
        <v>0</v>
      </c>
      <c r="L7076" t="n">
        <v>0</v>
      </c>
      <c r="M7076" t="n">
        <v>0</v>
      </c>
      <c r="N7076" t="n">
        <v>0</v>
      </c>
      <c r="O7076" t="n">
        <v>0</v>
      </c>
      <c r="P7076" t="n">
        <v>0</v>
      </c>
      <c r="Q7076" t="n">
        <v>0</v>
      </c>
      <c r="R7076" s="2" t="inlineStr"/>
    </row>
    <row r="7077" ht="15" customHeight="1">
      <c r="A7077" t="inlineStr">
        <is>
          <t>A 26789-2022</t>
        </is>
      </c>
      <c r="B7077" s="1" t="n">
        <v>44740</v>
      </c>
      <c r="C7077" s="1" t="n">
        <v>45736</v>
      </c>
      <c r="D7077" t="inlineStr">
        <is>
          <t>VÄRMLANDS LÄN</t>
        </is>
      </c>
      <c r="E7077" t="inlineStr">
        <is>
          <t>EDA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26842-2022</t>
        </is>
      </c>
      <c r="B7078" s="1" t="n">
        <v>44740</v>
      </c>
      <c r="C7078" s="1" t="n">
        <v>45736</v>
      </c>
      <c r="D7078" t="inlineStr">
        <is>
          <t>VÄRMLANDS LÄN</t>
        </is>
      </c>
      <c r="E7078" t="inlineStr">
        <is>
          <t>TORSBY</t>
        </is>
      </c>
      <c r="F7078" t="inlineStr">
        <is>
          <t>Bergvik skog väst AB</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26823-2022</t>
        </is>
      </c>
      <c r="B7079" s="1" t="n">
        <v>44740</v>
      </c>
      <c r="C7079" s="1" t="n">
        <v>45736</v>
      </c>
      <c r="D7079" t="inlineStr">
        <is>
          <t>VÄRMLANDS LÄN</t>
        </is>
      </c>
      <c r="E7079" t="inlineStr">
        <is>
          <t>EDA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26862-2022</t>
        </is>
      </c>
      <c r="B7080" s="1" t="n">
        <v>44740</v>
      </c>
      <c r="C7080" s="1" t="n">
        <v>45736</v>
      </c>
      <c r="D7080" t="inlineStr">
        <is>
          <t>VÄRMLANDS LÄN</t>
        </is>
      </c>
      <c r="E7080" t="inlineStr">
        <is>
          <t>SUNNE</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26786-2022</t>
        </is>
      </c>
      <c r="B7081" s="1" t="n">
        <v>44740</v>
      </c>
      <c r="C7081" s="1" t="n">
        <v>45736</v>
      </c>
      <c r="D7081" t="inlineStr">
        <is>
          <t>VÄRMLANDS LÄN</t>
        </is>
      </c>
      <c r="E7081" t="inlineStr">
        <is>
          <t>EDA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26806-2022</t>
        </is>
      </c>
      <c r="B7082" s="1" t="n">
        <v>44740</v>
      </c>
      <c r="C7082" s="1" t="n">
        <v>45736</v>
      </c>
      <c r="D7082" t="inlineStr">
        <is>
          <t>VÄRMLANDS LÄN</t>
        </is>
      </c>
      <c r="E7082" t="inlineStr">
        <is>
          <t>ARVIKA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26831-2022</t>
        </is>
      </c>
      <c r="B7083" s="1" t="n">
        <v>44740</v>
      </c>
      <c r="C7083" s="1" t="n">
        <v>45736</v>
      </c>
      <c r="D7083" t="inlineStr">
        <is>
          <t>VÄRMLANDS LÄN</t>
        </is>
      </c>
      <c r="E7083" t="inlineStr">
        <is>
          <t>FILIPSTAD</t>
        </is>
      </c>
      <c r="F7083" t="inlineStr">
        <is>
          <t>Bergvik skog väst AB</t>
        </is>
      </c>
      <c r="G7083" t="n">
        <v>18.6</v>
      </c>
      <c r="H7083" t="n">
        <v>0</v>
      </c>
      <c r="I7083" t="n">
        <v>0</v>
      </c>
      <c r="J7083" t="n">
        <v>0</v>
      </c>
      <c r="K7083" t="n">
        <v>0</v>
      </c>
      <c r="L7083" t="n">
        <v>0</v>
      </c>
      <c r="M7083" t="n">
        <v>0</v>
      </c>
      <c r="N7083" t="n">
        <v>0</v>
      </c>
      <c r="O7083" t="n">
        <v>0</v>
      </c>
      <c r="P7083" t="n">
        <v>0</v>
      </c>
      <c r="Q7083" t="n">
        <v>0</v>
      </c>
      <c r="R7083" s="2" t="inlineStr"/>
    </row>
    <row r="7084" ht="15" customHeight="1">
      <c r="A7084" t="inlineStr">
        <is>
          <t>A 26859-2022</t>
        </is>
      </c>
      <c r="B7084" s="1" t="n">
        <v>44740</v>
      </c>
      <c r="C7084" s="1" t="n">
        <v>45736</v>
      </c>
      <c r="D7084" t="inlineStr">
        <is>
          <t>VÄRMLANDS LÄN</t>
        </is>
      </c>
      <c r="E7084" t="inlineStr">
        <is>
          <t>FILIPSTAD</t>
        </is>
      </c>
      <c r="F7084" t="inlineStr">
        <is>
          <t>Bergvik skog väst AB</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26810-2022</t>
        </is>
      </c>
      <c r="B7085" s="1" t="n">
        <v>44740</v>
      </c>
      <c r="C7085" s="1" t="n">
        <v>45736</v>
      </c>
      <c r="D7085" t="inlineStr">
        <is>
          <t>VÄRMLANDS LÄN</t>
        </is>
      </c>
      <c r="E7085" t="inlineStr">
        <is>
          <t>EDA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26988-2022</t>
        </is>
      </c>
      <c r="B7086" s="1" t="n">
        <v>44740</v>
      </c>
      <c r="C7086" s="1" t="n">
        <v>45736</v>
      </c>
      <c r="D7086" t="inlineStr">
        <is>
          <t>VÄRMLANDS LÄN</t>
        </is>
      </c>
      <c r="E7086" t="inlineStr">
        <is>
          <t>TORSBY</t>
        </is>
      </c>
      <c r="F7086" t="inlineStr">
        <is>
          <t>Bergvik skog väst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26894-2022</t>
        </is>
      </c>
      <c r="B7087" s="1" t="n">
        <v>44740</v>
      </c>
      <c r="C7087" s="1" t="n">
        <v>45736</v>
      </c>
      <c r="D7087" t="inlineStr">
        <is>
          <t>VÄRMLANDS LÄN</t>
        </is>
      </c>
      <c r="E7087" t="inlineStr">
        <is>
          <t>SUNNE</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26922-2022</t>
        </is>
      </c>
      <c r="B7088" s="1" t="n">
        <v>44740</v>
      </c>
      <c r="C7088" s="1" t="n">
        <v>45736</v>
      </c>
      <c r="D7088" t="inlineStr">
        <is>
          <t>VÄRMLANDS LÄN</t>
        </is>
      </c>
      <c r="E7088" t="inlineStr">
        <is>
          <t>KARLSTAD</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27058-2022</t>
        </is>
      </c>
      <c r="B7089" s="1" t="n">
        <v>44741</v>
      </c>
      <c r="C7089" s="1" t="n">
        <v>45736</v>
      </c>
      <c r="D7089" t="inlineStr">
        <is>
          <t>VÄRMLANDS LÄN</t>
        </is>
      </c>
      <c r="E7089" t="inlineStr">
        <is>
          <t>ARVIKA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27088-2022</t>
        </is>
      </c>
      <c r="B7090" s="1" t="n">
        <v>44741</v>
      </c>
      <c r="C7090" s="1" t="n">
        <v>45736</v>
      </c>
      <c r="D7090" t="inlineStr">
        <is>
          <t>VÄRMLANDS LÄN</t>
        </is>
      </c>
      <c r="E7090" t="inlineStr">
        <is>
          <t>SUNNE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27160-2022</t>
        </is>
      </c>
      <c r="B7091" s="1" t="n">
        <v>44741</v>
      </c>
      <c r="C7091" s="1" t="n">
        <v>45736</v>
      </c>
      <c r="D7091" t="inlineStr">
        <is>
          <t>VÄRMLANDS LÄN</t>
        </is>
      </c>
      <c r="E7091" t="inlineStr">
        <is>
          <t>KRISTINEHAMN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27223-2022</t>
        </is>
      </c>
      <c r="B7092" s="1" t="n">
        <v>44741</v>
      </c>
      <c r="C7092" s="1" t="n">
        <v>45736</v>
      </c>
      <c r="D7092" t="inlineStr">
        <is>
          <t>VÄRMLANDS LÄN</t>
        </is>
      </c>
      <c r="E7092" t="inlineStr">
        <is>
          <t>TORSBY</t>
        </is>
      </c>
      <c r="F7092" t="inlineStr">
        <is>
          <t>Bergvik skog väst AB</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27091-2022</t>
        </is>
      </c>
      <c r="B7093" s="1" t="n">
        <v>44741</v>
      </c>
      <c r="C7093" s="1" t="n">
        <v>45736</v>
      </c>
      <c r="D7093" t="inlineStr">
        <is>
          <t>VÄRMLANDS LÄN</t>
        </is>
      </c>
      <c r="E7093" t="inlineStr">
        <is>
          <t>SUNNE</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27045-2022</t>
        </is>
      </c>
      <c r="B7094" s="1" t="n">
        <v>44741</v>
      </c>
      <c r="C7094" s="1" t="n">
        <v>45736</v>
      </c>
      <c r="D7094" t="inlineStr">
        <is>
          <t>VÄRMLANDS LÄN</t>
        </is>
      </c>
      <c r="E7094" t="inlineStr">
        <is>
          <t>HAGFORS</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27131-2022</t>
        </is>
      </c>
      <c r="B7095" s="1" t="n">
        <v>44741</v>
      </c>
      <c r="C7095" s="1" t="n">
        <v>45736</v>
      </c>
      <c r="D7095" t="inlineStr">
        <is>
          <t>VÄRMLANDS LÄN</t>
        </is>
      </c>
      <c r="E7095" t="inlineStr">
        <is>
          <t>ARVIKA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27150-2022</t>
        </is>
      </c>
      <c r="B7096" s="1" t="n">
        <v>44741</v>
      </c>
      <c r="C7096" s="1" t="n">
        <v>45736</v>
      </c>
      <c r="D7096" t="inlineStr">
        <is>
          <t>VÄRMLANDS LÄN</t>
        </is>
      </c>
      <c r="E7096" t="inlineStr">
        <is>
          <t>KRISTINEHAMN</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27189-2022</t>
        </is>
      </c>
      <c r="B7097" s="1" t="n">
        <v>44741</v>
      </c>
      <c r="C7097" s="1" t="n">
        <v>45736</v>
      </c>
      <c r="D7097" t="inlineStr">
        <is>
          <t>VÄRMLANDS LÄN</t>
        </is>
      </c>
      <c r="E7097" t="inlineStr">
        <is>
          <t>KRISTINEHAMN</t>
        </is>
      </c>
      <c r="F7097" t="inlineStr">
        <is>
          <t>Bergvik skog väst AB</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27210-2022</t>
        </is>
      </c>
      <c r="B7098" s="1" t="n">
        <v>44741</v>
      </c>
      <c r="C7098" s="1" t="n">
        <v>45736</v>
      </c>
      <c r="D7098" t="inlineStr">
        <is>
          <t>VÄRMLANDS LÄN</t>
        </is>
      </c>
      <c r="E7098" t="inlineStr">
        <is>
          <t>KRISTINEHAMN</t>
        </is>
      </c>
      <c r="F7098" t="inlineStr">
        <is>
          <t>Bergvik skog väst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27190-2022</t>
        </is>
      </c>
      <c r="B7099" s="1" t="n">
        <v>44741</v>
      </c>
      <c r="C7099" s="1" t="n">
        <v>45736</v>
      </c>
      <c r="D7099" t="inlineStr">
        <is>
          <t>VÄRMLANDS LÄN</t>
        </is>
      </c>
      <c r="E7099" t="inlineStr">
        <is>
          <t>MUNKFORS</t>
        </is>
      </c>
      <c r="F7099" t="inlineStr">
        <is>
          <t>Kyrkan</t>
        </is>
      </c>
      <c r="G7099" t="n">
        <v>11.5</v>
      </c>
      <c r="H7099" t="n">
        <v>0</v>
      </c>
      <c r="I7099" t="n">
        <v>0</v>
      </c>
      <c r="J7099" t="n">
        <v>0</v>
      </c>
      <c r="K7099" t="n">
        <v>0</v>
      </c>
      <c r="L7099" t="n">
        <v>0</v>
      </c>
      <c r="M7099" t="n">
        <v>0</v>
      </c>
      <c r="N7099" t="n">
        <v>0</v>
      </c>
      <c r="O7099" t="n">
        <v>0</v>
      </c>
      <c r="P7099" t="n">
        <v>0</v>
      </c>
      <c r="Q7099" t="n">
        <v>0</v>
      </c>
      <c r="R7099" s="2" t="inlineStr"/>
    </row>
    <row r="7100" ht="15" customHeight="1">
      <c r="A7100" t="inlineStr">
        <is>
          <t>A 27304-2022</t>
        </is>
      </c>
      <c r="B7100" s="1" t="n">
        <v>44742</v>
      </c>
      <c r="C7100" s="1" t="n">
        <v>45736</v>
      </c>
      <c r="D7100" t="inlineStr">
        <is>
          <t>VÄRMLANDS LÄN</t>
        </is>
      </c>
      <c r="E7100" t="inlineStr">
        <is>
          <t>ARVIKA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27394-2022</t>
        </is>
      </c>
      <c r="B7101" s="1" t="n">
        <v>44742</v>
      </c>
      <c r="C7101" s="1" t="n">
        <v>45736</v>
      </c>
      <c r="D7101" t="inlineStr">
        <is>
          <t>VÄRMLANDS LÄN</t>
        </is>
      </c>
      <c r="E7101" t="inlineStr">
        <is>
          <t>KRISTINEHAMN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27442-2022</t>
        </is>
      </c>
      <c r="B7102" s="1" t="n">
        <v>44742</v>
      </c>
      <c r="C7102" s="1" t="n">
        <v>45736</v>
      </c>
      <c r="D7102" t="inlineStr">
        <is>
          <t>VÄRMLANDS LÄN</t>
        </is>
      </c>
      <c r="E7102" t="inlineStr">
        <is>
          <t>SUNNE</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27450-2022</t>
        </is>
      </c>
      <c r="B7103" s="1" t="n">
        <v>44742</v>
      </c>
      <c r="C7103" s="1" t="n">
        <v>45736</v>
      </c>
      <c r="D7103" t="inlineStr">
        <is>
          <t>VÄRMLANDS LÄN</t>
        </is>
      </c>
      <c r="E7103" t="inlineStr">
        <is>
          <t>HAGFORS</t>
        </is>
      </c>
      <c r="F7103" t="inlineStr">
        <is>
          <t>Bergvik skog väst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27507-2022</t>
        </is>
      </c>
      <c r="B7104" s="1" t="n">
        <v>44742</v>
      </c>
      <c r="C7104" s="1" t="n">
        <v>45736</v>
      </c>
      <c r="D7104" t="inlineStr">
        <is>
          <t>VÄRMLANDS LÄN</t>
        </is>
      </c>
      <c r="E7104" t="inlineStr">
        <is>
          <t>FORSHAGA</t>
        </is>
      </c>
      <c r="F7104" t="inlineStr">
        <is>
          <t>Bergvik skog väst AB</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27525-2022</t>
        </is>
      </c>
      <c r="B7105" s="1" t="n">
        <v>44742</v>
      </c>
      <c r="C7105" s="1" t="n">
        <v>45736</v>
      </c>
      <c r="D7105" t="inlineStr">
        <is>
          <t>VÄRMLANDS LÄN</t>
        </is>
      </c>
      <c r="E7105" t="inlineStr">
        <is>
          <t>KRISTINEHAMN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27531-2022</t>
        </is>
      </c>
      <c r="B7106" s="1" t="n">
        <v>44742</v>
      </c>
      <c r="C7106" s="1" t="n">
        <v>45736</v>
      </c>
      <c r="D7106" t="inlineStr">
        <is>
          <t>VÄRMLANDS LÄN</t>
        </is>
      </c>
      <c r="E7106" t="inlineStr">
        <is>
          <t>KRISTINEHAMN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27534-2022</t>
        </is>
      </c>
      <c r="B7107" s="1" t="n">
        <v>44742</v>
      </c>
      <c r="C7107" s="1" t="n">
        <v>45736</v>
      </c>
      <c r="D7107" t="inlineStr">
        <is>
          <t>VÄRMLANDS LÄN</t>
        </is>
      </c>
      <c r="E7107" t="inlineStr">
        <is>
          <t>FORSHAGA</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27729-2022</t>
        </is>
      </c>
      <c r="B7108" s="1" t="n">
        <v>44743</v>
      </c>
      <c r="C7108" s="1" t="n">
        <v>45736</v>
      </c>
      <c r="D7108" t="inlineStr">
        <is>
          <t>VÄRMLANDS LÄN</t>
        </is>
      </c>
      <c r="E7108" t="inlineStr">
        <is>
          <t>GRUMS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27686-2022</t>
        </is>
      </c>
      <c r="B7109" s="1" t="n">
        <v>44743</v>
      </c>
      <c r="C7109" s="1" t="n">
        <v>45736</v>
      </c>
      <c r="D7109" t="inlineStr">
        <is>
          <t>VÄRMLANDS LÄN</t>
        </is>
      </c>
      <c r="E7109" t="inlineStr">
        <is>
          <t>TORSBY</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27789-2022</t>
        </is>
      </c>
      <c r="B7110" s="1" t="n">
        <v>44743</v>
      </c>
      <c r="C7110" s="1" t="n">
        <v>45736</v>
      </c>
      <c r="D7110" t="inlineStr">
        <is>
          <t>VÄRMLANDS LÄN</t>
        </is>
      </c>
      <c r="E7110" t="inlineStr">
        <is>
          <t>FILIPSTAD</t>
        </is>
      </c>
      <c r="F7110" t="inlineStr">
        <is>
          <t>Bergvik skog väst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27866-2022</t>
        </is>
      </c>
      <c r="B7111" s="1" t="n">
        <v>44743</v>
      </c>
      <c r="C7111" s="1" t="n">
        <v>45736</v>
      </c>
      <c r="D7111" t="inlineStr">
        <is>
          <t>VÄRMLANDS LÄN</t>
        </is>
      </c>
      <c r="E7111" t="inlineStr">
        <is>
          <t>EDA</t>
        </is>
      </c>
      <c r="G7111" t="n">
        <v>14.3</v>
      </c>
      <c r="H7111" t="n">
        <v>0</v>
      </c>
      <c r="I7111" t="n">
        <v>0</v>
      </c>
      <c r="J7111" t="n">
        <v>0</v>
      </c>
      <c r="K7111" t="n">
        <v>0</v>
      </c>
      <c r="L7111" t="n">
        <v>0</v>
      </c>
      <c r="M7111" t="n">
        <v>0</v>
      </c>
      <c r="N7111" t="n">
        <v>0</v>
      </c>
      <c r="O7111" t="n">
        <v>0</v>
      </c>
      <c r="P7111" t="n">
        <v>0</v>
      </c>
      <c r="Q7111" t="n">
        <v>0</v>
      </c>
      <c r="R7111" s="2" t="inlineStr"/>
    </row>
    <row r="7112" ht="15" customHeight="1">
      <c r="A7112" t="inlineStr">
        <is>
          <t>A 27890-2022</t>
        </is>
      </c>
      <c r="B7112" s="1" t="n">
        <v>44743</v>
      </c>
      <c r="C7112" s="1" t="n">
        <v>45736</v>
      </c>
      <c r="D7112" t="inlineStr">
        <is>
          <t>VÄRMLANDS LÄN</t>
        </is>
      </c>
      <c r="E7112" t="inlineStr">
        <is>
          <t>HAGFORS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27983-2022</t>
        </is>
      </c>
      <c r="B7113" s="1" t="n">
        <v>44745</v>
      </c>
      <c r="C7113" s="1" t="n">
        <v>45736</v>
      </c>
      <c r="D7113" t="inlineStr">
        <is>
          <t>VÄRMLANDS LÄN</t>
        </is>
      </c>
      <c r="E7113" t="inlineStr">
        <is>
          <t>SÄFFLE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27979-2022</t>
        </is>
      </c>
      <c r="B7114" s="1" t="n">
        <v>44745</v>
      </c>
      <c r="C7114" s="1" t="n">
        <v>45736</v>
      </c>
      <c r="D7114" t="inlineStr">
        <is>
          <t>VÄRMLANDS LÄN</t>
        </is>
      </c>
      <c r="E7114" t="inlineStr">
        <is>
          <t>SÄFFLE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27985-2022</t>
        </is>
      </c>
      <c r="B7115" s="1" t="n">
        <v>44745</v>
      </c>
      <c r="C7115" s="1" t="n">
        <v>45736</v>
      </c>
      <c r="D7115" t="inlineStr">
        <is>
          <t>VÄRMLANDS LÄN</t>
        </is>
      </c>
      <c r="E7115" t="inlineStr">
        <is>
          <t>SÄFFLE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28008-2022</t>
        </is>
      </c>
      <c r="B7116" s="1" t="n">
        <v>44746</v>
      </c>
      <c r="C7116" s="1" t="n">
        <v>45736</v>
      </c>
      <c r="D7116" t="inlineStr">
        <is>
          <t>VÄRMLANDS LÄN</t>
        </is>
      </c>
      <c r="E7116" t="inlineStr">
        <is>
          <t>TORSBY</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28016-2022</t>
        </is>
      </c>
      <c r="B7117" s="1" t="n">
        <v>44746</v>
      </c>
      <c r="C7117" s="1" t="n">
        <v>45736</v>
      </c>
      <c r="D7117" t="inlineStr">
        <is>
          <t>VÄRMLANDS LÄN</t>
        </is>
      </c>
      <c r="E7117" t="inlineStr">
        <is>
          <t>TORSBY</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28152-2022</t>
        </is>
      </c>
      <c r="B7118" s="1" t="n">
        <v>44746</v>
      </c>
      <c r="C7118" s="1" t="n">
        <v>45736</v>
      </c>
      <c r="D7118" t="inlineStr">
        <is>
          <t>VÄRMLANDS LÄN</t>
        </is>
      </c>
      <c r="E7118" t="inlineStr">
        <is>
          <t>KRISTINEHAMN</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28191-2022</t>
        </is>
      </c>
      <c r="B7119" s="1" t="n">
        <v>44746</v>
      </c>
      <c r="C7119" s="1" t="n">
        <v>45736</v>
      </c>
      <c r="D7119" t="inlineStr">
        <is>
          <t>VÄRMLANDS LÄN</t>
        </is>
      </c>
      <c r="E7119" t="inlineStr">
        <is>
          <t>SUNNE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28197-2022</t>
        </is>
      </c>
      <c r="B7120" s="1" t="n">
        <v>44746</v>
      </c>
      <c r="C7120" s="1" t="n">
        <v>45736</v>
      </c>
      <c r="D7120" t="inlineStr">
        <is>
          <t>VÄRMLANDS LÄN</t>
        </is>
      </c>
      <c r="E7120" t="inlineStr">
        <is>
          <t>ARVIKA</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28085-2022</t>
        </is>
      </c>
      <c r="B7121" s="1" t="n">
        <v>44746</v>
      </c>
      <c r="C7121" s="1" t="n">
        <v>45736</v>
      </c>
      <c r="D7121" t="inlineStr">
        <is>
          <t>VÄRMLANDS LÄN</t>
        </is>
      </c>
      <c r="E7121" t="inlineStr">
        <is>
          <t>EDA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28117-2022</t>
        </is>
      </c>
      <c r="B7122" s="1" t="n">
        <v>44746</v>
      </c>
      <c r="C7122" s="1" t="n">
        <v>45736</v>
      </c>
      <c r="D7122" t="inlineStr">
        <is>
          <t>VÄRMLANDS LÄN</t>
        </is>
      </c>
      <c r="E7122" t="inlineStr">
        <is>
          <t>KARLSTAD</t>
        </is>
      </c>
      <c r="F7122" t="inlineStr">
        <is>
          <t>Naturvårdsverket</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28087-2022</t>
        </is>
      </c>
      <c r="B7123" s="1" t="n">
        <v>44746</v>
      </c>
      <c r="C7123" s="1" t="n">
        <v>45736</v>
      </c>
      <c r="D7123" t="inlineStr">
        <is>
          <t>VÄRMLANDS LÄN</t>
        </is>
      </c>
      <c r="E7123" t="inlineStr">
        <is>
          <t>ARVIKA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28113-2022</t>
        </is>
      </c>
      <c r="B7124" s="1" t="n">
        <v>44746</v>
      </c>
      <c r="C7124" s="1" t="n">
        <v>45736</v>
      </c>
      <c r="D7124" t="inlineStr">
        <is>
          <t>VÄRMLANDS LÄN</t>
        </is>
      </c>
      <c r="E7124" t="inlineStr">
        <is>
          <t>TORSBY</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28195-2022</t>
        </is>
      </c>
      <c r="B7125" s="1" t="n">
        <v>44746</v>
      </c>
      <c r="C7125" s="1" t="n">
        <v>45736</v>
      </c>
      <c r="D7125" t="inlineStr">
        <is>
          <t>VÄRMLANDS LÄN</t>
        </is>
      </c>
      <c r="E7125" t="inlineStr">
        <is>
          <t>KIL</t>
        </is>
      </c>
      <c r="F7125" t="inlineStr">
        <is>
          <t>Bergvik skog väst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28154-2022</t>
        </is>
      </c>
      <c r="B7126" s="1" t="n">
        <v>44746</v>
      </c>
      <c r="C7126" s="1" t="n">
        <v>45736</v>
      </c>
      <c r="D7126" t="inlineStr">
        <is>
          <t>VÄRMLANDS LÄN</t>
        </is>
      </c>
      <c r="E7126" t="inlineStr">
        <is>
          <t>KARLSTAD</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28172-2022</t>
        </is>
      </c>
      <c r="B7127" s="1" t="n">
        <v>44746</v>
      </c>
      <c r="C7127" s="1" t="n">
        <v>45736</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28130-2022</t>
        </is>
      </c>
      <c r="B7128" s="1" t="n">
        <v>44746</v>
      </c>
      <c r="C7128" s="1" t="n">
        <v>45736</v>
      </c>
      <c r="D7128" t="inlineStr">
        <is>
          <t>VÄRMLANDS LÄN</t>
        </is>
      </c>
      <c r="E7128" t="inlineStr">
        <is>
          <t>EDA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28198-2022</t>
        </is>
      </c>
      <c r="B7129" s="1" t="n">
        <v>44746</v>
      </c>
      <c r="C7129" s="1" t="n">
        <v>45736</v>
      </c>
      <c r="D7129" t="inlineStr">
        <is>
          <t>VÄRMLANDS LÄN</t>
        </is>
      </c>
      <c r="E7129" t="inlineStr">
        <is>
          <t>FILIPSTAD</t>
        </is>
      </c>
      <c r="F7129" t="inlineStr">
        <is>
          <t>Bergvik skog väst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28316-2022</t>
        </is>
      </c>
      <c r="B7130" s="1" t="n">
        <v>44747</v>
      </c>
      <c r="C7130" s="1" t="n">
        <v>45736</v>
      </c>
      <c r="D7130" t="inlineStr">
        <is>
          <t>VÄRMLANDS LÄN</t>
        </is>
      </c>
      <c r="E7130" t="inlineStr">
        <is>
          <t>MUNKFORS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28327-2022</t>
        </is>
      </c>
      <c r="B7131" s="1" t="n">
        <v>44747</v>
      </c>
      <c r="C7131" s="1" t="n">
        <v>45736</v>
      </c>
      <c r="D7131" t="inlineStr">
        <is>
          <t>VÄRMLANDS LÄN</t>
        </is>
      </c>
      <c r="E7131" t="inlineStr">
        <is>
          <t>FORSHAGA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28371-2022</t>
        </is>
      </c>
      <c r="B7132" s="1" t="n">
        <v>44747</v>
      </c>
      <c r="C7132" s="1" t="n">
        <v>45736</v>
      </c>
      <c r="D7132" t="inlineStr">
        <is>
          <t>VÄRMLANDS LÄN</t>
        </is>
      </c>
      <c r="E7132" t="inlineStr">
        <is>
          <t>ÅRJÄNG</t>
        </is>
      </c>
      <c r="F7132" t="inlineStr">
        <is>
          <t>Naturvårdsverket</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28391-2022</t>
        </is>
      </c>
      <c r="B7133" s="1" t="n">
        <v>44747</v>
      </c>
      <c r="C7133" s="1" t="n">
        <v>45736</v>
      </c>
      <c r="D7133" t="inlineStr">
        <is>
          <t>VÄRMLANDS LÄN</t>
        </is>
      </c>
      <c r="E7133" t="inlineStr">
        <is>
          <t>SUNNE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28439-2022</t>
        </is>
      </c>
      <c r="B7134" s="1" t="n">
        <v>44747</v>
      </c>
      <c r="C7134" s="1" t="n">
        <v>45736</v>
      </c>
      <c r="D7134" t="inlineStr">
        <is>
          <t>VÄRMLANDS LÄN</t>
        </is>
      </c>
      <c r="E7134" t="inlineStr">
        <is>
          <t>ÅRJÄNG</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28384-2022</t>
        </is>
      </c>
      <c r="B7135" s="1" t="n">
        <v>44747</v>
      </c>
      <c r="C7135" s="1" t="n">
        <v>45736</v>
      </c>
      <c r="D7135" t="inlineStr">
        <is>
          <t>VÄRMLANDS LÄN</t>
        </is>
      </c>
      <c r="E7135" t="inlineStr">
        <is>
          <t>ÅRJÄNG</t>
        </is>
      </c>
      <c r="F7135" t="inlineStr">
        <is>
          <t>Naturvårdsverket</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28382-2022</t>
        </is>
      </c>
      <c r="B7136" s="1" t="n">
        <v>44747</v>
      </c>
      <c r="C7136" s="1" t="n">
        <v>45736</v>
      </c>
      <c r="D7136" t="inlineStr">
        <is>
          <t>VÄRMLANDS LÄN</t>
        </is>
      </c>
      <c r="E7136" t="inlineStr">
        <is>
          <t>ÅRJÄNG</t>
        </is>
      </c>
      <c r="F7136" t="inlineStr">
        <is>
          <t>Naturvårdsverket</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28392-2022</t>
        </is>
      </c>
      <c r="B7137" s="1" t="n">
        <v>44747</v>
      </c>
      <c r="C7137" s="1" t="n">
        <v>45736</v>
      </c>
      <c r="D7137" t="inlineStr">
        <is>
          <t>VÄRMLANDS LÄN</t>
        </is>
      </c>
      <c r="E7137" t="inlineStr">
        <is>
          <t>SUNNE</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28396-2022</t>
        </is>
      </c>
      <c r="B7138" s="1" t="n">
        <v>44747</v>
      </c>
      <c r="C7138" s="1" t="n">
        <v>45736</v>
      </c>
      <c r="D7138" t="inlineStr">
        <is>
          <t>VÄRMLANDS LÄN</t>
        </is>
      </c>
      <c r="E7138" t="inlineStr">
        <is>
          <t>SUNNE</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28389-2022</t>
        </is>
      </c>
      <c r="B7139" s="1" t="n">
        <v>44747</v>
      </c>
      <c r="C7139" s="1" t="n">
        <v>45736</v>
      </c>
      <c r="D7139" t="inlineStr">
        <is>
          <t>VÄRMLANDS LÄN</t>
        </is>
      </c>
      <c r="E7139" t="inlineStr">
        <is>
          <t>SUNNE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28471-2022</t>
        </is>
      </c>
      <c r="B7140" s="1" t="n">
        <v>44747</v>
      </c>
      <c r="C7140" s="1" t="n">
        <v>45736</v>
      </c>
      <c r="D7140" t="inlineStr">
        <is>
          <t>VÄRMLANDS LÄN</t>
        </is>
      </c>
      <c r="E7140" t="inlineStr">
        <is>
          <t>TORSBY</t>
        </is>
      </c>
      <c r="F7140" t="inlineStr">
        <is>
          <t>Bergvik skog väst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28467-2022</t>
        </is>
      </c>
      <c r="B7141" s="1" t="n">
        <v>44747</v>
      </c>
      <c r="C7141" s="1" t="n">
        <v>45736</v>
      </c>
      <c r="D7141" t="inlineStr">
        <is>
          <t>VÄRMLANDS LÄN</t>
        </is>
      </c>
      <c r="E7141" t="inlineStr">
        <is>
          <t>STORFORS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28466-2022</t>
        </is>
      </c>
      <c r="B7142" s="1" t="n">
        <v>44747</v>
      </c>
      <c r="C7142" s="1" t="n">
        <v>45736</v>
      </c>
      <c r="D7142" t="inlineStr">
        <is>
          <t>VÄRMLANDS LÄN</t>
        </is>
      </c>
      <c r="E7142" t="inlineStr">
        <is>
          <t>STORFORS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28544-2022</t>
        </is>
      </c>
      <c r="B7143" s="1" t="n">
        <v>44748</v>
      </c>
      <c r="C7143" s="1" t="n">
        <v>45736</v>
      </c>
      <c r="D7143" t="inlineStr">
        <is>
          <t>VÄRMLANDS LÄN</t>
        </is>
      </c>
      <c r="E7143" t="inlineStr">
        <is>
          <t>SÄFFLE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28547-2022</t>
        </is>
      </c>
      <c r="B7144" s="1" t="n">
        <v>44748</v>
      </c>
      <c r="C7144" s="1" t="n">
        <v>45736</v>
      </c>
      <c r="D7144" t="inlineStr">
        <is>
          <t>VÄRMLANDS LÄN</t>
        </is>
      </c>
      <c r="E7144" t="inlineStr">
        <is>
          <t>ARVIKA</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28534-2022</t>
        </is>
      </c>
      <c r="B7145" s="1" t="n">
        <v>44748</v>
      </c>
      <c r="C7145" s="1" t="n">
        <v>45736</v>
      </c>
      <c r="D7145" t="inlineStr">
        <is>
          <t>VÄRMLANDS LÄN</t>
        </is>
      </c>
      <c r="E7145" t="inlineStr">
        <is>
          <t>SÄFFLE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28548-2022</t>
        </is>
      </c>
      <c r="B7146" s="1" t="n">
        <v>44748</v>
      </c>
      <c r="C7146" s="1" t="n">
        <v>45736</v>
      </c>
      <c r="D7146" t="inlineStr">
        <is>
          <t>VÄRMLANDS LÄN</t>
        </is>
      </c>
      <c r="E7146" t="inlineStr">
        <is>
          <t>ARVIKA</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28572-2022</t>
        </is>
      </c>
      <c r="B7147" s="1" t="n">
        <v>44748</v>
      </c>
      <c r="C7147" s="1" t="n">
        <v>45736</v>
      </c>
      <c r="D7147" t="inlineStr">
        <is>
          <t>VÄRMLANDS LÄN</t>
        </is>
      </c>
      <c r="E7147" t="inlineStr">
        <is>
          <t>SUNNE</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28674-2022</t>
        </is>
      </c>
      <c r="B7148" s="1" t="n">
        <v>44748</v>
      </c>
      <c r="C7148" s="1" t="n">
        <v>45736</v>
      </c>
      <c r="D7148" t="inlineStr">
        <is>
          <t>VÄRMLANDS LÄN</t>
        </is>
      </c>
      <c r="E7148" t="inlineStr">
        <is>
          <t>MUNKFORS</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28904-2022</t>
        </is>
      </c>
      <c r="B7149" s="1" t="n">
        <v>44749</v>
      </c>
      <c r="C7149" s="1" t="n">
        <v>45736</v>
      </c>
      <c r="D7149" t="inlineStr">
        <is>
          <t>VÄRMLANDS LÄN</t>
        </is>
      </c>
      <c r="E7149" t="inlineStr">
        <is>
          <t>ÅRJÄNG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28982-2022</t>
        </is>
      </c>
      <c r="B7150" s="1" t="n">
        <v>44749</v>
      </c>
      <c r="C7150" s="1" t="n">
        <v>45736</v>
      </c>
      <c r="D7150" t="inlineStr">
        <is>
          <t>VÄRMLANDS LÄN</t>
        </is>
      </c>
      <c r="E7150" t="inlineStr">
        <is>
          <t>HAGFORS</t>
        </is>
      </c>
      <c r="F7150" t="inlineStr">
        <is>
          <t>Bergvik skog väst AB</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28759-2022</t>
        </is>
      </c>
      <c r="B7151" s="1" t="n">
        <v>44749</v>
      </c>
      <c r="C7151" s="1" t="n">
        <v>45736</v>
      </c>
      <c r="D7151" t="inlineStr">
        <is>
          <t>VÄRMLANDS LÄN</t>
        </is>
      </c>
      <c r="E7151" t="inlineStr">
        <is>
          <t>KRISTINEHAMN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28807-2022</t>
        </is>
      </c>
      <c r="B7152" s="1" t="n">
        <v>44749</v>
      </c>
      <c r="C7152" s="1" t="n">
        <v>45736</v>
      </c>
      <c r="D7152" t="inlineStr">
        <is>
          <t>VÄRMLANDS LÄN</t>
        </is>
      </c>
      <c r="E7152" t="inlineStr">
        <is>
          <t>SUNNE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28822-2022</t>
        </is>
      </c>
      <c r="B7153" s="1" t="n">
        <v>44749</v>
      </c>
      <c r="C7153" s="1" t="n">
        <v>45736</v>
      </c>
      <c r="D7153" t="inlineStr">
        <is>
          <t>VÄRMLANDS LÄN</t>
        </is>
      </c>
      <c r="E7153" t="inlineStr">
        <is>
          <t>HAGFORS</t>
        </is>
      </c>
      <c r="F7153" t="inlineStr">
        <is>
          <t>Bergvik skog väst AB</t>
        </is>
      </c>
      <c r="G7153" t="n">
        <v>8.199999999999999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28829-2022</t>
        </is>
      </c>
      <c r="B7154" s="1" t="n">
        <v>44749</v>
      </c>
      <c r="C7154" s="1" t="n">
        <v>45736</v>
      </c>
      <c r="D7154" t="inlineStr">
        <is>
          <t>VÄRMLANDS LÄN</t>
        </is>
      </c>
      <c r="E7154" t="inlineStr">
        <is>
          <t>KARLSTAD</t>
        </is>
      </c>
      <c r="F7154" t="inlineStr">
        <is>
          <t>Kyrkan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28955-2022</t>
        </is>
      </c>
      <c r="B7155" s="1" t="n">
        <v>44749</v>
      </c>
      <c r="C7155" s="1" t="n">
        <v>45736</v>
      </c>
      <c r="D7155" t="inlineStr">
        <is>
          <t>VÄRMLANDS LÄN</t>
        </is>
      </c>
      <c r="E7155" t="inlineStr">
        <is>
          <t>TORSBY</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28876-2022</t>
        </is>
      </c>
      <c r="B7156" s="1" t="n">
        <v>44749</v>
      </c>
      <c r="C7156" s="1" t="n">
        <v>45736</v>
      </c>
      <c r="D7156" t="inlineStr">
        <is>
          <t>VÄRMLANDS LÄN</t>
        </is>
      </c>
      <c r="E7156" t="inlineStr">
        <is>
          <t>SUNNE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28925-2022</t>
        </is>
      </c>
      <c r="B7157" s="1" t="n">
        <v>44749</v>
      </c>
      <c r="C7157" s="1" t="n">
        <v>45736</v>
      </c>
      <c r="D7157" t="inlineStr">
        <is>
          <t>VÄRMLANDS LÄN</t>
        </is>
      </c>
      <c r="E7157" t="inlineStr">
        <is>
          <t>ÅRJÄNG</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28934-2022</t>
        </is>
      </c>
      <c r="B7158" s="1" t="n">
        <v>44749</v>
      </c>
      <c r="C7158" s="1" t="n">
        <v>45736</v>
      </c>
      <c r="D7158" t="inlineStr">
        <is>
          <t>VÄRMLANDS LÄN</t>
        </is>
      </c>
      <c r="E7158" t="inlineStr">
        <is>
          <t>ÅRJÄNG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29098-2022</t>
        </is>
      </c>
      <c r="B7159" s="1" t="n">
        <v>44750</v>
      </c>
      <c r="C7159" s="1" t="n">
        <v>45736</v>
      </c>
      <c r="D7159" t="inlineStr">
        <is>
          <t>VÄRMLANDS LÄN</t>
        </is>
      </c>
      <c r="E7159" t="inlineStr">
        <is>
          <t>ÅRJÄNG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29067-2022</t>
        </is>
      </c>
      <c r="B7160" s="1" t="n">
        <v>44750</v>
      </c>
      <c r="C7160" s="1" t="n">
        <v>45736</v>
      </c>
      <c r="D7160" t="inlineStr">
        <is>
          <t>VÄRMLANDS LÄN</t>
        </is>
      </c>
      <c r="E7160" t="inlineStr">
        <is>
          <t>ARVIKA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29129-2022</t>
        </is>
      </c>
      <c r="B7161" s="1" t="n">
        <v>44750</v>
      </c>
      <c r="C7161" s="1" t="n">
        <v>45736</v>
      </c>
      <c r="D7161" t="inlineStr">
        <is>
          <t>VÄRMLANDS LÄN</t>
        </is>
      </c>
      <c r="E7161" t="inlineStr">
        <is>
          <t>SUNNE</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29194-2022</t>
        </is>
      </c>
      <c r="B7162" s="1" t="n">
        <v>44750</v>
      </c>
      <c r="C7162" s="1" t="n">
        <v>45736</v>
      </c>
      <c r="D7162" t="inlineStr">
        <is>
          <t>VÄRMLANDS LÄN</t>
        </is>
      </c>
      <c r="E7162" t="inlineStr">
        <is>
          <t>ARVIKA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29258-2022</t>
        </is>
      </c>
      <c r="B7163" s="1" t="n">
        <v>44750</v>
      </c>
      <c r="C7163" s="1" t="n">
        <v>45736</v>
      </c>
      <c r="D7163" t="inlineStr">
        <is>
          <t>VÄRMLANDS LÄN</t>
        </is>
      </c>
      <c r="E7163" t="inlineStr">
        <is>
          <t>EDA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29363-2022</t>
        </is>
      </c>
      <c r="B7164" s="1" t="n">
        <v>44750</v>
      </c>
      <c r="C7164" s="1" t="n">
        <v>45736</v>
      </c>
      <c r="D7164" t="inlineStr">
        <is>
          <t>VÄRMLANDS LÄN</t>
        </is>
      </c>
      <c r="E7164" t="inlineStr">
        <is>
          <t>SÄFFLE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29174-2022</t>
        </is>
      </c>
      <c r="B7165" s="1" t="n">
        <v>44750</v>
      </c>
      <c r="C7165" s="1" t="n">
        <v>45736</v>
      </c>
      <c r="D7165" t="inlineStr">
        <is>
          <t>VÄRMLANDS LÄN</t>
        </is>
      </c>
      <c r="E7165" t="inlineStr">
        <is>
          <t>ÅRJÄNG</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29142-2022</t>
        </is>
      </c>
      <c r="B7166" s="1" t="n">
        <v>44750</v>
      </c>
      <c r="C7166" s="1" t="n">
        <v>45736</v>
      </c>
      <c r="D7166" t="inlineStr">
        <is>
          <t>VÄRMLANDS LÄN</t>
        </is>
      </c>
      <c r="E7166" t="inlineStr">
        <is>
          <t>TORSBY</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29379-2022</t>
        </is>
      </c>
      <c r="B7167" s="1" t="n">
        <v>44753</v>
      </c>
      <c r="C7167" s="1" t="n">
        <v>45736</v>
      </c>
      <c r="D7167" t="inlineStr">
        <is>
          <t>VÄRMLANDS LÄN</t>
        </is>
      </c>
      <c r="E7167" t="inlineStr">
        <is>
          <t>HAGFORS</t>
        </is>
      </c>
      <c r="F7167" t="inlineStr">
        <is>
          <t>Bergvik skog väst AB</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29489-2022</t>
        </is>
      </c>
      <c r="B7168" s="1" t="n">
        <v>44753</v>
      </c>
      <c r="C7168" s="1" t="n">
        <v>45736</v>
      </c>
      <c r="D7168" t="inlineStr">
        <is>
          <t>VÄRMLANDS LÄN</t>
        </is>
      </c>
      <c r="E7168" t="inlineStr">
        <is>
          <t>SUNNE</t>
        </is>
      </c>
      <c r="F7168" t="inlineStr">
        <is>
          <t>Övriga Aktiebolag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29507-2022</t>
        </is>
      </c>
      <c r="B7169" s="1" t="n">
        <v>44753</v>
      </c>
      <c r="C7169" s="1" t="n">
        <v>45736</v>
      </c>
      <c r="D7169" t="inlineStr">
        <is>
          <t>VÄRMLANDS LÄN</t>
        </is>
      </c>
      <c r="E7169" t="inlineStr">
        <is>
          <t>FORSHAGA</t>
        </is>
      </c>
      <c r="F7169" t="inlineStr">
        <is>
          <t>Kommuner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29426-2022</t>
        </is>
      </c>
      <c r="B7170" s="1" t="n">
        <v>44753</v>
      </c>
      <c r="C7170" s="1" t="n">
        <v>45736</v>
      </c>
      <c r="D7170" t="inlineStr">
        <is>
          <t>VÄRMLANDS LÄN</t>
        </is>
      </c>
      <c r="E7170" t="inlineStr">
        <is>
          <t>GRUMS</t>
        </is>
      </c>
      <c r="F7170" t="inlineStr">
        <is>
          <t>Bergvik skog väst AB</t>
        </is>
      </c>
      <c r="G7170" t="n">
        <v>14.4</v>
      </c>
      <c r="H7170" t="n">
        <v>0</v>
      </c>
      <c r="I7170" t="n">
        <v>0</v>
      </c>
      <c r="J7170" t="n">
        <v>0</v>
      </c>
      <c r="K7170" t="n">
        <v>0</v>
      </c>
      <c r="L7170" t="n">
        <v>0</v>
      </c>
      <c r="M7170" t="n">
        <v>0</v>
      </c>
      <c r="N7170" t="n">
        <v>0</v>
      </c>
      <c r="O7170" t="n">
        <v>0</v>
      </c>
      <c r="P7170" t="n">
        <v>0</v>
      </c>
      <c r="Q7170" t="n">
        <v>0</v>
      </c>
      <c r="R7170" s="2" t="inlineStr"/>
    </row>
    <row r="7171" ht="15" customHeight="1">
      <c r="A7171" t="inlineStr">
        <is>
          <t>A 29520-2022</t>
        </is>
      </c>
      <c r="B7171" s="1" t="n">
        <v>44753</v>
      </c>
      <c r="C7171" s="1" t="n">
        <v>45736</v>
      </c>
      <c r="D7171" t="inlineStr">
        <is>
          <t>VÄRMLANDS LÄN</t>
        </is>
      </c>
      <c r="E7171" t="inlineStr">
        <is>
          <t>FORSHAGA</t>
        </is>
      </c>
      <c r="F7171" t="inlineStr">
        <is>
          <t>Kommuner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29526-2022</t>
        </is>
      </c>
      <c r="B7172" s="1" t="n">
        <v>44753</v>
      </c>
      <c r="C7172" s="1" t="n">
        <v>45736</v>
      </c>
      <c r="D7172" t="inlineStr">
        <is>
          <t>VÄRMLANDS LÄN</t>
        </is>
      </c>
      <c r="E7172" t="inlineStr">
        <is>
          <t>KRISTINEHAMN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29509-2022</t>
        </is>
      </c>
      <c r="B7173" s="1" t="n">
        <v>44753</v>
      </c>
      <c r="C7173" s="1" t="n">
        <v>45736</v>
      </c>
      <c r="D7173" t="inlineStr">
        <is>
          <t>VÄRMLANDS LÄN</t>
        </is>
      </c>
      <c r="E7173" t="inlineStr">
        <is>
          <t>TORSBY</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29515-2022</t>
        </is>
      </c>
      <c r="B7174" s="1" t="n">
        <v>44753</v>
      </c>
      <c r="C7174" s="1" t="n">
        <v>45736</v>
      </c>
      <c r="D7174" t="inlineStr">
        <is>
          <t>VÄRMLANDS LÄN</t>
        </is>
      </c>
      <c r="E7174" t="inlineStr">
        <is>
          <t>GRUMS</t>
        </is>
      </c>
      <c r="F7174" t="inlineStr">
        <is>
          <t>Bergvik skog väst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29521-2022</t>
        </is>
      </c>
      <c r="B7175" s="1" t="n">
        <v>44753</v>
      </c>
      <c r="C7175" s="1" t="n">
        <v>45736</v>
      </c>
      <c r="D7175" t="inlineStr">
        <is>
          <t>VÄRMLANDS LÄN</t>
        </is>
      </c>
      <c r="E7175" t="inlineStr">
        <is>
          <t>ARVIKA</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29590-2022</t>
        </is>
      </c>
      <c r="B7176" s="1" t="n">
        <v>44754</v>
      </c>
      <c r="C7176" s="1" t="n">
        <v>45736</v>
      </c>
      <c r="D7176" t="inlineStr">
        <is>
          <t>VÄRMLANDS LÄN</t>
        </is>
      </c>
      <c r="E7176" t="inlineStr">
        <is>
          <t>FORSHAGA</t>
        </is>
      </c>
      <c r="F7176" t="inlineStr">
        <is>
          <t>Kommuner</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29619-2022</t>
        </is>
      </c>
      <c r="B7177" s="1" t="n">
        <v>44754</v>
      </c>
      <c r="C7177" s="1" t="n">
        <v>45736</v>
      </c>
      <c r="D7177" t="inlineStr">
        <is>
          <t>VÄRMLANDS LÄN</t>
        </is>
      </c>
      <c r="E7177" t="inlineStr">
        <is>
          <t>ARVIKA</t>
        </is>
      </c>
      <c r="F7177" t="inlineStr">
        <is>
          <t>Bergvik skog väst AB</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29645-2022</t>
        </is>
      </c>
      <c r="B7178" s="1" t="n">
        <v>44754</v>
      </c>
      <c r="C7178" s="1" t="n">
        <v>45736</v>
      </c>
      <c r="D7178" t="inlineStr">
        <is>
          <t>VÄRMLANDS LÄN</t>
        </is>
      </c>
      <c r="E7178" t="inlineStr">
        <is>
          <t>ÅRJÄNG</t>
        </is>
      </c>
      <c r="F7178" t="inlineStr">
        <is>
          <t>Bergvik skog väst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29596-2022</t>
        </is>
      </c>
      <c r="B7179" s="1" t="n">
        <v>44754</v>
      </c>
      <c r="C7179" s="1" t="n">
        <v>45736</v>
      </c>
      <c r="D7179" t="inlineStr">
        <is>
          <t>VÄRMLANDS LÄN</t>
        </is>
      </c>
      <c r="E7179" t="inlineStr">
        <is>
          <t>TORSBY</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29615-2022</t>
        </is>
      </c>
      <c r="B7180" s="1" t="n">
        <v>44754</v>
      </c>
      <c r="C7180" s="1" t="n">
        <v>45736</v>
      </c>
      <c r="D7180" t="inlineStr">
        <is>
          <t>VÄRMLANDS LÄN</t>
        </is>
      </c>
      <c r="E7180" t="inlineStr">
        <is>
          <t>KIL</t>
        </is>
      </c>
      <c r="F7180" t="inlineStr">
        <is>
          <t>Kyrkan</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29588-2022</t>
        </is>
      </c>
      <c r="B7181" s="1" t="n">
        <v>44754</v>
      </c>
      <c r="C7181" s="1" t="n">
        <v>45736</v>
      </c>
      <c r="D7181" t="inlineStr">
        <is>
          <t>VÄRMLANDS LÄN</t>
        </is>
      </c>
      <c r="E7181" t="inlineStr">
        <is>
          <t>SUNNE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29603-2022</t>
        </is>
      </c>
      <c r="B7182" s="1" t="n">
        <v>44754</v>
      </c>
      <c r="C7182" s="1" t="n">
        <v>45736</v>
      </c>
      <c r="D7182" t="inlineStr">
        <is>
          <t>VÄRMLANDS LÄN</t>
        </is>
      </c>
      <c r="E7182" t="inlineStr">
        <is>
          <t>ARVIKA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29655-2022</t>
        </is>
      </c>
      <c r="B7183" s="1" t="n">
        <v>44754</v>
      </c>
      <c r="C7183" s="1" t="n">
        <v>45736</v>
      </c>
      <c r="D7183" t="inlineStr">
        <is>
          <t>VÄRMLANDS LÄN</t>
        </is>
      </c>
      <c r="E7183" t="inlineStr">
        <is>
          <t>KARLSTAD</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29578-2022</t>
        </is>
      </c>
      <c r="B7184" s="1" t="n">
        <v>44754</v>
      </c>
      <c r="C7184" s="1" t="n">
        <v>45736</v>
      </c>
      <c r="D7184" t="inlineStr">
        <is>
          <t>VÄRMLANDS LÄN</t>
        </is>
      </c>
      <c r="E7184" t="inlineStr">
        <is>
          <t>ARVIKA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29587-2022</t>
        </is>
      </c>
      <c r="B7185" s="1" t="n">
        <v>44754</v>
      </c>
      <c r="C7185" s="1" t="n">
        <v>45736</v>
      </c>
      <c r="D7185" t="inlineStr">
        <is>
          <t>VÄRMLANDS LÄN</t>
        </is>
      </c>
      <c r="E7185" t="inlineStr">
        <is>
          <t>FORSHAGA</t>
        </is>
      </c>
      <c r="F7185" t="inlineStr">
        <is>
          <t>Kommuner</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29608-2022</t>
        </is>
      </c>
      <c r="B7186" s="1" t="n">
        <v>44754</v>
      </c>
      <c r="C7186" s="1" t="n">
        <v>45736</v>
      </c>
      <c r="D7186" t="inlineStr">
        <is>
          <t>VÄRMLANDS LÄN</t>
        </is>
      </c>
      <c r="E7186" t="inlineStr">
        <is>
          <t>KIL</t>
        </is>
      </c>
      <c r="F7186" t="inlineStr">
        <is>
          <t>Kyrkan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29654-2022</t>
        </is>
      </c>
      <c r="B7187" s="1" t="n">
        <v>44754</v>
      </c>
      <c r="C7187" s="1" t="n">
        <v>45736</v>
      </c>
      <c r="D7187" t="inlineStr">
        <is>
          <t>VÄRMLANDS LÄN</t>
        </is>
      </c>
      <c r="E7187" t="inlineStr">
        <is>
          <t>KARLSTAD</t>
        </is>
      </c>
      <c r="F7187" t="inlineStr">
        <is>
          <t>Kommuner</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29602-2022</t>
        </is>
      </c>
      <c r="B7188" s="1" t="n">
        <v>44754</v>
      </c>
      <c r="C7188" s="1" t="n">
        <v>45736</v>
      </c>
      <c r="D7188" t="inlineStr">
        <is>
          <t>VÄRMLANDS LÄN</t>
        </is>
      </c>
      <c r="E7188" t="inlineStr">
        <is>
          <t>HAGFORS</t>
        </is>
      </c>
      <c r="F7188" t="inlineStr">
        <is>
          <t>Bergvik skog väst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29699-2022</t>
        </is>
      </c>
      <c r="B7189" s="1" t="n">
        <v>44755</v>
      </c>
      <c r="C7189" s="1" t="n">
        <v>45736</v>
      </c>
      <c r="D7189" t="inlineStr">
        <is>
          <t>VÄRMLANDS LÄN</t>
        </is>
      </c>
      <c r="E7189" t="inlineStr">
        <is>
          <t>GRUMS</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29761-2022</t>
        </is>
      </c>
      <c r="B7190" s="1" t="n">
        <v>44755</v>
      </c>
      <c r="C7190" s="1" t="n">
        <v>45736</v>
      </c>
      <c r="D7190" t="inlineStr">
        <is>
          <t>VÄRMLANDS LÄN</t>
        </is>
      </c>
      <c r="E7190" t="inlineStr">
        <is>
          <t>HAGFORS</t>
        </is>
      </c>
      <c r="F7190" t="inlineStr">
        <is>
          <t>Bergvik skog väst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29792-2022</t>
        </is>
      </c>
      <c r="B7191" s="1" t="n">
        <v>44755</v>
      </c>
      <c r="C7191" s="1" t="n">
        <v>45736</v>
      </c>
      <c r="D7191" t="inlineStr">
        <is>
          <t>VÄRMLANDS LÄN</t>
        </is>
      </c>
      <c r="E7191" t="inlineStr">
        <is>
          <t>ÅRJÄNG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29717-2022</t>
        </is>
      </c>
      <c r="B7192" s="1" t="n">
        <v>44755</v>
      </c>
      <c r="C7192" s="1" t="n">
        <v>45736</v>
      </c>
      <c r="D7192" t="inlineStr">
        <is>
          <t>VÄRMLANDS LÄN</t>
        </is>
      </c>
      <c r="E7192" t="inlineStr">
        <is>
          <t>TORSBY</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29720-2022</t>
        </is>
      </c>
      <c r="B7193" s="1" t="n">
        <v>44755</v>
      </c>
      <c r="C7193" s="1" t="n">
        <v>45736</v>
      </c>
      <c r="D7193" t="inlineStr">
        <is>
          <t>VÄRMLANDS LÄN</t>
        </is>
      </c>
      <c r="E7193" t="inlineStr">
        <is>
          <t>TORSBY</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29694-2022</t>
        </is>
      </c>
      <c r="B7194" s="1" t="n">
        <v>44755</v>
      </c>
      <c r="C7194" s="1" t="n">
        <v>45736</v>
      </c>
      <c r="D7194" t="inlineStr">
        <is>
          <t>VÄRMLANDS LÄN</t>
        </is>
      </c>
      <c r="E7194" t="inlineStr">
        <is>
          <t>ÅRJÄNG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29721-2022</t>
        </is>
      </c>
      <c r="B7195" s="1" t="n">
        <v>44755</v>
      </c>
      <c r="C7195" s="1" t="n">
        <v>45736</v>
      </c>
      <c r="D7195" t="inlineStr">
        <is>
          <t>VÄRMLANDS LÄN</t>
        </is>
      </c>
      <c r="E7195" t="inlineStr">
        <is>
          <t>TORSBY</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29901-2022</t>
        </is>
      </c>
      <c r="B7196" s="1" t="n">
        <v>44756</v>
      </c>
      <c r="C7196" s="1" t="n">
        <v>45736</v>
      </c>
      <c r="D7196" t="inlineStr">
        <is>
          <t>VÄRMLANDS LÄN</t>
        </is>
      </c>
      <c r="E7196" t="inlineStr">
        <is>
          <t>TORSBY</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29908-2022</t>
        </is>
      </c>
      <c r="B7197" s="1" t="n">
        <v>44756</v>
      </c>
      <c r="C7197" s="1" t="n">
        <v>45736</v>
      </c>
      <c r="D7197" t="inlineStr">
        <is>
          <t>VÄRMLANDS LÄN</t>
        </is>
      </c>
      <c r="E7197" t="inlineStr">
        <is>
          <t>TORSBY</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29852-2022</t>
        </is>
      </c>
      <c r="B7198" s="1" t="n">
        <v>44756</v>
      </c>
      <c r="C7198" s="1" t="n">
        <v>45736</v>
      </c>
      <c r="D7198" t="inlineStr">
        <is>
          <t>VÄRMLANDS LÄN</t>
        </is>
      </c>
      <c r="E7198" t="inlineStr">
        <is>
          <t>FORSHAGA</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29921-2022</t>
        </is>
      </c>
      <c r="B7199" s="1" t="n">
        <v>44756</v>
      </c>
      <c r="C7199" s="1" t="n">
        <v>45736</v>
      </c>
      <c r="D7199" t="inlineStr">
        <is>
          <t>VÄRMLANDS LÄN</t>
        </is>
      </c>
      <c r="E7199" t="inlineStr">
        <is>
          <t>TORSBY</t>
        </is>
      </c>
      <c r="F7199" t="inlineStr">
        <is>
          <t>Kommuner</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29988-2022</t>
        </is>
      </c>
      <c r="B7200" s="1" t="n">
        <v>44756</v>
      </c>
      <c r="C7200" s="1" t="n">
        <v>45736</v>
      </c>
      <c r="D7200" t="inlineStr">
        <is>
          <t>VÄRMLANDS LÄN</t>
        </is>
      </c>
      <c r="E7200" t="inlineStr">
        <is>
          <t>HAGFORS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29990-2022</t>
        </is>
      </c>
      <c r="B7201" s="1" t="n">
        <v>44756</v>
      </c>
      <c r="C7201" s="1" t="n">
        <v>45736</v>
      </c>
      <c r="D7201" t="inlineStr">
        <is>
          <t>VÄRMLANDS LÄN</t>
        </is>
      </c>
      <c r="E7201" t="inlineStr">
        <is>
          <t>TORSBY</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30122-2022</t>
        </is>
      </c>
      <c r="B7202" s="1" t="n">
        <v>44757</v>
      </c>
      <c r="C7202" s="1" t="n">
        <v>45736</v>
      </c>
      <c r="D7202" t="inlineStr">
        <is>
          <t>VÄRMLANDS LÄN</t>
        </is>
      </c>
      <c r="E7202" t="inlineStr">
        <is>
          <t>HAGFORS</t>
        </is>
      </c>
      <c r="F7202" t="inlineStr">
        <is>
          <t>Bergvik skog väst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30132-2022</t>
        </is>
      </c>
      <c r="B7203" s="1" t="n">
        <v>44757</v>
      </c>
      <c r="C7203" s="1" t="n">
        <v>45736</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30148-2022</t>
        </is>
      </c>
      <c r="B7204" s="1" t="n">
        <v>44757</v>
      </c>
      <c r="C7204" s="1" t="n">
        <v>45736</v>
      </c>
      <c r="D7204" t="inlineStr">
        <is>
          <t>VÄRMLANDS LÄN</t>
        </is>
      </c>
      <c r="E7204" t="inlineStr">
        <is>
          <t>HAGFORS</t>
        </is>
      </c>
      <c r="F7204" t="inlineStr">
        <is>
          <t>Bergvik skog väst AB</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30153-2022</t>
        </is>
      </c>
      <c r="B7205" s="1" t="n">
        <v>44757</v>
      </c>
      <c r="C7205" s="1" t="n">
        <v>45736</v>
      </c>
      <c r="D7205" t="inlineStr">
        <is>
          <t>VÄRMLANDS LÄN</t>
        </is>
      </c>
      <c r="E7205" t="inlineStr">
        <is>
          <t>KARLSTAD</t>
        </is>
      </c>
      <c r="F7205" t="inlineStr">
        <is>
          <t>Bergvik skog väst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30249-2022</t>
        </is>
      </c>
      <c r="B7206" s="1" t="n">
        <v>44758</v>
      </c>
      <c r="C7206" s="1" t="n">
        <v>45736</v>
      </c>
      <c r="D7206" t="inlineStr">
        <is>
          <t>VÄRMLANDS LÄN</t>
        </is>
      </c>
      <c r="E7206" t="inlineStr">
        <is>
          <t>SÄFFLE</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30355-2022</t>
        </is>
      </c>
      <c r="B7207" s="1" t="n">
        <v>44759</v>
      </c>
      <c r="C7207" s="1" t="n">
        <v>45736</v>
      </c>
      <c r="D7207" t="inlineStr">
        <is>
          <t>VÄRMLANDS LÄN</t>
        </is>
      </c>
      <c r="E7207" t="inlineStr">
        <is>
          <t>SÄFFLE</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30328-2022</t>
        </is>
      </c>
      <c r="B7208" s="1" t="n">
        <v>44760</v>
      </c>
      <c r="C7208" s="1" t="n">
        <v>45736</v>
      </c>
      <c r="D7208" t="inlineStr">
        <is>
          <t>VÄRMLANDS LÄN</t>
        </is>
      </c>
      <c r="E7208" t="inlineStr">
        <is>
          <t>GRUMS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30346-2022</t>
        </is>
      </c>
      <c r="B7209" s="1" t="n">
        <v>44760</v>
      </c>
      <c r="C7209" s="1" t="n">
        <v>45736</v>
      </c>
      <c r="D7209" t="inlineStr">
        <is>
          <t>VÄRMLANDS LÄN</t>
        </is>
      </c>
      <c r="E7209" t="inlineStr">
        <is>
          <t>ÅRJÄNG</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30326-2022</t>
        </is>
      </c>
      <c r="B7210" s="1" t="n">
        <v>44760</v>
      </c>
      <c r="C7210" s="1" t="n">
        <v>45736</v>
      </c>
      <c r="D7210" t="inlineStr">
        <is>
          <t>VÄRMLANDS LÄN</t>
        </is>
      </c>
      <c r="E7210" t="inlineStr">
        <is>
          <t>TORSBY</t>
        </is>
      </c>
      <c r="F7210" t="inlineStr">
        <is>
          <t>Kommuner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30334-2022</t>
        </is>
      </c>
      <c r="B7211" s="1" t="n">
        <v>44760</v>
      </c>
      <c r="C7211" s="1" t="n">
        <v>45736</v>
      </c>
      <c r="D7211" t="inlineStr">
        <is>
          <t>VÄRMLANDS LÄN</t>
        </is>
      </c>
      <c r="E7211" t="inlineStr">
        <is>
          <t>GRUMS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30327-2022</t>
        </is>
      </c>
      <c r="B7212" s="1" t="n">
        <v>44760</v>
      </c>
      <c r="C7212" s="1" t="n">
        <v>45736</v>
      </c>
      <c r="D7212" t="inlineStr">
        <is>
          <t>VÄRMLANDS LÄN</t>
        </is>
      </c>
      <c r="E7212" t="inlineStr">
        <is>
          <t>HAGFORS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30339-2022</t>
        </is>
      </c>
      <c r="B7213" s="1" t="n">
        <v>44760</v>
      </c>
      <c r="C7213" s="1" t="n">
        <v>45736</v>
      </c>
      <c r="D7213" t="inlineStr">
        <is>
          <t>VÄRMLANDS LÄN</t>
        </is>
      </c>
      <c r="E7213" t="inlineStr">
        <is>
          <t>GRUMS</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30450-2022</t>
        </is>
      </c>
      <c r="B7214" s="1" t="n">
        <v>44761</v>
      </c>
      <c r="C7214" s="1" t="n">
        <v>45736</v>
      </c>
      <c r="D7214" t="inlineStr">
        <is>
          <t>VÄRMLANDS LÄN</t>
        </is>
      </c>
      <c r="E7214" t="inlineStr">
        <is>
          <t>ÅRJÄNG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30459-2022</t>
        </is>
      </c>
      <c r="B7215" s="1" t="n">
        <v>44761</v>
      </c>
      <c r="C7215" s="1" t="n">
        <v>45736</v>
      </c>
      <c r="D7215" t="inlineStr">
        <is>
          <t>VÄRMLANDS LÄN</t>
        </is>
      </c>
      <c r="E7215" t="inlineStr">
        <is>
          <t>ÅRJÄNG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30454-2022</t>
        </is>
      </c>
      <c r="B7216" s="1" t="n">
        <v>44761</v>
      </c>
      <c r="C7216" s="1" t="n">
        <v>45736</v>
      </c>
      <c r="D7216" t="inlineStr">
        <is>
          <t>VÄRMLANDS LÄN</t>
        </is>
      </c>
      <c r="E7216" t="inlineStr">
        <is>
          <t>ÅRJÄNG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30524-2022</t>
        </is>
      </c>
      <c r="B7217" s="1" t="n">
        <v>44762</v>
      </c>
      <c r="C7217" s="1" t="n">
        <v>45736</v>
      </c>
      <c r="D7217" t="inlineStr">
        <is>
          <t>VÄRMLANDS LÄN</t>
        </is>
      </c>
      <c r="E7217" t="inlineStr">
        <is>
          <t>HAGFORS</t>
        </is>
      </c>
      <c r="F7217" t="inlineStr">
        <is>
          <t>Bergvik skog väst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30552-2022</t>
        </is>
      </c>
      <c r="B7218" s="1" t="n">
        <v>44762</v>
      </c>
      <c r="C7218" s="1" t="n">
        <v>45736</v>
      </c>
      <c r="D7218" t="inlineStr">
        <is>
          <t>VÄRMLANDS LÄN</t>
        </is>
      </c>
      <c r="E7218" t="inlineStr">
        <is>
          <t>HAGFORS</t>
        </is>
      </c>
      <c r="F7218" t="inlineStr">
        <is>
          <t>Bergvik skog väst AB</t>
        </is>
      </c>
      <c r="G7218" t="n">
        <v>19.6</v>
      </c>
      <c r="H7218" t="n">
        <v>0</v>
      </c>
      <c r="I7218" t="n">
        <v>0</v>
      </c>
      <c r="J7218" t="n">
        <v>0</v>
      </c>
      <c r="K7218" t="n">
        <v>0</v>
      </c>
      <c r="L7218" t="n">
        <v>0</v>
      </c>
      <c r="M7218" t="n">
        <v>0</v>
      </c>
      <c r="N7218" t="n">
        <v>0</v>
      </c>
      <c r="O7218" t="n">
        <v>0</v>
      </c>
      <c r="P7218" t="n">
        <v>0</v>
      </c>
      <c r="Q7218" t="n">
        <v>0</v>
      </c>
      <c r="R7218" s="2" t="inlineStr"/>
    </row>
    <row r="7219" ht="15" customHeight="1">
      <c r="A7219" t="inlineStr">
        <is>
          <t>A 30539-2022</t>
        </is>
      </c>
      <c r="B7219" s="1" t="n">
        <v>44762</v>
      </c>
      <c r="C7219" s="1" t="n">
        <v>45736</v>
      </c>
      <c r="D7219" t="inlineStr">
        <is>
          <t>VÄRMLANDS LÄN</t>
        </is>
      </c>
      <c r="E7219" t="inlineStr">
        <is>
          <t>GRUMS</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30559-2022</t>
        </is>
      </c>
      <c r="B7220" s="1" t="n">
        <v>44762</v>
      </c>
      <c r="C7220" s="1" t="n">
        <v>45736</v>
      </c>
      <c r="D7220" t="inlineStr">
        <is>
          <t>VÄRMLANDS LÄN</t>
        </is>
      </c>
      <c r="E7220" t="inlineStr">
        <is>
          <t>HAGFORS</t>
        </is>
      </c>
      <c r="F7220" t="inlineStr">
        <is>
          <t>Bergvik skog väst AB</t>
        </is>
      </c>
      <c r="G7220" t="n">
        <v>15.2</v>
      </c>
      <c r="H7220" t="n">
        <v>0</v>
      </c>
      <c r="I7220" t="n">
        <v>0</v>
      </c>
      <c r="J7220" t="n">
        <v>0</v>
      </c>
      <c r="K7220" t="n">
        <v>0</v>
      </c>
      <c r="L7220" t="n">
        <v>0</v>
      </c>
      <c r="M7220" t="n">
        <v>0</v>
      </c>
      <c r="N7220" t="n">
        <v>0</v>
      </c>
      <c r="O7220" t="n">
        <v>0</v>
      </c>
      <c r="P7220" t="n">
        <v>0</v>
      </c>
      <c r="Q7220" t="n">
        <v>0</v>
      </c>
      <c r="R7220" s="2" t="inlineStr"/>
    </row>
    <row r="7221" ht="15" customHeight="1">
      <c r="A7221" t="inlineStr">
        <is>
          <t>A 30598-2022</t>
        </is>
      </c>
      <c r="B7221" s="1" t="n">
        <v>44762</v>
      </c>
      <c r="C7221" s="1" t="n">
        <v>45736</v>
      </c>
      <c r="D7221" t="inlineStr">
        <is>
          <t>VÄRMLANDS LÄN</t>
        </is>
      </c>
      <c r="E7221" t="inlineStr">
        <is>
          <t>SÄFFLE</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30595-2022</t>
        </is>
      </c>
      <c r="B7222" s="1" t="n">
        <v>44762</v>
      </c>
      <c r="C7222" s="1" t="n">
        <v>45736</v>
      </c>
      <c r="D7222" t="inlineStr">
        <is>
          <t>VÄRMLANDS LÄN</t>
        </is>
      </c>
      <c r="E7222" t="inlineStr">
        <is>
          <t>SÄFFLE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30527-2022</t>
        </is>
      </c>
      <c r="B7223" s="1" t="n">
        <v>44762</v>
      </c>
      <c r="C7223" s="1" t="n">
        <v>45736</v>
      </c>
      <c r="D7223" t="inlineStr">
        <is>
          <t>VÄRMLANDS LÄN</t>
        </is>
      </c>
      <c r="E7223" t="inlineStr">
        <is>
          <t>GRUMS</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30546-2022</t>
        </is>
      </c>
      <c r="B7224" s="1" t="n">
        <v>44762</v>
      </c>
      <c r="C7224" s="1" t="n">
        <v>45736</v>
      </c>
      <c r="D7224" t="inlineStr">
        <is>
          <t>VÄRMLANDS LÄN</t>
        </is>
      </c>
      <c r="E7224" t="inlineStr">
        <is>
          <t>EDA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30612-2022</t>
        </is>
      </c>
      <c r="B7225" s="1" t="n">
        <v>44763</v>
      </c>
      <c r="C7225" s="1" t="n">
        <v>45736</v>
      </c>
      <c r="D7225" t="inlineStr">
        <is>
          <t>VÄRMLANDS LÄN</t>
        </is>
      </c>
      <c r="E7225" t="inlineStr">
        <is>
          <t>TORSBY</t>
        </is>
      </c>
      <c r="F7225" t="inlineStr">
        <is>
          <t>Kommuner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30652-2022</t>
        </is>
      </c>
      <c r="B7226" s="1" t="n">
        <v>44763</v>
      </c>
      <c r="C7226" s="1" t="n">
        <v>45736</v>
      </c>
      <c r="D7226" t="inlineStr">
        <is>
          <t>VÄRMLANDS LÄN</t>
        </is>
      </c>
      <c r="E7226" t="inlineStr">
        <is>
          <t>HAGFORS</t>
        </is>
      </c>
      <c r="F7226" t="inlineStr">
        <is>
          <t>Bergvik skog väst AB</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30681-2022</t>
        </is>
      </c>
      <c r="B7227" s="1" t="n">
        <v>44763</v>
      </c>
      <c r="C7227" s="1" t="n">
        <v>45736</v>
      </c>
      <c r="D7227" t="inlineStr">
        <is>
          <t>VÄRMLANDS LÄN</t>
        </is>
      </c>
      <c r="E7227" t="inlineStr">
        <is>
          <t>SÄFFLE</t>
        </is>
      </c>
      <c r="F7227" t="inlineStr">
        <is>
          <t>Kyrkan</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30686-2022</t>
        </is>
      </c>
      <c r="B7228" s="1" t="n">
        <v>44763</v>
      </c>
      <c r="C7228" s="1" t="n">
        <v>45736</v>
      </c>
      <c r="D7228" t="inlineStr">
        <is>
          <t>VÄRMLANDS LÄN</t>
        </is>
      </c>
      <c r="E7228" t="inlineStr">
        <is>
          <t>SÄFFLE</t>
        </is>
      </c>
      <c r="F7228" t="inlineStr">
        <is>
          <t>Kyrkan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30618-2022</t>
        </is>
      </c>
      <c r="B7229" s="1" t="n">
        <v>44763</v>
      </c>
      <c r="C7229" s="1" t="n">
        <v>45736</v>
      </c>
      <c r="D7229" t="inlineStr">
        <is>
          <t>VÄRMLANDS LÄN</t>
        </is>
      </c>
      <c r="E7229" t="inlineStr">
        <is>
          <t>SUNNE</t>
        </is>
      </c>
      <c r="F7229" t="inlineStr">
        <is>
          <t>Övriga Aktiebolag</t>
        </is>
      </c>
      <c r="G7229" t="n">
        <v>17.5</v>
      </c>
      <c r="H7229" t="n">
        <v>0</v>
      </c>
      <c r="I7229" t="n">
        <v>0</v>
      </c>
      <c r="J7229" t="n">
        <v>0</v>
      </c>
      <c r="K7229" t="n">
        <v>0</v>
      </c>
      <c r="L7229" t="n">
        <v>0</v>
      </c>
      <c r="M7229" t="n">
        <v>0</v>
      </c>
      <c r="N7229" t="n">
        <v>0</v>
      </c>
      <c r="O7229" t="n">
        <v>0</v>
      </c>
      <c r="P7229" t="n">
        <v>0</v>
      </c>
      <c r="Q7229" t="n">
        <v>0</v>
      </c>
      <c r="R7229" s="2" t="inlineStr"/>
    </row>
    <row r="7230" ht="15" customHeight="1">
      <c r="A7230" t="inlineStr">
        <is>
          <t>A 30672-2022</t>
        </is>
      </c>
      <c r="B7230" s="1" t="n">
        <v>44763</v>
      </c>
      <c r="C7230" s="1" t="n">
        <v>45736</v>
      </c>
      <c r="D7230" t="inlineStr">
        <is>
          <t>VÄRMLANDS LÄN</t>
        </is>
      </c>
      <c r="E7230" t="inlineStr">
        <is>
          <t>HAGFORS</t>
        </is>
      </c>
      <c r="F7230" t="inlineStr">
        <is>
          <t>Bergvik skog väst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30700-2022</t>
        </is>
      </c>
      <c r="B7231" s="1" t="n">
        <v>44763</v>
      </c>
      <c r="C7231" s="1" t="n">
        <v>45736</v>
      </c>
      <c r="D7231" t="inlineStr">
        <is>
          <t>VÄRMLANDS LÄN</t>
        </is>
      </c>
      <c r="E7231" t="inlineStr">
        <is>
          <t>MUNKFORS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30707-2022</t>
        </is>
      </c>
      <c r="B7232" s="1" t="n">
        <v>44763</v>
      </c>
      <c r="C7232" s="1" t="n">
        <v>45736</v>
      </c>
      <c r="D7232" t="inlineStr">
        <is>
          <t>VÄRMLANDS LÄN</t>
        </is>
      </c>
      <c r="E7232" t="inlineStr">
        <is>
          <t>HAGFORS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30692-2022</t>
        </is>
      </c>
      <c r="B7233" s="1" t="n">
        <v>44763</v>
      </c>
      <c r="C7233" s="1" t="n">
        <v>45736</v>
      </c>
      <c r="D7233" t="inlineStr">
        <is>
          <t>VÄRMLANDS LÄN</t>
        </is>
      </c>
      <c r="E7233" t="inlineStr">
        <is>
          <t>KARLSTAD</t>
        </is>
      </c>
      <c r="F7233" t="inlineStr">
        <is>
          <t>Kyrkan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30704-2022</t>
        </is>
      </c>
      <c r="B7234" s="1" t="n">
        <v>44763</v>
      </c>
      <c r="C7234" s="1" t="n">
        <v>45736</v>
      </c>
      <c r="D7234" t="inlineStr">
        <is>
          <t>VÄRMLANDS LÄN</t>
        </is>
      </c>
      <c r="E7234" t="inlineStr">
        <is>
          <t>MUNKFORS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30710-2022</t>
        </is>
      </c>
      <c r="B7235" s="1" t="n">
        <v>44763</v>
      </c>
      <c r="C7235" s="1" t="n">
        <v>45736</v>
      </c>
      <c r="D7235" t="inlineStr">
        <is>
          <t>VÄRMLANDS LÄN</t>
        </is>
      </c>
      <c r="E7235" t="inlineStr">
        <is>
          <t>HAGFORS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30734-2022</t>
        </is>
      </c>
      <c r="B7236" s="1" t="n">
        <v>44764</v>
      </c>
      <c r="C7236" s="1" t="n">
        <v>45736</v>
      </c>
      <c r="D7236" t="inlineStr">
        <is>
          <t>VÄRMLANDS LÄN</t>
        </is>
      </c>
      <c r="E7236" t="inlineStr">
        <is>
          <t>SUNNE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30781-2022</t>
        </is>
      </c>
      <c r="B7237" s="1" t="n">
        <v>44764</v>
      </c>
      <c r="C7237" s="1" t="n">
        <v>45736</v>
      </c>
      <c r="D7237" t="inlineStr">
        <is>
          <t>VÄRMLANDS LÄN</t>
        </is>
      </c>
      <c r="E7237" t="inlineStr">
        <is>
          <t>SÄFFLE</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30983-2022</t>
        </is>
      </c>
      <c r="B7238" s="1" t="n">
        <v>44768</v>
      </c>
      <c r="C7238" s="1" t="n">
        <v>45736</v>
      </c>
      <c r="D7238" t="inlineStr">
        <is>
          <t>VÄRMLANDS LÄN</t>
        </is>
      </c>
      <c r="E7238" t="inlineStr">
        <is>
          <t>ARVIKA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30951-2022</t>
        </is>
      </c>
      <c r="B7239" s="1" t="n">
        <v>44768</v>
      </c>
      <c r="C7239" s="1" t="n">
        <v>45736</v>
      </c>
      <c r="D7239" t="inlineStr">
        <is>
          <t>VÄRMLANDS LÄN</t>
        </is>
      </c>
      <c r="E7239" t="inlineStr">
        <is>
          <t>KIL</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31039-2022</t>
        </is>
      </c>
      <c r="B7240" s="1" t="n">
        <v>44769</v>
      </c>
      <c r="C7240" s="1" t="n">
        <v>45736</v>
      </c>
      <c r="D7240" t="inlineStr">
        <is>
          <t>VÄRMLANDS LÄN</t>
        </is>
      </c>
      <c r="E7240" t="inlineStr">
        <is>
          <t>EDA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31114-2022</t>
        </is>
      </c>
      <c r="B7241" s="1" t="n">
        <v>44769</v>
      </c>
      <c r="C7241" s="1" t="n">
        <v>45736</v>
      </c>
      <c r="D7241" t="inlineStr">
        <is>
          <t>VÄRMLANDS LÄN</t>
        </is>
      </c>
      <c r="E7241" t="inlineStr">
        <is>
          <t>KRISTINEHAMN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31115-2022</t>
        </is>
      </c>
      <c r="B7242" s="1" t="n">
        <v>44769</v>
      </c>
      <c r="C7242" s="1" t="n">
        <v>45736</v>
      </c>
      <c r="D7242" t="inlineStr">
        <is>
          <t>VÄRMLANDS LÄN</t>
        </is>
      </c>
      <c r="E7242" t="inlineStr">
        <is>
          <t>KRISTINEHAMN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31133-2022</t>
        </is>
      </c>
      <c r="B7243" s="1" t="n">
        <v>44770</v>
      </c>
      <c r="C7243" s="1" t="n">
        <v>45736</v>
      </c>
      <c r="D7243" t="inlineStr">
        <is>
          <t>VÄRMLANDS LÄN</t>
        </is>
      </c>
      <c r="E7243" t="inlineStr">
        <is>
          <t>FILIPSTAD</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31173-2022</t>
        </is>
      </c>
      <c r="B7244" s="1" t="n">
        <v>44770</v>
      </c>
      <c r="C7244" s="1" t="n">
        <v>45736</v>
      </c>
      <c r="D7244" t="inlineStr">
        <is>
          <t>VÄRMLANDS LÄN</t>
        </is>
      </c>
      <c r="E7244" t="inlineStr">
        <is>
          <t>ARVIKA</t>
        </is>
      </c>
      <c r="F7244" t="inlineStr">
        <is>
          <t>Bergvik skog väst AB</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31178-2022</t>
        </is>
      </c>
      <c r="B7245" s="1" t="n">
        <v>44770</v>
      </c>
      <c r="C7245" s="1" t="n">
        <v>45736</v>
      </c>
      <c r="D7245" t="inlineStr">
        <is>
          <t>VÄRMLANDS LÄN</t>
        </is>
      </c>
      <c r="E7245" t="inlineStr">
        <is>
          <t>HAGFORS</t>
        </is>
      </c>
      <c r="F7245" t="inlineStr">
        <is>
          <t>Bergvik skog väst AB</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31152-2022</t>
        </is>
      </c>
      <c r="B7246" s="1" t="n">
        <v>44770</v>
      </c>
      <c r="C7246" s="1" t="n">
        <v>45736</v>
      </c>
      <c r="D7246" t="inlineStr">
        <is>
          <t>VÄRMLANDS LÄN</t>
        </is>
      </c>
      <c r="E7246" t="inlineStr">
        <is>
          <t>KRISTINEHAMN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31162-2022</t>
        </is>
      </c>
      <c r="B7247" s="1" t="n">
        <v>44770</v>
      </c>
      <c r="C7247" s="1" t="n">
        <v>45736</v>
      </c>
      <c r="D7247" t="inlineStr">
        <is>
          <t>VÄRMLANDS LÄN</t>
        </is>
      </c>
      <c r="E7247" t="inlineStr">
        <is>
          <t>HAGFORS</t>
        </is>
      </c>
      <c r="F7247" t="inlineStr">
        <is>
          <t>Bergvik skog väst AB</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31166-2022</t>
        </is>
      </c>
      <c r="B7248" s="1" t="n">
        <v>44770</v>
      </c>
      <c r="C7248" s="1" t="n">
        <v>45736</v>
      </c>
      <c r="D7248" t="inlineStr">
        <is>
          <t>VÄRMLANDS LÄN</t>
        </is>
      </c>
      <c r="E7248" t="inlineStr">
        <is>
          <t>HAGFORS</t>
        </is>
      </c>
      <c r="F7248" t="inlineStr">
        <is>
          <t>Bergvik skog väst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31251-2022</t>
        </is>
      </c>
      <c r="B7249" s="1" t="n">
        <v>44771</v>
      </c>
      <c r="C7249" s="1" t="n">
        <v>45736</v>
      </c>
      <c r="D7249" t="inlineStr">
        <is>
          <t>VÄRMLANDS LÄN</t>
        </is>
      </c>
      <c r="E7249" t="inlineStr">
        <is>
          <t>FORSHAGA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31321-2022</t>
        </is>
      </c>
      <c r="B7250" s="1" t="n">
        <v>44774</v>
      </c>
      <c r="C7250" s="1" t="n">
        <v>45736</v>
      </c>
      <c r="D7250" t="inlineStr">
        <is>
          <t>VÄRMLANDS LÄN</t>
        </is>
      </c>
      <c r="E7250" t="inlineStr">
        <is>
          <t>EDA</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31430-2022</t>
        </is>
      </c>
      <c r="B7251" s="1" t="n">
        <v>44774</v>
      </c>
      <c r="C7251" s="1" t="n">
        <v>45736</v>
      </c>
      <c r="D7251" t="inlineStr">
        <is>
          <t>VÄRMLANDS LÄN</t>
        </is>
      </c>
      <c r="E7251" t="inlineStr">
        <is>
          <t>SUNNE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31611-2022</t>
        </is>
      </c>
      <c r="B7252" s="1" t="n">
        <v>44775</v>
      </c>
      <c r="C7252" s="1" t="n">
        <v>45736</v>
      </c>
      <c r="D7252" t="inlineStr">
        <is>
          <t>VÄRMLANDS LÄN</t>
        </is>
      </c>
      <c r="E7252" t="inlineStr">
        <is>
          <t>SUNNE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31534-2022</t>
        </is>
      </c>
      <c r="B7253" s="1" t="n">
        <v>44775</v>
      </c>
      <c r="C7253" s="1" t="n">
        <v>45736</v>
      </c>
      <c r="D7253" t="inlineStr">
        <is>
          <t>VÄRMLANDS LÄN</t>
        </is>
      </c>
      <c r="E7253" t="inlineStr">
        <is>
          <t>SUNNE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31621-2022</t>
        </is>
      </c>
      <c r="B7254" s="1" t="n">
        <v>44775</v>
      </c>
      <c r="C7254" s="1" t="n">
        <v>45736</v>
      </c>
      <c r="D7254" t="inlineStr">
        <is>
          <t>VÄRMLANDS LÄN</t>
        </is>
      </c>
      <c r="E7254" t="inlineStr">
        <is>
          <t>KIL</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31660-2022</t>
        </is>
      </c>
      <c r="B7255" s="1" t="n">
        <v>44776</v>
      </c>
      <c r="C7255" s="1" t="n">
        <v>45736</v>
      </c>
      <c r="D7255" t="inlineStr">
        <is>
          <t>VÄRMLANDS LÄN</t>
        </is>
      </c>
      <c r="E7255" t="inlineStr">
        <is>
          <t>HAGFORS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31661-2022</t>
        </is>
      </c>
      <c r="B7256" s="1" t="n">
        <v>44776</v>
      </c>
      <c r="C7256" s="1" t="n">
        <v>45736</v>
      </c>
      <c r="D7256" t="inlineStr">
        <is>
          <t>VÄRMLANDS LÄN</t>
        </is>
      </c>
      <c r="E7256" t="inlineStr">
        <is>
          <t>HAGFORS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31678-2022</t>
        </is>
      </c>
      <c r="B7257" s="1" t="n">
        <v>44776</v>
      </c>
      <c r="C7257" s="1" t="n">
        <v>45736</v>
      </c>
      <c r="D7257" t="inlineStr">
        <is>
          <t>VÄRMLANDS LÄN</t>
        </is>
      </c>
      <c r="E7257" t="inlineStr">
        <is>
          <t>EDA</t>
        </is>
      </c>
      <c r="F7257" t="inlineStr">
        <is>
          <t>Kommuner</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31797-2022</t>
        </is>
      </c>
      <c r="B7258" s="1" t="n">
        <v>44776</v>
      </c>
      <c r="C7258" s="1" t="n">
        <v>45736</v>
      </c>
      <c r="D7258" t="inlineStr">
        <is>
          <t>VÄRMLANDS LÄN</t>
        </is>
      </c>
      <c r="E7258" t="inlineStr">
        <is>
          <t>ARVIKA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31783-2022</t>
        </is>
      </c>
      <c r="B7259" s="1" t="n">
        <v>44776</v>
      </c>
      <c r="C7259" s="1" t="n">
        <v>45736</v>
      </c>
      <c r="D7259" t="inlineStr">
        <is>
          <t>VÄRMLANDS LÄN</t>
        </is>
      </c>
      <c r="E7259" t="inlineStr">
        <is>
          <t>SÄFFLE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31829-2022</t>
        </is>
      </c>
      <c r="B7260" s="1" t="n">
        <v>44776</v>
      </c>
      <c r="C7260" s="1" t="n">
        <v>45736</v>
      </c>
      <c r="D7260" t="inlineStr">
        <is>
          <t>VÄRMLANDS LÄN</t>
        </is>
      </c>
      <c r="E7260" t="inlineStr">
        <is>
          <t>ARVIKA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31901-2022</t>
        </is>
      </c>
      <c r="B7261" s="1" t="n">
        <v>44777</v>
      </c>
      <c r="C7261" s="1" t="n">
        <v>45736</v>
      </c>
      <c r="D7261" t="inlineStr">
        <is>
          <t>VÄRMLANDS LÄN</t>
        </is>
      </c>
      <c r="E7261" t="inlineStr">
        <is>
          <t>EDA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31945-2022</t>
        </is>
      </c>
      <c r="B7262" s="1" t="n">
        <v>44777</v>
      </c>
      <c r="C7262" s="1" t="n">
        <v>45736</v>
      </c>
      <c r="D7262" t="inlineStr">
        <is>
          <t>VÄRMLANDS LÄN</t>
        </is>
      </c>
      <c r="E7262" t="inlineStr">
        <is>
          <t>SÄFFLE</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31896-2022</t>
        </is>
      </c>
      <c r="B7263" s="1" t="n">
        <v>44777</v>
      </c>
      <c r="C7263" s="1" t="n">
        <v>45736</v>
      </c>
      <c r="D7263" t="inlineStr">
        <is>
          <t>VÄRMLANDS LÄN</t>
        </is>
      </c>
      <c r="E7263" t="inlineStr">
        <is>
          <t>SUNNE</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31907-2022</t>
        </is>
      </c>
      <c r="B7264" s="1" t="n">
        <v>44777</v>
      </c>
      <c r="C7264" s="1" t="n">
        <v>45736</v>
      </c>
      <c r="D7264" t="inlineStr">
        <is>
          <t>VÄRMLANDS LÄN</t>
        </is>
      </c>
      <c r="E7264" t="inlineStr">
        <is>
          <t>EDA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31930-2022</t>
        </is>
      </c>
      <c r="B7265" s="1" t="n">
        <v>44777</v>
      </c>
      <c r="C7265" s="1" t="n">
        <v>45736</v>
      </c>
      <c r="D7265" t="inlineStr">
        <is>
          <t>VÄRMLANDS LÄN</t>
        </is>
      </c>
      <c r="E7265" t="inlineStr">
        <is>
          <t>ÅRJÄNG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32003-2022</t>
        </is>
      </c>
      <c r="B7266" s="1" t="n">
        <v>44778</v>
      </c>
      <c r="C7266" s="1" t="n">
        <v>45736</v>
      </c>
      <c r="D7266" t="inlineStr">
        <is>
          <t>VÄRMLANDS LÄN</t>
        </is>
      </c>
      <c r="E7266" t="inlineStr">
        <is>
          <t>TORSBY</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32011-2022</t>
        </is>
      </c>
      <c r="B7267" s="1" t="n">
        <v>44778</v>
      </c>
      <c r="C7267" s="1" t="n">
        <v>45736</v>
      </c>
      <c r="D7267" t="inlineStr">
        <is>
          <t>VÄRMLANDS LÄN</t>
        </is>
      </c>
      <c r="E7267" t="inlineStr">
        <is>
          <t>SUNNE</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32093-2022</t>
        </is>
      </c>
      <c r="B7268" s="1" t="n">
        <v>44778</v>
      </c>
      <c r="C7268" s="1" t="n">
        <v>45736</v>
      </c>
      <c r="D7268" t="inlineStr">
        <is>
          <t>VÄRMLANDS LÄN</t>
        </is>
      </c>
      <c r="E7268" t="inlineStr">
        <is>
          <t>SUNNE</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32009-2022</t>
        </is>
      </c>
      <c r="B7269" s="1" t="n">
        <v>44778</v>
      </c>
      <c r="C7269" s="1" t="n">
        <v>45736</v>
      </c>
      <c r="D7269" t="inlineStr">
        <is>
          <t>VÄRMLANDS LÄN</t>
        </is>
      </c>
      <c r="E7269" t="inlineStr">
        <is>
          <t>ARVIKA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32147-2022</t>
        </is>
      </c>
      <c r="B7270" s="1" t="n">
        <v>44780</v>
      </c>
      <c r="C7270" s="1" t="n">
        <v>45736</v>
      </c>
      <c r="D7270" t="inlineStr">
        <is>
          <t>VÄRMLANDS LÄN</t>
        </is>
      </c>
      <c r="E7270" t="inlineStr">
        <is>
          <t>SÄFFLE</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32187-2022</t>
        </is>
      </c>
      <c r="B7271" s="1" t="n">
        <v>44780</v>
      </c>
      <c r="C7271" s="1" t="n">
        <v>45736</v>
      </c>
      <c r="D7271" t="inlineStr">
        <is>
          <t>VÄRMLANDS LÄN</t>
        </is>
      </c>
      <c r="E7271" t="inlineStr">
        <is>
          <t>ARVIKA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32146-2022</t>
        </is>
      </c>
      <c r="B7272" s="1" t="n">
        <v>44780</v>
      </c>
      <c r="C7272" s="1" t="n">
        <v>45736</v>
      </c>
      <c r="D7272" t="inlineStr">
        <is>
          <t>VÄRMLANDS LÄN</t>
        </is>
      </c>
      <c r="E7272" t="inlineStr">
        <is>
          <t>SÄFFLE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32176-2022</t>
        </is>
      </c>
      <c r="B7273" s="1" t="n">
        <v>44780</v>
      </c>
      <c r="C7273" s="1" t="n">
        <v>45736</v>
      </c>
      <c r="D7273" t="inlineStr">
        <is>
          <t>VÄRMLANDS LÄN</t>
        </is>
      </c>
      <c r="E7273" t="inlineStr">
        <is>
          <t>ARVIKA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32145-2022</t>
        </is>
      </c>
      <c r="B7274" s="1" t="n">
        <v>44780</v>
      </c>
      <c r="C7274" s="1" t="n">
        <v>45736</v>
      </c>
      <c r="D7274" t="inlineStr">
        <is>
          <t>VÄRMLANDS LÄN</t>
        </is>
      </c>
      <c r="E7274" t="inlineStr">
        <is>
          <t>SÄFFLE</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32202-2022</t>
        </is>
      </c>
      <c r="B7275" s="1" t="n">
        <v>44781</v>
      </c>
      <c r="C7275" s="1" t="n">
        <v>45736</v>
      </c>
      <c r="D7275" t="inlineStr">
        <is>
          <t>VÄRMLANDS LÄN</t>
        </is>
      </c>
      <c r="E7275" t="inlineStr">
        <is>
          <t>SUNNE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32227-2022</t>
        </is>
      </c>
      <c r="B7276" s="1" t="n">
        <v>44781</v>
      </c>
      <c r="C7276" s="1" t="n">
        <v>45736</v>
      </c>
      <c r="D7276" t="inlineStr">
        <is>
          <t>VÄRMLANDS LÄN</t>
        </is>
      </c>
      <c r="E7276" t="inlineStr">
        <is>
          <t>EDA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32192-2022</t>
        </is>
      </c>
      <c r="B7277" s="1" t="n">
        <v>44781</v>
      </c>
      <c r="C7277" s="1" t="n">
        <v>45736</v>
      </c>
      <c r="D7277" t="inlineStr">
        <is>
          <t>VÄRMLANDS LÄN</t>
        </is>
      </c>
      <c r="E7277" t="inlineStr">
        <is>
          <t>HAGFORS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32228-2022</t>
        </is>
      </c>
      <c r="B7278" s="1" t="n">
        <v>44781</v>
      </c>
      <c r="C7278" s="1" t="n">
        <v>45736</v>
      </c>
      <c r="D7278" t="inlineStr">
        <is>
          <t>VÄRMLANDS LÄN</t>
        </is>
      </c>
      <c r="E7278" t="inlineStr">
        <is>
          <t>EDA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32282-2022</t>
        </is>
      </c>
      <c r="B7279" s="1" t="n">
        <v>44781</v>
      </c>
      <c r="C7279" s="1" t="n">
        <v>45736</v>
      </c>
      <c r="D7279" t="inlineStr">
        <is>
          <t>VÄRMLANDS LÄN</t>
        </is>
      </c>
      <c r="E7279" t="inlineStr">
        <is>
          <t>KARLSTAD</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32287-2022</t>
        </is>
      </c>
      <c r="B7280" s="1" t="n">
        <v>44781</v>
      </c>
      <c r="C7280" s="1" t="n">
        <v>45736</v>
      </c>
      <c r="D7280" t="inlineStr">
        <is>
          <t>VÄRMLANDS LÄN</t>
        </is>
      </c>
      <c r="E7280" t="inlineStr">
        <is>
          <t>ARVIKA</t>
        </is>
      </c>
      <c r="F7280" t="inlineStr">
        <is>
          <t>Bergvik skog väst AB</t>
        </is>
      </c>
      <c r="G7280" t="n">
        <v>11.5</v>
      </c>
      <c r="H7280" t="n">
        <v>0</v>
      </c>
      <c r="I7280" t="n">
        <v>0</v>
      </c>
      <c r="J7280" t="n">
        <v>0</v>
      </c>
      <c r="K7280" t="n">
        <v>0</v>
      </c>
      <c r="L7280" t="n">
        <v>0</v>
      </c>
      <c r="M7280" t="n">
        <v>0</v>
      </c>
      <c r="N7280" t="n">
        <v>0</v>
      </c>
      <c r="O7280" t="n">
        <v>0</v>
      </c>
      <c r="P7280" t="n">
        <v>0</v>
      </c>
      <c r="Q7280" t="n">
        <v>0</v>
      </c>
      <c r="R7280" s="2" t="inlineStr"/>
    </row>
    <row r="7281" ht="15" customHeight="1">
      <c r="A7281" t="inlineStr">
        <is>
          <t>A 32286-2022</t>
        </is>
      </c>
      <c r="B7281" s="1" t="n">
        <v>44781</v>
      </c>
      <c r="C7281" s="1" t="n">
        <v>45736</v>
      </c>
      <c r="D7281" t="inlineStr">
        <is>
          <t>VÄRMLANDS LÄN</t>
        </is>
      </c>
      <c r="E7281" t="inlineStr">
        <is>
          <t>KARLSTAD</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32304-2022</t>
        </is>
      </c>
      <c r="B7282" s="1" t="n">
        <v>44781</v>
      </c>
      <c r="C7282" s="1" t="n">
        <v>45736</v>
      </c>
      <c r="D7282" t="inlineStr">
        <is>
          <t>VÄRMLANDS LÄN</t>
        </is>
      </c>
      <c r="E7282" t="inlineStr">
        <is>
          <t>GRUMS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32343-2022</t>
        </is>
      </c>
      <c r="B7283" s="1" t="n">
        <v>44781</v>
      </c>
      <c r="C7283" s="1" t="n">
        <v>45736</v>
      </c>
      <c r="D7283" t="inlineStr">
        <is>
          <t>VÄRMLANDS LÄN</t>
        </is>
      </c>
      <c r="E7283" t="inlineStr">
        <is>
          <t>EDA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32393-2022</t>
        </is>
      </c>
      <c r="B7284" s="1" t="n">
        <v>44781</v>
      </c>
      <c r="C7284" s="1" t="n">
        <v>45736</v>
      </c>
      <c r="D7284" t="inlineStr">
        <is>
          <t>VÄRMLANDS LÄN</t>
        </is>
      </c>
      <c r="E7284" t="inlineStr">
        <is>
          <t>SUNNE</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32405-2022</t>
        </is>
      </c>
      <c r="B7285" s="1" t="n">
        <v>44782</v>
      </c>
      <c r="C7285" s="1" t="n">
        <v>45736</v>
      </c>
      <c r="D7285" t="inlineStr">
        <is>
          <t>VÄRMLANDS LÄN</t>
        </is>
      </c>
      <c r="E7285" t="inlineStr">
        <is>
          <t>SUNNE</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32442-2022</t>
        </is>
      </c>
      <c r="B7286" s="1" t="n">
        <v>44782</v>
      </c>
      <c r="C7286" s="1" t="n">
        <v>45736</v>
      </c>
      <c r="D7286" t="inlineStr">
        <is>
          <t>VÄRMLANDS LÄN</t>
        </is>
      </c>
      <c r="E7286" t="inlineStr">
        <is>
          <t>GRUMS</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32389-2022</t>
        </is>
      </c>
      <c r="B7287" s="1" t="n">
        <v>44782</v>
      </c>
      <c r="C7287" s="1" t="n">
        <v>45736</v>
      </c>
      <c r="D7287" t="inlineStr">
        <is>
          <t>VÄRMLANDS LÄN</t>
        </is>
      </c>
      <c r="E7287" t="inlineStr">
        <is>
          <t>MUNKFORS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32408-2022</t>
        </is>
      </c>
      <c r="B7288" s="1" t="n">
        <v>44782</v>
      </c>
      <c r="C7288" s="1" t="n">
        <v>45736</v>
      </c>
      <c r="D7288" t="inlineStr">
        <is>
          <t>VÄRMLANDS LÄN</t>
        </is>
      </c>
      <c r="E7288" t="inlineStr">
        <is>
          <t>SUNNE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32443-2022</t>
        </is>
      </c>
      <c r="B7289" s="1" t="n">
        <v>44782</v>
      </c>
      <c r="C7289" s="1" t="n">
        <v>45736</v>
      </c>
      <c r="D7289" t="inlineStr">
        <is>
          <t>VÄRMLANDS LÄN</t>
        </is>
      </c>
      <c r="E7289" t="inlineStr">
        <is>
          <t>GRUMS</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32438-2022</t>
        </is>
      </c>
      <c r="B7290" s="1" t="n">
        <v>44782</v>
      </c>
      <c r="C7290" s="1" t="n">
        <v>45736</v>
      </c>
      <c r="D7290" t="inlineStr">
        <is>
          <t>VÄRMLANDS LÄN</t>
        </is>
      </c>
      <c r="E7290" t="inlineStr">
        <is>
          <t>TORSBY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32444-2022</t>
        </is>
      </c>
      <c r="B7291" s="1" t="n">
        <v>44782</v>
      </c>
      <c r="C7291" s="1" t="n">
        <v>45736</v>
      </c>
      <c r="D7291" t="inlineStr">
        <is>
          <t>VÄRMLANDS LÄN</t>
        </is>
      </c>
      <c r="E7291" t="inlineStr">
        <is>
          <t>TORSBY</t>
        </is>
      </c>
      <c r="F7291" t="inlineStr">
        <is>
          <t>Bergvik skog väst AB</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32400-2022</t>
        </is>
      </c>
      <c r="B7292" s="1" t="n">
        <v>44782</v>
      </c>
      <c r="C7292" s="1" t="n">
        <v>45736</v>
      </c>
      <c r="D7292" t="inlineStr">
        <is>
          <t>VÄRMLANDS LÄN</t>
        </is>
      </c>
      <c r="E7292" t="inlineStr">
        <is>
          <t>TORSBY</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32410-2022</t>
        </is>
      </c>
      <c r="B7293" s="1" t="n">
        <v>44782</v>
      </c>
      <c r="C7293" s="1" t="n">
        <v>45736</v>
      </c>
      <c r="D7293" t="inlineStr">
        <is>
          <t>VÄRMLANDS LÄN</t>
        </is>
      </c>
      <c r="E7293" t="inlineStr">
        <is>
          <t>SUNNE</t>
        </is>
      </c>
      <c r="F7293" t="inlineStr">
        <is>
          <t>Kommuner</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32496-2022</t>
        </is>
      </c>
      <c r="B7294" s="1" t="n">
        <v>44782</v>
      </c>
      <c r="C7294" s="1" t="n">
        <v>45736</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32544-2022</t>
        </is>
      </c>
      <c r="B7295" s="1" t="n">
        <v>44783</v>
      </c>
      <c r="C7295" s="1" t="n">
        <v>45736</v>
      </c>
      <c r="D7295" t="inlineStr">
        <is>
          <t>VÄRMLANDS LÄN</t>
        </is>
      </c>
      <c r="E7295" t="inlineStr">
        <is>
          <t>SUNNE</t>
        </is>
      </c>
      <c r="F7295" t="inlineStr">
        <is>
          <t>Kommuner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32680-2022</t>
        </is>
      </c>
      <c r="B7296" s="1" t="n">
        <v>44783</v>
      </c>
      <c r="C7296" s="1" t="n">
        <v>45736</v>
      </c>
      <c r="D7296" t="inlineStr">
        <is>
          <t>VÄRMLANDS LÄN</t>
        </is>
      </c>
      <c r="E7296" t="inlineStr">
        <is>
          <t>FILIPSTAD</t>
        </is>
      </c>
      <c r="F7296" t="inlineStr">
        <is>
          <t>Bergvik skog väst AB</t>
        </is>
      </c>
      <c r="G7296" t="n">
        <v>30.5</v>
      </c>
      <c r="H7296" t="n">
        <v>0</v>
      </c>
      <c r="I7296" t="n">
        <v>0</v>
      </c>
      <c r="J7296" t="n">
        <v>0</v>
      </c>
      <c r="K7296" t="n">
        <v>0</v>
      </c>
      <c r="L7296" t="n">
        <v>0</v>
      </c>
      <c r="M7296" t="n">
        <v>0</v>
      </c>
      <c r="N7296" t="n">
        <v>0</v>
      </c>
      <c r="O7296" t="n">
        <v>0</v>
      </c>
      <c r="P7296" t="n">
        <v>0</v>
      </c>
      <c r="Q7296" t="n">
        <v>0</v>
      </c>
      <c r="R7296" s="2" t="inlineStr"/>
    </row>
    <row r="7297" ht="15" customHeight="1">
      <c r="A7297" t="inlineStr">
        <is>
          <t>A 32670-2022</t>
        </is>
      </c>
      <c r="B7297" s="1" t="n">
        <v>44783</v>
      </c>
      <c r="C7297" s="1" t="n">
        <v>45736</v>
      </c>
      <c r="D7297" t="inlineStr">
        <is>
          <t>VÄRMLANDS LÄN</t>
        </is>
      </c>
      <c r="E7297" t="inlineStr">
        <is>
          <t>ARVIKA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32723-2022</t>
        </is>
      </c>
      <c r="B7298" s="1" t="n">
        <v>44783</v>
      </c>
      <c r="C7298" s="1" t="n">
        <v>45736</v>
      </c>
      <c r="D7298" t="inlineStr">
        <is>
          <t>VÄRMLANDS LÄN</t>
        </is>
      </c>
      <c r="E7298" t="inlineStr">
        <is>
          <t>ARVIKA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32543-2022</t>
        </is>
      </c>
      <c r="B7299" s="1" t="n">
        <v>44783</v>
      </c>
      <c r="C7299" s="1" t="n">
        <v>45736</v>
      </c>
      <c r="D7299" t="inlineStr">
        <is>
          <t>VÄRMLANDS LÄN</t>
        </is>
      </c>
      <c r="E7299" t="inlineStr">
        <is>
          <t>SUNNE</t>
        </is>
      </c>
      <c r="F7299" t="inlineStr">
        <is>
          <t>Kommuner</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32876-2022</t>
        </is>
      </c>
      <c r="B7300" s="1" t="n">
        <v>44784</v>
      </c>
      <c r="C7300" s="1" t="n">
        <v>45736</v>
      </c>
      <c r="D7300" t="inlineStr">
        <is>
          <t>VÄRMLANDS LÄN</t>
        </is>
      </c>
      <c r="E7300" t="inlineStr">
        <is>
          <t>KARLSTAD</t>
        </is>
      </c>
      <c r="F7300" t="inlineStr">
        <is>
          <t>Bergvik skog väst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32815-2022</t>
        </is>
      </c>
      <c r="B7301" s="1" t="n">
        <v>44784</v>
      </c>
      <c r="C7301" s="1" t="n">
        <v>45736</v>
      </c>
      <c r="D7301" t="inlineStr">
        <is>
          <t>VÄRMLANDS LÄN</t>
        </is>
      </c>
      <c r="E7301" t="inlineStr">
        <is>
          <t>SÄFFLE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32851-2022</t>
        </is>
      </c>
      <c r="B7302" s="1" t="n">
        <v>44784</v>
      </c>
      <c r="C7302" s="1" t="n">
        <v>45736</v>
      </c>
      <c r="D7302" t="inlineStr">
        <is>
          <t>VÄRMLANDS LÄN</t>
        </is>
      </c>
      <c r="E7302" t="inlineStr">
        <is>
          <t>SUNNE</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32902-2022</t>
        </is>
      </c>
      <c r="B7303" s="1" t="n">
        <v>44784</v>
      </c>
      <c r="C7303" s="1" t="n">
        <v>45736</v>
      </c>
      <c r="D7303" t="inlineStr">
        <is>
          <t>VÄRMLANDS LÄN</t>
        </is>
      </c>
      <c r="E7303" t="inlineStr">
        <is>
          <t>KARLSTAD</t>
        </is>
      </c>
      <c r="F7303" t="inlineStr">
        <is>
          <t>Bergvik skog väst AB</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32947-2022</t>
        </is>
      </c>
      <c r="B7304" s="1" t="n">
        <v>44784</v>
      </c>
      <c r="C7304" s="1" t="n">
        <v>45736</v>
      </c>
      <c r="D7304" t="inlineStr">
        <is>
          <t>VÄRMLANDS LÄN</t>
        </is>
      </c>
      <c r="E7304" t="inlineStr">
        <is>
          <t>ARVIKA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32959-2022</t>
        </is>
      </c>
      <c r="B7305" s="1" t="n">
        <v>44784</v>
      </c>
      <c r="C7305" s="1" t="n">
        <v>45736</v>
      </c>
      <c r="D7305" t="inlineStr">
        <is>
          <t>VÄRMLANDS LÄN</t>
        </is>
      </c>
      <c r="E7305" t="inlineStr">
        <is>
          <t>GRUMS</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33081-2022</t>
        </is>
      </c>
      <c r="B7306" s="1" t="n">
        <v>44785</v>
      </c>
      <c r="C7306" s="1" t="n">
        <v>45736</v>
      </c>
      <c r="D7306" t="inlineStr">
        <is>
          <t>VÄRMLANDS LÄN</t>
        </is>
      </c>
      <c r="E7306" t="inlineStr">
        <is>
          <t>GRUMS</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33006-2022</t>
        </is>
      </c>
      <c r="B7307" s="1" t="n">
        <v>44785</v>
      </c>
      <c r="C7307" s="1" t="n">
        <v>45736</v>
      </c>
      <c r="D7307" t="inlineStr">
        <is>
          <t>VÄRMLANDS LÄN</t>
        </is>
      </c>
      <c r="E7307" t="inlineStr">
        <is>
          <t>KARLSTAD</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33017-2022</t>
        </is>
      </c>
      <c r="B7308" s="1" t="n">
        <v>44785</v>
      </c>
      <c r="C7308" s="1" t="n">
        <v>45736</v>
      </c>
      <c r="D7308" t="inlineStr">
        <is>
          <t>VÄRMLANDS LÄN</t>
        </is>
      </c>
      <c r="E7308" t="inlineStr">
        <is>
          <t>ÅRJÄNG</t>
        </is>
      </c>
      <c r="F7308" t="inlineStr">
        <is>
          <t>Kyrkan</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33033-2022</t>
        </is>
      </c>
      <c r="B7309" s="1" t="n">
        <v>44785</v>
      </c>
      <c r="C7309" s="1" t="n">
        <v>45736</v>
      </c>
      <c r="D7309" t="inlineStr">
        <is>
          <t>VÄRMLANDS LÄN</t>
        </is>
      </c>
      <c r="E7309" t="inlineStr">
        <is>
          <t>FORSHAGA</t>
        </is>
      </c>
      <c r="F7309" t="inlineStr">
        <is>
          <t>Bergvik skog väst AB</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33037-2022</t>
        </is>
      </c>
      <c r="B7310" s="1" t="n">
        <v>44785</v>
      </c>
      <c r="C7310" s="1" t="n">
        <v>45736</v>
      </c>
      <c r="D7310" t="inlineStr">
        <is>
          <t>VÄRMLANDS LÄN</t>
        </is>
      </c>
      <c r="E7310" t="inlineStr">
        <is>
          <t>FORSHAGA</t>
        </is>
      </c>
      <c r="F7310" t="inlineStr">
        <is>
          <t>Bergvik skog väst AB</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33069-2022</t>
        </is>
      </c>
      <c r="B7311" s="1" t="n">
        <v>44785</v>
      </c>
      <c r="C7311" s="1" t="n">
        <v>45736</v>
      </c>
      <c r="D7311" t="inlineStr">
        <is>
          <t>VÄRMLANDS LÄN</t>
        </is>
      </c>
      <c r="E7311" t="inlineStr">
        <is>
          <t>TORSBY</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33088-2022</t>
        </is>
      </c>
      <c r="B7312" s="1" t="n">
        <v>44785</v>
      </c>
      <c r="C7312" s="1" t="n">
        <v>45736</v>
      </c>
      <c r="D7312" t="inlineStr">
        <is>
          <t>VÄRMLANDS LÄN</t>
        </is>
      </c>
      <c r="E7312" t="inlineStr">
        <is>
          <t>ARVIKA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33181-2022</t>
        </is>
      </c>
      <c r="B7313" s="1" t="n">
        <v>44785</v>
      </c>
      <c r="C7313" s="1" t="n">
        <v>45736</v>
      </c>
      <c r="D7313" t="inlineStr">
        <is>
          <t>VÄRMLANDS LÄN</t>
        </is>
      </c>
      <c r="E7313" t="inlineStr">
        <is>
          <t>TORSBY</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33190-2022</t>
        </is>
      </c>
      <c r="B7314" s="1" t="n">
        <v>44785</v>
      </c>
      <c r="C7314" s="1" t="n">
        <v>45736</v>
      </c>
      <c r="D7314" t="inlineStr">
        <is>
          <t>VÄRMLANDS LÄN</t>
        </is>
      </c>
      <c r="E7314" t="inlineStr">
        <is>
          <t>SUNNE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33189-2022</t>
        </is>
      </c>
      <c r="B7315" s="1" t="n">
        <v>44785</v>
      </c>
      <c r="C7315" s="1" t="n">
        <v>45736</v>
      </c>
      <c r="D7315" t="inlineStr">
        <is>
          <t>VÄRMLANDS LÄN</t>
        </is>
      </c>
      <c r="E7315" t="inlineStr">
        <is>
          <t>ARVIKA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33187-2022</t>
        </is>
      </c>
      <c r="B7316" s="1" t="n">
        <v>44785</v>
      </c>
      <c r="C7316" s="1" t="n">
        <v>45736</v>
      </c>
      <c r="D7316" t="inlineStr">
        <is>
          <t>VÄRMLANDS LÄN</t>
        </is>
      </c>
      <c r="E7316" t="inlineStr">
        <is>
          <t>ARVIKA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33192-2022</t>
        </is>
      </c>
      <c r="B7317" s="1" t="n">
        <v>44785</v>
      </c>
      <c r="C7317" s="1" t="n">
        <v>45736</v>
      </c>
      <c r="D7317" t="inlineStr">
        <is>
          <t>VÄRMLANDS LÄN</t>
        </is>
      </c>
      <c r="E7317" t="inlineStr">
        <is>
          <t>SUNNE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33160-2022</t>
        </is>
      </c>
      <c r="B7318" s="1" t="n">
        <v>44785</v>
      </c>
      <c r="C7318" s="1" t="n">
        <v>45736</v>
      </c>
      <c r="D7318" t="inlineStr">
        <is>
          <t>VÄRMLANDS LÄN</t>
        </is>
      </c>
      <c r="E7318" t="inlineStr">
        <is>
          <t>SÄFFLE</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33242-2022</t>
        </is>
      </c>
      <c r="B7319" s="1" t="n">
        <v>44786</v>
      </c>
      <c r="C7319" s="1" t="n">
        <v>45736</v>
      </c>
      <c r="D7319" t="inlineStr">
        <is>
          <t>VÄRMLANDS LÄN</t>
        </is>
      </c>
      <c r="E7319" t="inlineStr">
        <is>
          <t>EDA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33247-2022</t>
        </is>
      </c>
      <c r="B7320" s="1" t="n">
        <v>44787</v>
      </c>
      <c r="C7320" s="1" t="n">
        <v>45736</v>
      </c>
      <c r="D7320" t="inlineStr">
        <is>
          <t>VÄRMLANDS LÄN</t>
        </is>
      </c>
      <c r="E7320" t="inlineStr">
        <is>
          <t>SÄFFLE</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33248-2022</t>
        </is>
      </c>
      <c r="B7321" s="1" t="n">
        <v>44787</v>
      </c>
      <c r="C7321" s="1" t="n">
        <v>45736</v>
      </c>
      <c r="D7321" t="inlineStr">
        <is>
          <t>VÄRMLANDS LÄN</t>
        </is>
      </c>
      <c r="E7321" t="inlineStr">
        <is>
          <t>SÄFFLE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33254-2022</t>
        </is>
      </c>
      <c r="B7322" s="1" t="n">
        <v>44787</v>
      </c>
      <c r="C7322" s="1" t="n">
        <v>45736</v>
      </c>
      <c r="D7322" t="inlineStr">
        <is>
          <t>VÄRMLANDS LÄN</t>
        </is>
      </c>
      <c r="E7322" t="inlineStr">
        <is>
          <t>TORSBY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33246-2022</t>
        </is>
      </c>
      <c r="B7323" s="1" t="n">
        <v>44787</v>
      </c>
      <c r="C7323" s="1" t="n">
        <v>45736</v>
      </c>
      <c r="D7323" t="inlineStr">
        <is>
          <t>VÄRMLANDS LÄN</t>
        </is>
      </c>
      <c r="E7323" t="inlineStr">
        <is>
          <t>SÄFFLE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33251-2022</t>
        </is>
      </c>
      <c r="B7324" s="1" t="n">
        <v>44787</v>
      </c>
      <c r="C7324" s="1" t="n">
        <v>45736</v>
      </c>
      <c r="D7324" t="inlineStr">
        <is>
          <t>VÄRMLANDS LÄN</t>
        </is>
      </c>
      <c r="E7324" t="inlineStr">
        <is>
          <t>TORSBY</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33245-2022</t>
        </is>
      </c>
      <c r="B7325" s="1" t="n">
        <v>44787</v>
      </c>
      <c r="C7325" s="1" t="n">
        <v>45736</v>
      </c>
      <c r="D7325" t="inlineStr">
        <is>
          <t>VÄRMLANDS LÄN</t>
        </is>
      </c>
      <c r="E7325" t="inlineStr">
        <is>
          <t>SÄFFLE</t>
        </is>
      </c>
      <c r="G7325" t="n">
        <v>9.9</v>
      </c>
      <c r="H7325" t="n">
        <v>0</v>
      </c>
      <c r="I7325" t="n">
        <v>0</v>
      </c>
      <c r="J7325" t="n">
        <v>0</v>
      </c>
      <c r="K7325" t="n">
        <v>0</v>
      </c>
      <c r="L7325" t="n">
        <v>0</v>
      </c>
      <c r="M7325" t="n">
        <v>0</v>
      </c>
      <c r="N7325" t="n">
        <v>0</v>
      </c>
      <c r="O7325" t="n">
        <v>0</v>
      </c>
      <c r="P7325" t="n">
        <v>0</v>
      </c>
      <c r="Q7325" t="n">
        <v>0</v>
      </c>
      <c r="R7325" s="2" t="inlineStr"/>
    </row>
    <row r="7326" ht="15" customHeight="1">
      <c r="A7326" t="inlineStr">
        <is>
          <t>A 33249-2022</t>
        </is>
      </c>
      <c r="B7326" s="1" t="n">
        <v>44787</v>
      </c>
      <c r="C7326" s="1" t="n">
        <v>45736</v>
      </c>
      <c r="D7326" t="inlineStr">
        <is>
          <t>VÄRMLANDS LÄN</t>
        </is>
      </c>
      <c r="E7326" t="inlineStr">
        <is>
          <t>SÄFFLE</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33307-2022</t>
        </is>
      </c>
      <c r="B7327" s="1" t="n">
        <v>44788</v>
      </c>
      <c r="C7327" s="1" t="n">
        <v>45736</v>
      </c>
      <c r="D7327" t="inlineStr">
        <is>
          <t>VÄRMLANDS LÄN</t>
        </is>
      </c>
      <c r="E7327" t="inlineStr">
        <is>
          <t>STORFORS</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33391-2022</t>
        </is>
      </c>
      <c r="B7328" s="1" t="n">
        <v>44788</v>
      </c>
      <c r="C7328" s="1" t="n">
        <v>45736</v>
      </c>
      <c r="D7328" t="inlineStr">
        <is>
          <t>VÄRMLANDS LÄN</t>
        </is>
      </c>
      <c r="E7328" t="inlineStr">
        <is>
          <t>GRUMS</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33368-2022</t>
        </is>
      </c>
      <c r="B7329" s="1" t="n">
        <v>44788</v>
      </c>
      <c r="C7329" s="1" t="n">
        <v>45736</v>
      </c>
      <c r="D7329" t="inlineStr">
        <is>
          <t>VÄRMLANDS LÄN</t>
        </is>
      </c>
      <c r="E7329" t="inlineStr">
        <is>
          <t>FILIPSTAD</t>
        </is>
      </c>
      <c r="F7329" t="inlineStr">
        <is>
          <t>Bergvik skog väst AB</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33318-2022</t>
        </is>
      </c>
      <c r="B7330" s="1" t="n">
        <v>44788</v>
      </c>
      <c r="C7330" s="1" t="n">
        <v>45736</v>
      </c>
      <c r="D7330" t="inlineStr">
        <is>
          <t>VÄRMLANDS LÄN</t>
        </is>
      </c>
      <c r="E7330" t="inlineStr">
        <is>
          <t>SUNNE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33334-2022</t>
        </is>
      </c>
      <c r="B7331" s="1" t="n">
        <v>44788</v>
      </c>
      <c r="C7331" s="1" t="n">
        <v>45736</v>
      </c>
      <c r="D7331" t="inlineStr">
        <is>
          <t>VÄRMLANDS LÄN</t>
        </is>
      </c>
      <c r="E7331" t="inlineStr">
        <is>
          <t>KARLSTAD</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33455-2022</t>
        </is>
      </c>
      <c r="B7332" s="1" t="n">
        <v>44788</v>
      </c>
      <c r="C7332" s="1" t="n">
        <v>45736</v>
      </c>
      <c r="D7332" t="inlineStr">
        <is>
          <t>VÄRMLANDS LÄN</t>
        </is>
      </c>
      <c r="E7332" t="inlineStr">
        <is>
          <t>SUNNE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33525-2022</t>
        </is>
      </c>
      <c r="B7333" s="1" t="n">
        <v>44789</v>
      </c>
      <c r="C7333" s="1" t="n">
        <v>45736</v>
      </c>
      <c r="D7333" t="inlineStr">
        <is>
          <t>VÄRMLANDS LÄN</t>
        </is>
      </c>
      <c r="E7333" t="inlineStr">
        <is>
          <t>ÅRJÄNG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33579-2022</t>
        </is>
      </c>
      <c r="B7334" s="1" t="n">
        <v>44789</v>
      </c>
      <c r="C7334" s="1" t="n">
        <v>45736</v>
      </c>
      <c r="D7334" t="inlineStr">
        <is>
          <t>VÄRMLANDS LÄN</t>
        </is>
      </c>
      <c r="E7334" t="inlineStr">
        <is>
          <t>TORSBY</t>
        </is>
      </c>
      <c r="F7334" t="inlineStr">
        <is>
          <t>Bergvik skog väst AB</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33623-2022</t>
        </is>
      </c>
      <c r="B7335" s="1" t="n">
        <v>44789</v>
      </c>
      <c r="C7335" s="1" t="n">
        <v>45736</v>
      </c>
      <c r="D7335" t="inlineStr">
        <is>
          <t>VÄRMLANDS LÄN</t>
        </is>
      </c>
      <c r="E7335" t="inlineStr">
        <is>
          <t>SUNNE</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33657-2022</t>
        </is>
      </c>
      <c r="B7336" s="1" t="n">
        <v>44789</v>
      </c>
      <c r="C7336" s="1" t="n">
        <v>45736</v>
      </c>
      <c r="D7336" t="inlineStr">
        <is>
          <t>VÄRMLANDS LÄN</t>
        </is>
      </c>
      <c r="E7336" t="inlineStr">
        <is>
          <t>ARVIKA</t>
        </is>
      </c>
      <c r="F7336" t="inlineStr">
        <is>
          <t>Bergvik skog väst AB</t>
        </is>
      </c>
      <c r="G7336" t="n">
        <v>11.2</v>
      </c>
      <c r="H7336" t="n">
        <v>0</v>
      </c>
      <c r="I7336" t="n">
        <v>0</v>
      </c>
      <c r="J7336" t="n">
        <v>0</v>
      </c>
      <c r="K7336" t="n">
        <v>0</v>
      </c>
      <c r="L7336" t="n">
        <v>0</v>
      </c>
      <c r="M7336" t="n">
        <v>0</v>
      </c>
      <c r="N7336" t="n">
        <v>0</v>
      </c>
      <c r="O7336" t="n">
        <v>0</v>
      </c>
      <c r="P7336" t="n">
        <v>0</v>
      </c>
      <c r="Q7336" t="n">
        <v>0</v>
      </c>
      <c r="R7336" s="2" t="inlineStr"/>
    </row>
    <row r="7337" ht="15" customHeight="1">
      <c r="A7337" t="inlineStr">
        <is>
          <t>A 33671-2022</t>
        </is>
      </c>
      <c r="B7337" s="1" t="n">
        <v>44789</v>
      </c>
      <c r="C7337" s="1" t="n">
        <v>45736</v>
      </c>
      <c r="D7337" t="inlineStr">
        <is>
          <t>VÄRMLANDS LÄN</t>
        </is>
      </c>
      <c r="E7337" t="inlineStr">
        <is>
          <t>FILIPSTAD</t>
        </is>
      </c>
      <c r="F7337" t="inlineStr">
        <is>
          <t>Bergvik skog väst AB</t>
        </is>
      </c>
      <c r="G7337" t="n">
        <v>10.6</v>
      </c>
      <c r="H7337" t="n">
        <v>0</v>
      </c>
      <c r="I7337" t="n">
        <v>0</v>
      </c>
      <c r="J7337" t="n">
        <v>0</v>
      </c>
      <c r="K7337" t="n">
        <v>0</v>
      </c>
      <c r="L7337" t="n">
        <v>0</v>
      </c>
      <c r="M7337" t="n">
        <v>0</v>
      </c>
      <c r="N7337" t="n">
        <v>0</v>
      </c>
      <c r="O7337" t="n">
        <v>0</v>
      </c>
      <c r="P7337" t="n">
        <v>0</v>
      </c>
      <c r="Q7337" t="n">
        <v>0</v>
      </c>
      <c r="R7337" s="2" t="inlineStr"/>
    </row>
    <row r="7338" ht="15" customHeight="1">
      <c r="A7338" t="inlineStr">
        <is>
          <t>A 33748-2022</t>
        </is>
      </c>
      <c r="B7338" s="1" t="n">
        <v>44790</v>
      </c>
      <c r="C7338" s="1" t="n">
        <v>45736</v>
      </c>
      <c r="D7338" t="inlineStr">
        <is>
          <t>VÄRMLANDS LÄN</t>
        </is>
      </c>
      <c r="E7338" t="inlineStr">
        <is>
          <t>GRUMS</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33888-2022</t>
        </is>
      </c>
      <c r="B7339" s="1" t="n">
        <v>44790</v>
      </c>
      <c r="C7339" s="1" t="n">
        <v>45736</v>
      </c>
      <c r="D7339" t="inlineStr">
        <is>
          <t>VÄRMLANDS LÄN</t>
        </is>
      </c>
      <c r="E7339" t="inlineStr">
        <is>
          <t>ÅRJÄNG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33908-2022</t>
        </is>
      </c>
      <c r="B7340" s="1" t="n">
        <v>44790</v>
      </c>
      <c r="C7340" s="1" t="n">
        <v>45736</v>
      </c>
      <c r="D7340" t="inlineStr">
        <is>
          <t>VÄRMLANDS LÄN</t>
        </is>
      </c>
      <c r="E7340" t="inlineStr">
        <is>
          <t>MUNKFORS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33780-2022</t>
        </is>
      </c>
      <c r="B7341" s="1" t="n">
        <v>44790</v>
      </c>
      <c r="C7341" s="1" t="n">
        <v>45736</v>
      </c>
      <c r="D7341" t="inlineStr">
        <is>
          <t>VÄRMLANDS LÄN</t>
        </is>
      </c>
      <c r="E7341" t="inlineStr">
        <is>
          <t>SUNNE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33810-2022</t>
        </is>
      </c>
      <c r="B7342" s="1" t="n">
        <v>44790</v>
      </c>
      <c r="C7342" s="1" t="n">
        <v>45736</v>
      </c>
      <c r="D7342" t="inlineStr">
        <is>
          <t>VÄRMLANDS LÄN</t>
        </is>
      </c>
      <c r="E7342" t="inlineStr">
        <is>
          <t>SUNNE</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33756-2022</t>
        </is>
      </c>
      <c r="B7343" s="1" t="n">
        <v>44790</v>
      </c>
      <c r="C7343" s="1" t="n">
        <v>45736</v>
      </c>
      <c r="D7343" t="inlineStr">
        <is>
          <t>VÄRMLANDS LÄN</t>
        </is>
      </c>
      <c r="E7343" t="inlineStr">
        <is>
          <t>SUNNE</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33765-2022</t>
        </is>
      </c>
      <c r="B7344" s="1" t="n">
        <v>44790</v>
      </c>
      <c r="C7344" s="1" t="n">
        <v>45736</v>
      </c>
      <c r="D7344" t="inlineStr">
        <is>
          <t>VÄRMLANDS LÄN</t>
        </is>
      </c>
      <c r="E7344" t="inlineStr">
        <is>
          <t>SUNNE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33802-2022</t>
        </is>
      </c>
      <c r="B7345" s="1" t="n">
        <v>44790</v>
      </c>
      <c r="C7345" s="1" t="n">
        <v>45736</v>
      </c>
      <c r="D7345" t="inlineStr">
        <is>
          <t>VÄRMLANDS LÄN</t>
        </is>
      </c>
      <c r="E7345" t="inlineStr">
        <is>
          <t>TORSBY</t>
        </is>
      </c>
      <c r="F7345" t="inlineStr">
        <is>
          <t>Bergvik skog väst AB</t>
        </is>
      </c>
      <c r="G7345" t="n">
        <v>20.4</v>
      </c>
      <c r="H7345" t="n">
        <v>0</v>
      </c>
      <c r="I7345" t="n">
        <v>0</v>
      </c>
      <c r="J7345" t="n">
        <v>0</v>
      </c>
      <c r="K7345" t="n">
        <v>0</v>
      </c>
      <c r="L7345" t="n">
        <v>0</v>
      </c>
      <c r="M7345" t="n">
        <v>0</v>
      </c>
      <c r="N7345" t="n">
        <v>0</v>
      </c>
      <c r="O7345" t="n">
        <v>0</v>
      </c>
      <c r="P7345" t="n">
        <v>0</v>
      </c>
      <c r="Q7345" t="n">
        <v>0</v>
      </c>
      <c r="R7345" s="2" t="inlineStr"/>
    </row>
    <row r="7346" ht="15" customHeight="1">
      <c r="A7346" t="inlineStr">
        <is>
          <t>A 33915-2022</t>
        </is>
      </c>
      <c r="B7346" s="1" t="n">
        <v>44790</v>
      </c>
      <c r="C7346" s="1" t="n">
        <v>45736</v>
      </c>
      <c r="D7346" t="inlineStr">
        <is>
          <t>VÄRMLANDS LÄN</t>
        </is>
      </c>
      <c r="E7346" t="inlineStr">
        <is>
          <t>ÅRJÄNG</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33920-2022</t>
        </is>
      </c>
      <c r="B7347" s="1" t="n">
        <v>44790</v>
      </c>
      <c r="C7347" s="1" t="n">
        <v>45736</v>
      </c>
      <c r="D7347" t="inlineStr">
        <is>
          <t>VÄRMLANDS LÄN</t>
        </is>
      </c>
      <c r="E7347" t="inlineStr">
        <is>
          <t>EDA</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33960-2022</t>
        </is>
      </c>
      <c r="B7348" s="1" t="n">
        <v>44790</v>
      </c>
      <c r="C7348" s="1" t="n">
        <v>45736</v>
      </c>
      <c r="D7348" t="inlineStr">
        <is>
          <t>VÄRMLANDS LÄN</t>
        </is>
      </c>
      <c r="E7348" t="inlineStr">
        <is>
          <t>TORSBY</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33951-2022</t>
        </is>
      </c>
      <c r="B7349" s="1" t="n">
        <v>44790</v>
      </c>
      <c r="C7349" s="1" t="n">
        <v>45736</v>
      </c>
      <c r="D7349" t="inlineStr">
        <is>
          <t>VÄRMLANDS LÄN</t>
        </is>
      </c>
      <c r="E7349" t="inlineStr">
        <is>
          <t>FORSHAGA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33973-2022</t>
        </is>
      </c>
      <c r="B7350" s="1" t="n">
        <v>44790</v>
      </c>
      <c r="C7350" s="1" t="n">
        <v>45736</v>
      </c>
      <c r="D7350" t="inlineStr">
        <is>
          <t>VÄRMLANDS LÄN</t>
        </is>
      </c>
      <c r="E7350" t="inlineStr">
        <is>
          <t>HAGFORS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33958-2022</t>
        </is>
      </c>
      <c r="B7351" s="1" t="n">
        <v>44790</v>
      </c>
      <c r="C7351" s="1" t="n">
        <v>45736</v>
      </c>
      <c r="D7351" t="inlineStr">
        <is>
          <t>VÄRMLANDS LÄN</t>
        </is>
      </c>
      <c r="E7351" t="inlineStr">
        <is>
          <t>TORSBY</t>
        </is>
      </c>
      <c r="G7351" t="n">
        <v>13.2</v>
      </c>
      <c r="H7351" t="n">
        <v>0</v>
      </c>
      <c r="I7351" t="n">
        <v>0</v>
      </c>
      <c r="J7351" t="n">
        <v>0</v>
      </c>
      <c r="K7351" t="n">
        <v>0</v>
      </c>
      <c r="L7351" t="n">
        <v>0</v>
      </c>
      <c r="M7351" t="n">
        <v>0</v>
      </c>
      <c r="N7351" t="n">
        <v>0</v>
      </c>
      <c r="O7351" t="n">
        <v>0</v>
      </c>
      <c r="P7351" t="n">
        <v>0</v>
      </c>
      <c r="Q7351" t="n">
        <v>0</v>
      </c>
      <c r="R7351" s="2" t="inlineStr"/>
    </row>
    <row r="7352" ht="15" customHeight="1">
      <c r="A7352" t="inlineStr">
        <is>
          <t>A 33907-2022</t>
        </is>
      </c>
      <c r="B7352" s="1" t="n">
        <v>44790</v>
      </c>
      <c r="C7352" s="1" t="n">
        <v>45736</v>
      </c>
      <c r="D7352" t="inlineStr">
        <is>
          <t>VÄRMLANDS LÄN</t>
        </is>
      </c>
      <c r="E7352" t="inlineStr">
        <is>
          <t>KIL</t>
        </is>
      </c>
      <c r="F7352" t="inlineStr">
        <is>
          <t>Kommuner</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33943-2022</t>
        </is>
      </c>
      <c r="B7353" s="1" t="n">
        <v>44790</v>
      </c>
      <c r="C7353" s="1" t="n">
        <v>45736</v>
      </c>
      <c r="D7353" t="inlineStr">
        <is>
          <t>VÄRMLANDS LÄN</t>
        </is>
      </c>
      <c r="E7353" t="inlineStr">
        <is>
          <t>TORSBY</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33959-2022</t>
        </is>
      </c>
      <c r="B7354" s="1" t="n">
        <v>44790</v>
      </c>
      <c r="C7354" s="1" t="n">
        <v>45736</v>
      </c>
      <c r="D7354" t="inlineStr">
        <is>
          <t>VÄRMLANDS LÄN</t>
        </is>
      </c>
      <c r="E7354" t="inlineStr">
        <is>
          <t>TORSBY</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33969-2022</t>
        </is>
      </c>
      <c r="B7355" s="1" t="n">
        <v>44790</v>
      </c>
      <c r="C7355" s="1" t="n">
        <v>45736</v>
      </c>
      <c r="D7355" t="inlineStr">
        <is>
          <t>VÄRMLANDS LÄN</t>
        </is>
      </c>
      <c r="E7355" t="inlineStr">
        <is>
          <t>HAGFORS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34075-2022</t>
        </is>
      </c>
      <c r="B7356" s="1" t="n">
        <v>44791</v>
      </c>
      <c r="C7356" s="1" t="n">
        <v>45736</v>
      </c>
      <c r="D7356" t="inlineStr">
        <is>
          <t>VÄRMLANDS LÄN</t>
        </is>
      </c>
      <c r="E7356" t="inlineStr">
        <is>
          <t>HAGFORS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34135-2022</t>
        </is>
      </c>
      <c r="B7357" s="1" t="n">
        <v>44791</v>
      </c>
      <c r="C7357" s="1" t="n">
        <v>45736</v>
      </c>
      <c r="D7357" t="inlineStr">
        <is>
          <t>VÄRMLANDS LÄN</t>
        </is>
      </c>
      <c r="E7357" t="inlineStr">
        <is>
          <t>SUNNE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34125-2022</t>
        </is>
      </c>
      <c r="B7358" s="1" t="n">
        <v>44791</v>
      </c>
      <c r="C7358" s="1" t="n">
        <v>45736</v>
      </c>
      <c r="D7358" t="inlineStr">
        <is>
          <t>VÄRMLANDS LÄN</t>
        </is>
      </c>
      <c r="E7358" t="inlineStr">
        <is>
          <t>KRISTINEHAMN</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34144-2022</t>
        </is>
      </c>
      <c r="B7359" s="1" t="n">
        <v>44791</v>
      </c>
      <c r="C7359" s="1" t="n">
        <v>45736</v>
      </c>
      <c r="D7359" t="inlineStr">
        <is>
          <t>VÄRMLANDS LÄN</t>
        </is>
      </c>
      <c r="E7359" t="inlineStr">
        <is>
          <t>ÅRJÄNG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34220-2022</t>
        </is>
      </c>
      <c r="B7360" s="1" t="n">
        <v>44791</v>
      </c>
      <c r="C7360" s="1" t="n">
        <v>45736</v>
      </c>
      <c r="D7360" t="inlineStr">
        <is>
          <t>VÄRMLANDS LÄN</t>
        </is>
      </c>
      <c r="E7360" t="inlineStr">
        <is>
          <t>HAGFORS</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34190-2022</t>
        </is>
      </c>
      <c r="B7361" s="1" t="n">
        <v>44791</v>
      </c>
      <c r="C7361" s="1" t="n">
        <v>45736</v>
      </c>
      <c r="D7361" t="inlineStr">
        <is>
          <t>VÄRMLANDS LÄN</t>
        </is>
      </c>
      <c r="E7361" t="inlineStr">
        <is>
          <t>ARVIKA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34219-2022</t>
        </is>
      </c>
      <c r="B7362" s="1" t="n">
        <v>44791</v>
      </c>
      <c r="C7362" s="1" t="n">
        <v>45736</v>
      </c>
      <c r="D7362" t="inlineStr">
        <is>
          <t>VÄRMLANDS LÄN</t>
        </is>
      </c>
      <c r="E7362" t="inlineStr">
        <is>
          <t>HAGFORS</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34288-2022</t>
        </is>
      </c>
      <c r="B7363" s="1" t="n">
        <v>44792</v>
      </c>
      <c r="C7363" s="1" t="n">
        <v>45736</v>
      </c>
      <c r="D7363" t="inlineStr">
        <is>
          <t>VÄRMLANDS LÄN</t>
        </is>
      </c>
      <c r="E7363" t="inlineStr">
        <is>
          <t>SUNNE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34402-2022</t>
        </is>
      </c>
      <c r="B7364" s="1" t="n">
        <v>44792</v>
      </c>
      <c r="C7364" s="1" t="n">
        <v>45736</v>
      </c>
      <c r="D7364" t="inlineStr">
        <is>
          <t>VÄRMLANDS LÄN</t>
        </is>
      </c>
      <c r="E7364" t="inlineStr">
        <is>
          <t>KIL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34295-2022</t>
        </is>
      </c>
      <c r="B7365" s="1" t="n">
        <v>44792</v>
      </c>
      <c r="C7365" s="1" t="n">
        <v>45736</v>
      </c>
      <c r="D7365" t="inlineStr">
        <is>
          <t>VÄRMLANDS LÄN</t>
        </is>
      </c>
      <c r="E7365" t="inlineStr">
        <is>
          <t>SUNNE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34371-2022</t>
        </is>
      </c>
      <c r="B7366" s="1" t="n">
        <v>44792</v>
      </c>
      <c r="C7366" s="1" t="n">
        <v>45736</v>
      </c>
      <c r="D7366" t="inlineStr">
        <is>
          <t>VÄRMLANDS LÄN</t>
        </is>
      </c>
      <c r="E7366" t="inlineStr">
        <is>
          <t>TORSBY</t>
        </is>
      </c>
      <c r="F7366" t="inlineStr">
        <is>
          <t>Bergvik skog väst AB</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34378-2022</t>
        </is>
      </c>
      <c r="B7367" s="1" t="n">
        <v>44792</v>
      </c>
      <c r="C7367" s="1" t="n">
        <v>45736</v>
      </c>
      <c r="D7367" t="inlineStr">
        <is>
          <t>VÄRMLANDS LÄN</t>
        </is>
      </c>
      <c r="E7367" t="inlineStr">
        <is>
          <t>TORSBY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34434-2022</t>
        </is>
      </c>
      <c r="B7368" s="1" t="n">
        <v>44792</v>
      </c>
      <c r="C7368" s="1" t="n">
        <v>45736</v>
      </c>
      <c r="D7368" t="inlineStr">
        <is>
          <t>VÄRMLANDS LÄN</t>
        </is>
      </c>
      <c r="E7368" t="inlineStr">
        <is>
          <t>TORSBY</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34440-2022</t>
        </is>
      </c>
      <c r="B7369" s="1" t="n">
        <v>44792</v>
      </c>
      <c r="C7369" s="1" t="n">
        <v>45736</v>
      </c>
      <c r="D7369" t="inlineStr">
        <is>
          <t>VÄRMLANDS LÄN</t>
        </is>
      </c>
      <c r="E7369" t="inlineStr">
        <is>
          <t>TORSBY</t>
        </is>
      </c>
      <c r="F7369" t="inlineStr">
        <is>
          <t>Bergvik skog väst AB</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34458-2022</t>
        </is>
      </c>
      <c r="B7370" s="1" t="n">
        <v>44792</v>
      </c>
      <c r="C7370" s="1" t="n">
        <v>45736</v>
      </c>
      <c r="D7370" t="inlineStr">
        <is>
          <t>VÄRMLANDS LÄN</t>
        </is>
      </c>
      <c r="E7370" t="inlineStr">
        <is>
          <t>KARLSTAD</t>
        </is>
      </c>
      <c r="F7370" t="inlineStr">
        <is>
          <t>Bergvik skog väst AB</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34581-2022</t>
        </is>
      </c>
      <c r="B7371" s="1" t="n">
        <v>44792</v>
      </c>
      <c r="C7371" s="1" t="n">
        <v>45736</v>
      </c>
      <c r="D7371" t="inlineStr">
        <is>
          <t>VÄRMLANDS LÄN</t>
        </is>
      </c>
      <c r="E7371" t="inlineStr">
        <is>
          <t>TORSBY</t>
        </is>
      </c>
      <c r="G7371" t="n">
        <v>9.800000000000001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34541-2022</t>
        </is>
      </c>
      <c r="B7372" s="1" t="n">
        <v>44793</v>
      </c>
      <c r="C7372" s="1" t="n">
        <v>45736</v>
      </c>
      <c r="D7372" t="inlineStr">
        <is>
          <t>VÄRMLANDS LÄN</t>
        </is>
      </c>
      <c r="E7372" t="inlineStr">
        <is>
          <t>SUNNE</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34559-2022</t>
        </is>
      </c>
      <c r="B7373" s="1" t="n">
        <v>44794</v>
      </c>
      <c r="C7373" s="1" t="n">
        <v>45736</v>
      </c>
      <c r="D7373" t="inlineStr">
        <is>
          <t>VÄRMLANDS LÄN</t>
        </is>
      </c>
      <c r="E7373" t="inlineStr">
        <is>
          <t>FILIPSTAD</t>
        </is>
      </c>
      <c r="F7373" t="inlineStr">
        <is>
          <t>Bergvik skog väst AB</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34708-2022</t>
        </is>
      </c>
      <c r="B7374" s="1" t="n">
        <v>44795</v>
      </c>
      <c r="C7374" s="1" t="n">
        <v>45736</v>
      </c>
      <c r="D7374" t="inlineStr">
        <is>
          <t>VÄRMLANDS LÄN</t>
        </is>
      </c>
      <c r="E7374" t="inlineStr">
        <is>
          <t>SUNNE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34568-2022</t>
        </is>
      </c>
      <c r="B7375" s="1" t="n">
        <v>44795</v>
      </c>
      <c r="C7375" s="1" t="n">
        <v>45736</v>
      </c>
      <c r="D7375" t="inlineStr">
        <is>
          <t>VÄRMLANDS LÄN</t>
        </is>
      </c>
      <c r="E7375" t="inlineStr">
        <is>
          <t>TORSBY</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34580-2022</t>
        </is>
      </c>
      <c r="B7376" s="1" t="n">
        <v>44795</v>
      </c>
      <c r="C7376" s="1" t="n">
        <v>45736</v>
      </c>
      <c r="D7376" t="inlineStr">
        <is>
          <t>VÄRMLANDS LÄN</t>
        </is>
      </c>
      <c r="E7376" t="inlineStr">
        <is>
          <t>GRUMS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34662-2022</t>
        </is>
      </c>
      <c r="B7377" s="1" t="n">
        <v>44795</v>
      </c>
      <c r="C7377" s="1" t="n">
        <v>45736</v>
      </c>
      <c r="D7377" t="inlineStr">
        <is>
          <t>VÄRMLANDS LÄN</t>
        </is>
      </c>
      <c r="E7377" t="inlineStr">
        <is>
          <t>TORSBY</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34652-2022</t>
        </is>
      </c>
      <c r="B7378" s="1" t="n">
        <v>44795</v>
      </c>
      <c r="C7378" s="1" t="n">
        <v>45736</v>
      </c>
      <c r="D7378" t="inlineStr">
        <is>
          <t>VÄRMLANDS LÄN</t>
        </is>
      </c>
      <c r="E7378" t="inlineStr">
        <is>
          <t>GRUMS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34667-2022</t>
        </is>
      </c>
      <c r="B7379" s="1" t="n">
        <v>44795</v>
      </c>
      <c r="C7379" s="1" t="n">
        <v>45736</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34655-2022</t>
        </is>
      </c>
      <c r="B7380" s="1" t="n">
        <v>44795</v>
      </c>
      <c r="C7380" s="1" t="n">
        <v>45736</v>
      </c>
      <c r="D7380" t="inlineStr">
        <is>
          <t>VÄRMLANDS LÄN</t>
        </is>
      </c>
      <c r="E7380" t="inlineStr">
        <is>
          <t>TORSBY</t>
        </is>
      </c>
      <c r="G7380" t="n">
        <v>12.8</v>
      </c>
      <c r="H7380" t="n">
        <v>0</v>
      </c>
      <c r="I7380" t="n">
        <v>0</v>
      </c>
      <c r="J7380" t="n">
        <v>0</v>
      </c>
      <c r="K7380" t="n">
        <v>0</v>
      </c>
      <c r="L7380" t="n">
        <v>0</v>
      </c>
      <c r="M7380" t="n">
        <v>0</v>
      </c>
      <c r="N7380" t="n">
        <v>0</v>
      </c>
      <c r="O7380" t="n">
        <v>0</v>
      </c>
      <c r="P7380" t="n">
        <v>0</v>
      </c>
      <c r="Q7380" t="n">
        <v>0</v>
      </c>
      <c r="R7380" s="2" t="inlineStr"/>
    </row>
    <row r="7381" ht="15" customHeight="1">
      <c r="A7381" t="inlineStr">
        <is>
          <t>A 34707-2022</t>
        </is>
      </c>
      <c r="B7381" s="1" t="n">
        <v>44795</v>
      </c>
      <c r="C7381" s="1" t="n">
        <v>45736</v>
      </c>
      <c r="D7381" t="inlineStr">
        <is>
          <t>VÄRMLANDS LÄN</t>
        </is>
      </c>
      <c r="E7381" t="inlineStr">
        <is>
          <t>SUNNE</t>
        </is>
      </c>
      <c r="F7381" t="inlineStr">
        <is>
          <t>Bergvik skog väst AB</t>
        </is>
      </c>
      <c r="G7381" t="n">
        <v>10.4</v>
      </c>
      <c r="H7381" t="n">
        <v>0</v>
      </c>
      <c r="I7381" t="n">
        <v>0</v>
      </c>
      <c r="J7381" t="n">
        <v>0</v>
      </c>
      <c r="K7381" t="n">
        <v>0</v>
      </c>
      <c r="L7381" t="n">
        <v>0</v>
      </c>
      <c r="M7381" t="n">
        <v>0</v>
      </c>
      <c r="N7381" t="n">
        <v>0</v>
      </c>
      <c r="O7381" t="n">
        <v>0</v>
      </c>
      <c r="P7381" t="n">
        <v>0</v>
      </c>
      <c r="Q7381" t="n">
        <v>0</v>
      </c>
      <c r="R7381" s="2" t="inlineStr"/>
    </row>
    <row r="7382" ht="15" customHeight="1">
      <c r="A7382" t="inlineStr">
        <is>
          <t>A 34711-2022</t>
        </is>
      </c>
      <c r="B7382" s="1" t="n">
        <v>44795</v>
      </c>
      <c r="C7382" s="1" t="n">
        <v>45736</v>
      </c>
      <c r="D7382" t="inlineStr">
        <is>
          <t>VÄRMLANDS LÄN</t>
        </is>
      </c>
      <c r="E7382" t="inlineStr">
        <is>
          <t>SUNNE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34723-2022</t>
        </is>
      </c>
      <c r="B7383" s="1" t="n">
        <v>44795</v>
      </c>
      <c r="C7383" s="1" t="n">
        <v>45736</v>
      </c>
      <c r="D7383" t="inlineStr">
        <is>
          <t>VÄRMLANDS LÄN</t>
        </is>
      </c>
      <c r="E7383" t="inlineStr">
        <is>
          <t>SUNNE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34759-2022</t>
        </is>
      </c>
      <c r="B7384" s="1" t="n">
        <v>44795</v>
      </c>
      <c r="C7384" s="1" t="n">
        <v>45736</v>
      </c>
      <c r="D7384" t="inlineStr">
        <is>
          <t>VÄRMLANDS LÄN</t>
        </is>
      </c>
      <c r="E7384" t="inlineStr">
        <is>
          <t>SUNNE</t>
        </is>
      </c>
      <c r="F7384" t="inlineStr">
        <is>
          <t>Bergvik skog väst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34861-2022</t>
        </is>
      </c>
      <c r="B7385" s="1" t="n">
        <v>44796</v>
      </c>
      <c r="C7385" s="1" t="n">
        <v>45736</v>
      </c>
      <c r="D7385" t="inlineStr">
        <is>
          <t>VÄRMLANDS LÄN</t>
        </is>
      </c>
      <c r="E7385" t="inlineStr">
        <is>
          <t>FORSHAGA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34900-2022</t>
        </is>
      </c>
      <c r="B7386" s="1" t="n">
        <v>44796</v>
      </c>
      <c r="C7386" s="1" t="n">
        <v>45736</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34857-2022</t>
        </is>
      </c>
      <c r="B7387" s="1" t="n">
        <v>44796</v>
      </c>
      <c r="C7387" s="1" t="n">
        <v>45736</v>
      </c>
      <c r="D7387" t="inlineStr">
        <is>
          <t>VÄRMLANDS LÄN</t>
        </is>
      </c>
      <c r="E7387" t="inlineStr">
        <is>
          <t>SUNNE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34908-2022</t>
        </is>
      </c>
      <c r="B7388" s="1" t="n">
        <v>44796</v>
      </c>
      <c r="C7388" s="1" t="n">
        <v>45736</v>
      </c>
      <c r="D7388" t="inlineStr">
        <is>
          <t>VÄRMLANDS LÄN</t>
        </is>
      </c>
      <c r="E7388" t="inlineStr">
        <is>
          <t>TORSBY</t>
        </is>
      </c>
      <c r="F7388" t="inlineStr">
        <is>
          <t>Bergvik skog väst AB</t>
        </is>
      </c>
      <c r="G7388" t="n">
        <v>33.4</v>
      </c>
      <c r="H7388" t="n">
        <v>0</v>
      </c>
      <c r="I7388" t="n">
        <v>0</v>
      </c>
      <c r="J7388" t="n">
        <v>0</v>
      </c>
      <c r="K7388" t="n">
        <v>0</v>
      </c>
      <c r="L7388" t="n">
        <v>0</v>
      </c>
      <c r="M7388" t="n">
        <v>0</v>
      </c>
      <c r="N7388" t="n">
        <v>0</v>
      </c>
      <c r="O7388" t="n">
        <v>0</v>
      </c>
      <c r="P7388" t="n">
        <v>0</v>
      </c>
      <c r="Q7388" t="n">
        <v>0</v>
      </c>
      <c r="R7388" s="2" t="inlineStr"/>
    </row>
    <row r="7389" ht="15" customHeight="1">
      <c r="A7389" t="inlineStr">
        <is>
          <t>A 34838-2022</t>
        </is>
      </c>
      <c r="B7389" s="1" t="n">
        <v>44796</v>
      </c>
      <c r="C7389" s="1" t="n">
        <v>45736</v>
      </c>
      <c r="D7389" t="inlineStr">
        <is>
          <t>VÄRMLANDS LÄN</t>
        </is>
      </c>
      <c r="E7389" t="inlineStr">
        <is>
          <t>SUNNE</t>
        </is>
      </c>
      <c r="F7389" t="inlineStr">
        <is>
          <t>Övriga statliga verk och myndigheter</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34889-2022</t>
        </is>
      </c>
      <c r="B7390" s="1" t="n">
        <v>44796</v>
      </c>
      <c r="C7390" s="1" t="n">
        <v>45736</v>
      </c>
      <c r="D7390" t="inlineStr">
        <is>
          <t>VÄRMLANDS LÄN</t>
        </is>
      </c>
      <c r="E7390" t="inlineStr">
        <is>
          <t>ÅRJÄNG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34845-2022</t>
        </is>
      </c>
      <c r="B7391" s="1" t="n">
        <v>44796</v>
      </c>
      <c r="C7391" s="1" t="n">
        <v>45736</v>
      </c>
      <c r="D7391" t="inlineStr">
        <is>
          <t>VÄRMLANDS LÄN</t>
        </is>
      </c>
      <c r="E7391" t="inlineStr">
        <is>
          <t>FORSHAGA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34903-2022</t>
        </is>
      </c>
      <c r="B7392" s="1" t="n">
        <v>44796</v>
      </c>
      <c r="C7392" s="1" t="n">
        <v>45736</v>
      </c>
      <c r="D7392" t="inlineStr">
        <is>
          <t>VÄRMLANDS LÄN</t>
        </is>
      </c>
      <c r="E7392" t="inlineStr">
        <is>
          <t>SUNNE</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34909-2022</t>
        </is>
      </c>
      <c r="B7393" s="1" t="n">
        <v>44796</v>
      </c>
      <c r="C7393" s="1" t="n">
        <v>45736</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35134-2022</t>
        </is>
      </c>
      <c r="B7394" s="1" t="n">
        <v>44797</v>
      </c>
      <c r="C7394" s="1" t="n">
        <v>45736</v>
      </c>
      <c r="D7394" t="inlineStr">
        <is>
          <t>VÄRMLANDS LÄN</t>
        </is>
      </c>
      <c r="E7394" t="inlineStr">
        <is>
          <t>TORSBY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35092-2022</t>
        </is>
      </c>
      <c r="B7395" s="1" t="n">
        <v>44797</v>
      </c>
      <c r="C7395" s="1" t="n">
        <v>45736</v>
      </c>
      <c r="D7395" t="inlineStr">
        <is>
          <t>VÄRMLANDS LÄN</t>
        </is>
      </c>
      <c r="E7395" t="inlineStr">
        <is>
          <t>STORFORS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35116-2022</t>
        </is>
      </c>
      <c r="B7396" s="1" t="n">
        <v>44797</v>
      </c>
      <c r="C7396" s="1" t="n">
        <v>45736</v>
      </c>
      <c r="D7396" t="inlineStr">
        <is>
          <t>VÄRMLANDS LÄN</t>
        </is>
      </c>
      <c r="E7396" t="inlineStr">
        <is>
          <t>ARVIKA</t>
        </is>
      </c>
      <c r="F7396" t="inlineStr">
        <is>
          <t>Bergvik skog väst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35142-2022</t>
        </is>
      </c>
      <c r="B7397" s="1" t="n">
        <v>44797</v>
      </c>
      <c r="C7397" s="1" t="n">
        <v>45736</v>
      </c>
      <c r="D7397" t="inlineStr">
        <is>
          <t>VÄRMLANDS LÄN</t>
        </is>
      </c>
      <c r="E7397" t="inlineStr">
        <is>
          <t>SUNNE</t>
        </is>
      </c>
      <c r="F7397" t="inlineStr">
        <is>
          <t>Bergvik skog väst AB</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35084-2022</t>
        </is>
      </c>
      <c r="B7398" s="1" t="n">
        <v>44797</v>
      </c>
      <c r="C7398" s="1" t="n">
        <v>45736</v>
      </c>
      <c r="D7398" t="inlineStr">
        <is>
          <t>VÄRMLANDS LÄN</t>
        </is>
      </c>
      <c r="E7398" t="inlineStr">
        <is>
          <t>STORFORS</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35089-2022</t>
        </is>
      </c>
      <c r="B7399" s="1" t="n">
        <v>44797</v>
      </c>
      <c r="C7399" s="1" t="n">
        <v>45736</v>
      </c>
      <c r="D7399" t="inlineStr">
        <is>
          <t>VÄRMLANDS LÄN</t>
        </is>
      </c>
      <c r="E7399" t="inlineStr">
        <is>
          <t>STORFORS</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35112-2022</t>
        </is>
      </c>
      <c r="B7400" s="1" t="n">
        <v>44797</v>
      </c>
      <c r="C7400" s="1" t="n">
        <v>45736</v>
      </c>
      <c r="D7400" t="inlineStr">
        <is>
          <t>VÄRMLANDS LÄN</t>
        </is>
      </c>
      <c r="E7400" t="inlineStr">
        <is>
          <t>SUNNE</t>
        </is>
      </c>
      <c r="F7400" t="inlineStr">
        <is>
          <t>Bergvik skog väst AB</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35132-2022</t>
        </is>
      </c>
      <c r="B7401" s="1" t="n">
        <v>44797</v>
      </c>
      <c r="C7401" s="1" t="n">
        <v>45736</v>
      </c>
      <c r="D7401" t="inlineStr">
        <is>
          <t>VÄRMLANDS LÄN</t>
        </is>
      </c>
      <c r="E7401" t="inlineStr">
        <is>
          <t>TORSBY</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35174-2022</t>
        </is>
      </c>
      <c r="B7402" s="1" t="n">
        <v>44797</v>
      </c>
      <c r="C7402" s="1" t="n">
        <v>45736</v>
      </c>
      <c r="D7402" t="inlineStr">
        <is>
          <t>VÄRMLANDS LÄN</t>
        </is>
      </c>
      <c r="E7402" t="inlineStr">
        <is>
          <t>ARVIKA</t>
        </is>
      </c>
      <c r="F7402" t="inlineStr">
        <is>
          <t>Bergvik skog väst AB</t>
        </is>
      </c>
      <c r="G7402" t="n">
        <v>11.1</v>
      </c>
      <c r="H7402" t="n">
        <v>0</v>
      </c>
      <c r="I7402" t="n">
        <v>0</v>
      </c>
      <c r="J7402" t="n">
        <v>0</v>
      </c>
      <c r="K7402" t="n">
        <v>0</v>
      </c>
      <c r="L7402" t="n">
        <v>0</v>
      </c>
      <c r="M7402" t="n">
        <v>0</v>
      </c>
      <c r="N7402" t="n">
        <v>0</v>
      </c>
      <c r="O7402" t="n">
        <v>0</v>
      </c>
      <c r="P7402" t="n">
        <v>0</v>
      </c>
      <c r="Q7402" t="n">
        <v>0</v>
      </c>
      <c r="R7402" s="2" t="inlineStr"/>
    </row>
    <row r="7403" ht="15" customHeight="1">
      <c r="A7403" t="inlineStr">
        <is>
          <t>A 35197-2022</t>
        </is>
      </c>
      <c r="B7403" s="1" t="n">
        <v>44797</v>
      </c>
      <c r="C7403" s="1" t="n">
        <v>45736</v>
      </c>
      <c r="D7403" t="inlineStr">
        <is>
          <t>VÄRMLANDS LÄN</t>
        </is>
      </c>
      <c r="E7403" t="inlineStr">
        <is>
          <t>EDA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35214-2022</t>
        </is>
      </c>
      <c r="B7404" s="1" t="n">
        <v>44797</v>
      </c>
      <c r="C7404" s="1" t="n">
        <v>45736</v>
      </c>
      <c r="D7404" t="inlineStr">
        <is>
          <t>VÄRMLANDS LÄN</t>
        </is>
      </c>
      <c r="E7404" t="inlineStr">
        <is>
          <t>ARVIKA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35171-2022</t>
        </is>
      </c>
      <c r="B7405" s="1" t="n">
        <v>44797</v>
      </c>
      <c r="C7405" s="1" t="n">
        <v>45736</v>
      </c>
      <c r="D7405" t="inlineStr">
        <is>
          <t>VÄRMLANDS LÄN</t>
        </is>
      </c>
      <c r="E7405" t="inlineStr">
        <is>
          <t>ARVIKA</t>
        </is>
      </c>
      <c r="F7405" t="inlineStr">
        <is>
          <t>Bergvik skog väst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35198-2022</t>
        </is>
      </c>
      <c r="B7406" s="1" t="n">
        <v>44797</v>
      </c>
      <c r="C7406" s="1" t="n">
        <v>45736</v>
      </c>
      <c r="D7406" t="inlineStr">
        <is>
          <t>VÄRMLANDS LÄN</t>
        </is>
      </c>
      <c r="E7406" t="inlineStr">
        <is>
          <t>EDA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35253-2022</t>
        </is>
      </c>
      <c r="B7407" s="1" t="n">
        <v>44797</v>
      </c>
      <c r="C7407" s="1" t="n">
        <v>45736</v>
      </c>
      <c r="D7407" t="inlineStr">
        <is>
          <t>VÄRMLANDS LÄN</t>
        </is>
      </c>
      <c r="E7407" t="inlineStr">
        <is>
          <t>GRUMS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35294-2022</t>
        </is>
      </c>
      <c r="B7408" s="1" t="n">
        <v>44798</v>
      </c>
      <c r="C7408" s="1" t="n">
        <v>45736</v>
      </c>
      <c r="D7408" t="inlineStr">
        <is>
          <t>VÄRMLANDS LÄN</t>
        </is>
      </c>
      <c r="E7408" t="inlineStr">
        <is>
          <t>SUNNE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35315-2022</t>
        </is>
      </c>
      <c r="B7409" s="1" t="n">
        <v>44798</v>
      </c>
      <c r="C7409" s="1" t="n">
        <v>45736</v>
      </c>
      <c r="D7409" t="inlineStr">
        <is>
          <t>VÄRMLANDS LÄN</t>
        </is>
      </c>
      <c r="E7409" t="inlineStr">
        <is>
          <t>EDA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35309-2022</t>
        </is>
      </c>
      <c r="B7410" s="1" t="n">
        <v>44798</v>
      </c>
      <c r="C7410" s="1" t="n">
        <v>45736</v>
      </c>
      <c r="D7410" t="inlineStr">
        <is>
          <t>VÄRMLANDS LÄN</t>
        </is>
      </c>
      <c r="E7410" t="inlineStr">
        <is>
          <t>SUNNE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35316-2022</t>
        </is>
      </c>
      <c r="B7411" s="1" t="n">
        <v>44798</v>
      </c>
      <c r="C7411" s="1" t="n">
        <v>45736</v>
      </c>
      <c r="D7411" t="inlineStr">
        <is>
          <t>VÄRMLANDS LÄN</t>
        </is>
      </c>
      <c r="E7411" t="inlineStr">
        <is>
          <t>SUNNE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35349-2022</t>
        </is>
      </c>
      <c r="B7412" s="1" t="n">
        <v>44798</v>
      </c>
      <c r="C7412" s="1" t="n">
        <v>45736</v>
      </c>
      <c r="D7412" t="inlineStr">
        <is>
          <t>VÄRMLANDS LÄN</t>
        </is>
      </c>
      <c r="E7412" t="inlineStr">
        <is>
          <t>SUNNE</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35298-2022</t>
        </is>
      </c>
      <c r="B7413" s="1" t="n">
        <v>44798</v>
      </c>
      <c r="C7413" s="1" t="n">
        <v>45736</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35337-2022</t>
        </is>
      </c>
      <c r="B7414" s="1" t="n">
        <v>44798</v>
      </c>
      <c r="C7414" s="1" t="n">
        <v>45736</v>
      </c>
      <c r="D7414" t="inlineStr">
        <is>
          <t>VÄRMLANDS LÄN</t>
        </is>
      </c>
      <c r="E7414" t="inlineStr">
        <is>
          <t>SUNNE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35296-2022</t>
        </is>
      </c>
      <c r="B7415" s="1" t="n">
        <v>44798</v>
      </c>
      <c r="C7415" s="1" t="n">
        <v>45736</v>
      </c>
      <c r="D7415" t="inlineStr">
        <is>
          <t>VÄRMLANDS LÄN</t>
        </is>
      </c>
      <c r="E7415" t="inlineStr">
        <is>
          <t>EDA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35305-2022</t>
        </is>
      </c>
      <c r="B7416" s="1" t="n">
        <v>44798</v>
      </c>
      <c r="C7416" s="1" t="n">
        <v>45736</v>
      </c>
      <c r="D7416" t="inlineStr">
        <is>
          <t>VÄRMLANDS LÄN</t>
        </is>
      </c>
      <c r="E7416" t="inlineStr">
        <is>
          <t>SUNNE</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35312-2022</t>
        </is>
      </c>
      <c r="B7417" s="1" t="n">
        <v>44798</v>
      </c>
      <c r="C7417" s="1" t="n">
        <v>45736</v>
      </c>
      <c r="D7417" t="inlineStr">
        <is>
          <t>VÄRMLANDS LÄN</t>
        </is>
      </c>
      <c r="E7417" t="inlineStr">
        <is>
          <t>SUNNE</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35391-2022</t>
        </is>
      </c>
      <c r="B7418" s="1" t="n">
        <v>44798</v>
      </c>
      <c r="C7418" s="1" t="n">
        <v>45736</v>
      </c>
      <c r="D7418" t="inlineStr">
        <is>
          <t>VÄRMLANDS LÄN</t>
        </is>
      </c>
      <c r="E7418" t="inlineStr">
        <is>
          <t>GRUMS</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35540-2022</t>
        </is>
      </c>
      <c r="B7419" s="1" t="n">
        <v>44799</v>
      </c>
      <c r="C7419" s="1" t="n">
        <v>45736</v>
      </c>
      <c r="D7419" t="inlineStr">
        <is>
          <t>VÄRMLANDS LÄN</t>
        </is>
      </c>
      <c r="E7419" t="inlineStr">
        <is>
          <t>EDA</t>
        </is>
      </c>
      <c r="F7419" t="inlineStr">
        <is>
          <t>Kommuner</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35606-2022</t>
        </is>
      </c>
      <c r="B7420" s="1" t="n">
        <v>44799</v>
      </c>
      <c r="C7420" s="1" t="n">
        <v>45736</v>
      </c>
      <c r="D7420" t="inlineStr">
        <is>
          <t>VÄRMLANDS LÄN</t>
        </is>
      </c>
      <c r="E7420" t="inlineStr">
        <is>
          <t>TORSBY</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35549-2022</t>
        </is>
      </c>
      <c r="B7421" s="1" t="n">
        <v>44799</v>
      </c>
      <c r="C7421" s="1" t="n">
        <v>45736</v>
      </c>
      <c r="D7421" t="inlineStr">
        <is>
          <t>VÄRMLANDS LÄN</t>
        </is>
      </c>
      <c r="E7421" t="inlineStr">
        <is>
          <t>EDA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35567-2022</t>
        </is>
      </c>
      <c r="B7422" s="1" t="n">
        <v>44799</v>
      </c>
      <c r="C7422" s="1" t="n">
        <v>45736</v>
      </c>
      <c r="D7422" t="inlineStr">
        <is>
          <t>VÄRMLANDS LÄN</t>
        </is>
      </c>
      <c r="E7422" t="inlineStr">
        <is>
          <t>KARLSTAD</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35577-2022</t>
        </is>
      </c>
      <c r="B7423" s="1" t="n">
        <v>44799</v>
      </c>
      <c r="C7423" s="1" t="n">
        <v>45736</v>
      </c>
      <c r="D7423" t="inlineStr">
        <is>
          <t>VÄRMLANDS LÄN</t>
        </is>
      </c>
      <c r="E7423" t="inlineStr">
        <is>
          <t>EDA</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35622-2022</t>
        </is>
      </c>
      <c r="B7424" s="1" t="n">
        <v>44799</v>
      </c>
      <c r="C7424" s="1" t="n">
        <v>45736</v>
      </c>
      <c r="D7424" t="inlineStr">
        <is>
          <t>VÄRMLANDS LÄN</t>
        </is>
      </c>
      <c r="E7424" t="inlineStr">
        <is>
          <t>HAGFORS</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35634-2022</t>
        </is>
      </c>
      <c r="B7425" s="1" t="n">
        <v>44799</v>
      </c>
      <c r="C7425" s="1" t="n">
        <v>45736</v>
      </c>
      <c r="D7425" t="inlineStr">
        <is>
          <t>VÄRMLANDS LÄN</t>
        </is>
      </c>
      <c r="E7425" t="inlineStr">
        <is>
          <t>EDA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35595-2022</t>
        </is>
      </c>
      <c r="B7426" s="1" t="n">
        <v>44799</v>
      </c>
      <c r="C7426" s="1" t="n">
        <v>45736</v>
      </c>
      <c r="D7426" t="inlineStr">
        <is>
          <t>VÄRMLANDS LÄN</t>
        </is>
      </c>
      <c r="E7426" t="inlineStr">
        <is>
          <t>TORSBY</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35664-2022</t>
        </is>
      </c>
      <c r="B7427" s="1" t="n">
        <v>44799</v>
      </c>
      <c r="C7427" s="1" t="n">
        <v>45736</v>
      </c>
      <c r="D7427" t="inlineStr">
        <is>
          <t>VÄRMLANDS LÄN</t>
        </is>
      </c>
      <c r="E7427" t="inlineStr">
        <is>
          <t>HAGFORS</t>
        </is>
      </c>
      <c r="F7427" t="inlineStr">
        <is>
          <t>Bergvik skog väst AB</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35680-2022</t>
        </is>
      </c>
      <c r="B7428" s="1" t="n">
        <v>44799</v>
      </c>
      <c r="C7428" s="1" t="n">
        <v>45736</v>
      </c>
      <c r="D7428" t="inlineStr">
        <is>
          <t>VÄRMLANDS LÄN</t>
        </is>
      </c>
      <c r="E7428" t="inlineStr">
        <is>
          <t>KIL</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35712-2022</t>
        </is>
      </c>
      <c r="B7429" s="1" t="n">
        <v>44799</v>
      </c>
      <c r="C7429" s="1" t="n">
        <v>45736</v>
      </c>
      <c r="D7429" t="inlineStr">
        <is>
          <t>VÄRMLANDS LÄN</t>
        </is>
      </c>
      <c r="E7429" t="inlineStr">
        <is>
          <t>FILIPSTAD</t>
        </is>
      </c>
      <c r="F7429" t="inlineStr">
        <is>
          <t>Bergvik skog väst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35724-2022</t>
        </is>
      </c>
      <c r="B7430" s="1" t="n">
        <v>44799</v>
      </c>
      <c r="C7430" s="1" t="n">
        <v>45736</v>
      </c>
      <c r="D7430" t="inlineStr">
        <is>
          <t>VÄRMLANDS LÄN</t>
        </is>
      </c>
      <c r="E7430" t="inlineStr">
        <is>
          <t>TORSBY</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35726-2022</t>
        </is>
      </c>
      <c r="B7431" s="1" t="n">
        <v>44799</v>
      </c>
      <c r="C7431" s="1" t="n">
        <v>45736</v>
      </c>
      <c r="D7431" t="inlineStr">
        <is>
          <t>VÄRMLANDS LÄN</t>
        </is>
      </c>
      <c r="E7431" t="inlineStr">
        <is>
          <t>ÅRJÄNG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35667-2022</t>
        </is>
      </c>
      <c r="B7432" s="1" t="n">
        <v>44799</v>
      </c>
      <c r="C7432" s="1" t="n">
        <v>45736</v>
      </c>
      <c r="D7432" t="inlineStr">
        <is>
          <t>VÄRMLANDS LÄN</t>
        </is>
      </c>
      <c r="E7432" t="inlineStr">
        <is>
          <t>ARVIKA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35711-2022</t>
        </is>
      </c>
      <c r="B7433" s="1" t="n">
        <v>44799</v>
      </c>
      <c r="C7433" s="1" t="n">
        <v>45736</v>
      </c>
      <c r="D7433" t="inlineStr">
        <is>
          <t>VÄRMLANDS LÄN</t>
        </is>
      </c>
      <c r="E7433" t="inlineStr">
        <is>
          <t>TORSBY</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35799-2022</t>
        </is>
      </c>
      <c r="B7434" s="1" t="n">
        <v>44802</v>
      </c>
      <c r="C7434" s="1" t="n">
        <v>45736</v>
      </c>
      <c r="D7434" t="inlineStr">
        <is>
          <t>VÄRMLANDS LÄN</t>
        </is>
      </c>
      <c r="E7434" t="inlineStr">
        <is>
          <t>FILIPSTAD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35973-2022</t>
        </is>
      </c>
      <c r="B7435" s="1" t="n">
        <v>44802</v>
      </c>
      <c r="C7435" s="1" t="n">
        <v>45736</v>
      </c>
      <c r="D7435" t="inlineStr">
        <is>
          <t>VÄRMLANDS LÄN</t>
        </is>
      </c>
      <c r="E7435" t="inlineStr">
        <is>
          <t>SUNNE</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36028-2022</t>
        </is>
      </c>
      <c r="B7436" s="1" t="n">
        <v>44802</v>
      </c>
      <c r="C7436" s="1" t="n">
        <v>45736</v>
      </c>
      <c r="D7436" t="inlineStr">
        <is>
          <t>VÄRMLANDS LÄN</t>
        </is>
      </c>
      <c r="E7436" t="inlineStr">
        <is>
          <t>SUNNE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35822-2022</t>
        </is>
      </c>
      <c r="B7437" s="1" t="n">
        <v>44802</v>
      </c>
      <c r="C7437" s="1" t="n">
        <v>45736</v>
      </c>
      <c r="D7437" t="inlineStr">
        <is>
          <t>VÄRMLANDS LÄN</t>
        </is>
      </c>
      <c r="E7437" t="inlineStr">
        <is>
          <t>SÄFFLE</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35927-2022</t>
        </is>
      </c>
      <c r="B7438" s="1" t="n">
        <v>44802</v>
      </c>
      <c r="C7438" s="1" t="n">
        <v>45736</v>
      </c>
      <c r="D7438" t="inlineStr">
        <is>
          <t>VÄRMLANDS LÄN</t>
        </is>
      </c>
      <c r="E7438" t="inlineStr">
        <is>
          <t>KIL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35851-2022</t>
        </is>
      </c>
      <c r="B7439" s="1" t="n">
        <v>44802</v>
      </c>
      <c r="C7439" s="1" t="n">
        <v>45736</v>
      </c>
      <c r="D7439" t="inlineStr">
        <is>
          <t>VÄRMLANDS LÄN</t>
        </is>
      </c>
      <c r="E7439" t="inlineStr">
        <is>
          <t>TORSBY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36026-2022</t>
        </is>
      </c>
      <c r="B7440" s="1" t="n">
        <v>44802</v>
      </c>
      <c r="C7440" s="1" t="n">
        <v>45736</v>
      </c>
      <c r="D7440" t="inlineStr">
        <is>
          <t>VÄRMLANDS LÄN</t>
        </is>
      </c>
      <c r="E7440" t="inlineStr">
        <is>
          <t>ARVIKA</t>
        </is>
      </c>
      <c r="F7440" t="inlineStr">
        <is>
          <t>Bergvik skog väst AB</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36032-2022</t>
        </is>
      </c>
      <c r="B7441" s="1" t="n">
        <v>44802</v>
      </c>
      <c r="C7441" s="1" t="n">
        <v>45736</v>
      </c>
      <c r="D7441" t="inlineStr">
        <is>
          <t>VÄRMLANDS LÄN</t>
        </is>
      </c>
      <c r="E7441" t="inlineStr">
        <is>
          <t>SUNNE</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35908-2022</t>
        </is>
      </c>
      <c r="B7442" s="1" t="n">
        <v>44802</v>
      </c>
      <c r="C7442" s="1" t="n">
        <v>45736</v>
      </c>
      <c r="D7442" t="inlineStr">
        <is>
          <t>VÄRMLANDS LÄN</t>
        </is>
      </c>
      <c r="E7442" t="inlineStr">
        <is>
          <t>HAGFORS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35961-2022</t>
        </is>
      </c>
      <c r="B7443" s="1" t="n">
        <v>44802</v>
      </c>
      <c r="C7443" s="1" t="n">
        <v>45736</v>
      </c>
      <c r="D7443" t="inlineStr">
        <is>
          <t>VÄRMLANDS LÄN</t>
        </is>
      </c>
      <c r="E7443" t="inlineStr">
        <is>
          <t>ARVIKA</t>
        </is>
      </c>
      <c r="F7443" t="inlineStr">
        <is>
          <t>Bergvik skog väst AB</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35969-2022</t>
        </is>
      </c>
      <c r="B7444" s="1" t="n">
        <v>44802</v>
      </c>
      <c r="C7444" s="1" t="n">
        <v>45736</v>
      </c>
      <c r="D7444" t="inlineStr">
        <is>
          <t>VÄRMLANDS LÄN</t>
        </is>
      </c>
      <c r="E7444" t="inlineStr">
        <is>
          <t>ARVIKA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36044-2022</t>
        </is>
      </c>
      <c r="B7445" s="1" t="n">
        <v>44802</v>
      </c>
      <c r="C7445" s="1" t="n">
        <v>45736</v>
      </c>
      <c r="D7445" t="inlineStr">
        <is>
          <t>VÄRMLANDS LÄN</t>
        </is>
      </c>
      <c r="E7445" t="inlineStr">
        <is>
          <t>ARVIKA</t>
        </is>
      </c>
      <c r="F7445" t="inlineStr">
        <is>
          <t>Bergvik skog väst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36016-2022</t>
        </is>
      </c>
      <c r="B7446" s="1" t="n">
        <v>44802</v>
      </c>
      <c r="C7446" s="1" t="n">
        <v>45736</v>
      </c>
      <c r="D7446" t="inlineStr">
        <is>
          <t>VÄRMLANDS LÄN</t>
        </is>
      </c>
      <c r="E7446" t="inlineStr">
        <is>
          <t>ÅRJÄNG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36025-2022</t>
        </is>
      </c>
      <c r="B7447" s="1" t="n">
        <v>44802</v>
      </c>
      <c r="C7447" s="1" t="n">
        <v>45736</v>
      </c>
      <c r="D7447" t="inlineStr">
        <is>
          <t>VÄRMLANDS LÄN</t>
        </is>
      </c>
      <c r="E7447" t="inlineStr">
        <is>
          <t>SUNNE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36125-2022</t>
        </is>
      </c>
      <c r="B7448" s="1" t="n">
        <v>44803</v>
      </c>
      <c r="C7448" s="1" t="n">
        <v>45736</v>
      </c>
      <c r="D7448" t="inlineStr">
        <is>
          <t>VÄRMLANDS LÄN</t>
        </is>
      </c>
      <c r="E7448" t="inlineStr">
        <is>
          <t>ARVIKA</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36290-2022</t>
        </is>
      </c>
      <c r="B7449" s="1" t="n">
        <v>44803</v>
      </c>
      <c r="C7449" s="1" t="n">
        <v>45736</v>
      </c>
      <c r="D7449" t="inlineStr">
        <is>
          <t>VÄRMLANDS LÄN</t>
        </is>
      </c>
      <c r="E7449" t="inlineStr">
        <is>
          <t>TORSBY</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36251-2022</t>
        </is>
      </c>
      <c r="B7450" s="1" t="n">
        <v>44803</v>
      </c>
      <c r="C7450" s="1" t="n">
        <v>45736</v>
      </c>
      <c r="D7450" t="inlineStr">
        <is>
          <t>VÄRMLANDS LÄN</t>
        </is>
      </c>
      <c r="E7450" t="inlineStr">
        <is>
          <t>FILIPSTAD</t>
        </is>
      </c>
      <c r="F7450" t="inlineStr">
        <is>
          <t>Bergvik skog väst AB</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36296-2022</t>
        </is>
      </c>
      <c r="B7451" s="1" t="n">
        <v>44803</v>
      </c>
      <c r="C7451" s="1" t="n">
        <v>45736</v>
      </c>
      <c r="D7451" t="inlineStr">
        <is>
          <t>VÄRMLANDS LÄN</t>
        </is>
      </c>
      <c r="E7451" t="inlineStr">
        <is>
          <t>KIL</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36302-2022</t>
        </is>
      </c>
      <c r="B7452" s="1" t="n">
        <v>44803</v>
      </c>
      <c r="C7452" s="1" t="n">
        <v>45736</v>
      </c>
      <c r="D7452" t="inlineStr">
        <is>
          <t>VÄRMLANDS LÄN</t>
        </is>
      </c>
      <c r="E7452" t="inlineStr">
        <is>
          <t>KIL</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36312-2022</t>
        </is>
      </c>
      <c r="B7453" s="1" t="n">
        <v>44803</v>
      </c>
      <c r="C7453" s="1" t="n">
        <v>45736</v>
      </c>
      <c r="D7453" t="inlineStr">
        <is>
          <t>VÄRMLANDS LÄN</t>
        </is>
      </c>
      <c r="E7453" t="inlineStr">
        <is>
          <t>KIL</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36305-2022</t>
        </is>
      </c>
      <c r="B7454" s="1" t="n">
        <v>44803</v>
      </c>
      <c r="C7454" s="1" t="n">
        <v>45736</v>
      </c>
      <c r="D7454" t="inlineStr">
        <is>
          <t>VÄRMLANDS LÄN</t>
        </is>
      </c>
      <c r="E7454" t="inlineStr">
        <is>
          <t>KIL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36318-2022</t>
        </is>
      </c>
      <c r="B7455" s="1" t="n">
        <v>44803</v>
      </c>
      <c r="C7455" s="1" t="n">
        <v>45736</v>
      </c>
      <c r="D7455" t="inlineStr">
        <is>
          <t>VÄRMLANDS LÄN</t>
        </is>
      </c>
      <c r="E7455" t="inlineStr">
        <is>
          <t>TORSBY</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36310-2022</t>
        </is>
      </c>
      <c r="B7456" s="1" t="n">
        <v>44803</v>
      </c>
      <c r="C7456" s="1" t="n">
        <v>45736</v>
      </c>
      <c r="D7456" t="inlineStr">
        <is>
          <t>VÄRMLANDS LÄN</t>
        </is>
      </c>
      <c r="E7456" t="inlineStr">
        <is>
          <t>SUNNE</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36328-2022</t>
        </is>
      </c>
      <c r="B7457" s="1" t="n">
        <v>44803</v>
      </c>
      <c r="C7457" s="1" t="n">
        <v>45736</v>
      </c>
      <c r="D7457" t="inlineStr">
        <is>
          <t>VÄRMLANDS LÄN</t>
        </is>
      </c>
      <c r="E7457" t="inlineStr">
        <is>
          <t>HAGFORS</t>
        </is>
      </c>
      <c r="F7457" t="inlineStr">
        <is>
          <t>Bergvik skog väst AB</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36514-2022</t>
        </is>
      </c>
      <c r="B7458" s="1" t="n">
        <v>44804</v>
      </c>
      <c r="C7458" s="1" t="n">
        <v>45736</v>
      </c>
      <c r="D7458" t="inlineStr">
        <is>
          <t>VÄRMLANDS LÄN</t>
        </is>
      </c>
      <c r="E7458" t="inlineStr">
        <is>
          <t>TORSBY</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36547-2022</t>
        </is>
      </c>
      <c r="B7459" s="1" t="n">
        <v>44804</v>
      </c>
      <c r="C7459" s="1" t="n">
        <v>45736</v>
      </c>
      <c r="D7459" t="inlineStr">
        <is>
          <t>VÄRMLANDS LÄN</t>
        </is>
      </c>
      <c r="E7459" t="inlineStr">
        <is>
          <t>TORSBY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36423-2022</t>
        </is>
      </c>
      <c r="B7460" s="1" t="n">
        <v>44804</v>
      </c>
      <c r="C7460" s="1" t="n">
        <v>45736</v>
      </c>
      <c r="D7460" t="inlineStr">
        <is>
          <t>VÄRMLANDS LÄN</t>
        </is>
      </c>
      <c r="E7460" t="inlineStr">
        <is>
          <t>EDA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36438-2022</t>
        </is>
      </c>
      <c r="B7461" s="1" t="n">
        <v>44804</v>
      </c>
      <c r="C7461" s="1" t="n">
        <v>45736</v>
      </c>
      <c r="D7461" t="inlineStr">
        <is>
          <t>VÄRMLANDS LÄN</t>
        </is>
      </c>
      <c r="E7461" t="inlineStr">
        <is>
          <t>EDA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36486-2022</t>
        </is>
      </c>
      <c r="B7462" s="1" t="n">
        <v>44804</v>
      </c>
      <c r="C7462" s="1" t="n">
        <v>45736</v>
      </c>
      <c r="D7462" t="inlineStr">
        <is>
          <t>VÄRMLANDS LÄN</t>
        </is>
      </c>
      <c r="E7462" t="inlineStr">
        <is>
          <t>ÅRJÄNG</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36532-2022</t>
        </is>
      </c>
      <c r="B7463" s="1" t="n">
        <v>44804</v>
      </c>
      <c r="C7463" s="1" t="n">
        <v>45736</v>
      </c>
      <c r="D7463" t="inlineStr">
        <is>
          <t>VÄRMLANDS LÄN</t>
        </is>
      </c>
      <c r="E7463" t="inlineStr">
        <is>
          <t>ÅRJÄNG</t>
        </is>
      </c>
      <c r="G7463" t="n">
        <v>12.7</v>
      </c>
      <c r="H7463" t="n">
        <v>0</v>
      </c>
      <c r="I7463" t="n">
        <v>0</v>
      </c>
      <c r="J7463" t="n">
        <v>0</v>
      </c>
      <c r="K7463" t="n">
        <v>0</v>
      </c>
      <c r="L7463" t="n">
        <v>0</v>
      </c>
      <c r="M7463" t="n">
        <v>0</v>
      </c>
      <c r="N7463" t="n">
        <v>0</v>
      </c>
      <c r="O7463" t="n">
        <v>0</v>
      </c>
      <c r="P7463" t="n">
        <v>0</v>
      </c>
      <c r="Q7463" t="n">
        <v>0</v>
      </c>
      <c r="R7463" s="2" t="inlineStr"/>
    </row>
    <row r="7464" ht="15" customHeight="1">
      <c r="A7464" t="inlineStr">
        <is>
          <t>A 36393-2022</t>
        </is>
      </c>
      <c r="B7464" s="1" t="n">
        <v>44804</v>
      </c>
      <c r="C7464" s="1" t="n">
        <v>45736</v>
      </c>
      <c r="D7464" t="inlineStr">
        <is>
          <t>VÄRMLANDS LÄN</t>
        </is>
      </c>
      <c r="E7464" t="inlineStr">
        <is>
          <t>EDA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36430-2022</t>
        </is>
      </c>
      <c r="B7465" s="1" t="n">
        <v>44804</v>
      </c>
      <c r="C7465" s="1" t="n">
        <v>45736</v>
      </c>
      <c r="D7465" t="inlineStr">
        <is>
          <t>VÄRMLANDS LÄN</t>
        </is>
      </c>
      <c r="E7465" t="inlineStr">
        <is>
          <t>SUNNE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36422-2022</t>
        </is>
      </c>
      <c r="B7466" s="1" t="n">
        <v>44804</v>
      </c>
      <c r="C7466" s="1" t="n">
        <v>45736</v>
      </c>
      <c r="D7466" t="inlineStr">
        <is>
          <t>VÄRMLANDS LÄN</t>
        </is>
      </c>
      <c r="E7466" t="inlineStr">
        <is>
          <t>KARLSTAD</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36458-2022</t>
        </is>
      </c>
      <c r="B7467" s="1" t="n">
        <v>44804</v>
      </c>
      <c r="C7467" s="1" t="n">
        <v>45736</v>
      </c>
      <c r="D7467" t="inlineStr">
        <is>
          <t>VÄRMLANDS LÄN</t>
        </is>
      </c>
      <c r="E7467" t="inlineStr">
        <is>
          <t>ARVIKA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36473-2022</t>
        </is>
      </c>
      <c r="B7468" s="1" t="n">
        <v>44804</v>
      </c>
      <c r="C7468" s="1" t="n">
        <v>45736</v>
      </c>
      <c r="D7468" t="inlineStr">
        <is>
          <t>VÄRMLANDS LÄN</t>
        </is>
      </c>
      <c r="E7468" t="inlineStr">
        <is>
          <t>ARVIKA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36545-2022</t>
        </is>
      </c>
      <c r="B7469" s="1" t="n">
        <v>44804</v>
      </c>
      <c r="C7469" s="1" t="n">
        <v>45736</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36527-2022</t>
        </is>
      </c>
      <c r="B7470" s="1" t="n">
        <v>44804</v>
      </c>
      <c r="C7470" s="1" t="n">
        <v>45736</v>
      </c>
      <c r="D7470" t="inlineStr">
        <is>
          <t>VÄRMLANDS LÄN</t>
        </is>
      </c>
      <c r="E7470" t="inlineStr">
        <is>
          <t>TORSBY</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36537-2022</t>
        </is>
      </c>
      <c r="B7471" s="1" t="n">
        <v>44804</v>
      </c>
      <c r="C7471" s="1" t="n">
        <v>45736</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36582-2022</t>
        </is>
      </c>
      <c r="B7472" s="1" t="n">
        <v>44804</v>
      </c>
      <c r="C7472" s="1" t="n">
        <v>45736</v>
      </c>
      <c r="D7472" t="inlineStr">
        <is>
          <t>VÄRMLANDS LÄN</t>
        </is>
      </c>
      <c r="E7472" t="inlineStr">
        <is>
          <t>TORSBY</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36632-2022</t>
        </is>
      </c>
      <c r="B7473" s="1" t="n">
        <v>44804</v>
      </c>
      <c r="C7473" s="1" t="n">
        <v>45736</v>
      </c>
      <c r="D7473" t="inlineStr">
        <is>
          <t>VÄRMLANDS LÄN</t>
        </is>
      </c>
      <c r="E7473" t="inlineStr">
        <is>
          <t>SUNNE</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36562-2022</t>
        </is>
      </c>
      <c r="B7474" s="1" t="n">
        <v>44804</v>
      </c>
      <c r="C7474" s="1" t="n">
        <v>45736</v>
      </c>
      <c r="D7474" t="inlineStr">
        <is>
          <t>VÄRMLANDS LÄN</t>
        </is>
      </c>
      <c r="E7474" t="inlineStr">
        <is>
          <t>TORSBY</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36572-2022</t>
        </is>
      </c>
      <c r="B7475" s="1" t="n">
        <v>44804</v>
      </c>
      <c r="C7475" s="1" t="n">
        <v>45736</v>
      </c>
      <c r="D7475" t="inlineStr">
        <is>
          <t>VÄRMLANDS LÄN</t>
        </is>
      </c>
      <c r="E7475" t="inlineStr">
        <is>
          <t>TORSBY</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36587-2022</t>
        </is>
      </c>
      <c r="B7476" s="1" t="n">
        <v>44804</v>
      </c>
      <c r="C7476" s="1" t="n">
        <v>45736</v>
      </c>
      <c r="D7476" t="inlineStr">
        <is>
          <t>VÄRMLANDS LÄN</t>
        </is>
      </c>
      <c r="E7476" t="inlineStr">
        <is>
          <t>TORSBY</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36726-2022</t>
        </is>
      </c>
      <c r="B7477" s="1" t="n">
        <v>44804</v>
      </c>
      <c r="C7477" s="1" t="n">
        <v>45736</v>
      </c>
      <c r="D7477" t="inlineStr">
        <is>
          <t>VÄRMLANDS LÄN</t>
        </is>
      </c>
      <c r="E7477" t="inlineStr">
        <is>
          <t>SUNNE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36774-2022</t>
        </is>
      </c>
      <c r="B7478" s="1" t="n">
        <v>44805</v>
      </c>
      <c r="C7478" s="1" t="n">
        <v>45736</v>
      </c>
      <c r="D7478" t="inlineStr">
        <is>
          <t>VÄRMLANDS LÄN</t>
        </is>
      </c>
      <c r="E7478" t="inlineStr">
        <is>
          <t>KRISTINEHAMN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36809-2022</t>
        </is>
      </c>
      <c r="B7479" s="1" t="n">
        <v>44805</v>
      </c>
      <c r="C7479" s="1" t="n">
        <v>45736</v>
      </c>
      <c r="D7479" t="inlineStr">
        <is>
          <t>VÄRMLANDS LÄN</t>
        </is>
      </c>
      <c r="E7479" t="inlineStr">
        <is>
          <t>FILIPSTAD</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36731-2022</t>
        </is>
      </c>
      <c r="B7480" s="1" t="n">
        <v>44805</v>
      </c>
      <c r="C7480" s="1" t="n">
        <v>45736</v>
      </c>
      <c r="D7480" t="inlineStr">
        <is>
          <t>VÄRMLANDS LÄN</t>
        </is>
      </c>
      <c r="E7480" t="inlineStr">
        <is>
          <t>SUNNE</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36844-2022</t>
        </is>
      </c>
      <c r="B7481" s="1" t="n">
        <v>44805</v>
      </c>
      <c r="C7481" s="1" t="n">
        <v>45736</v>
      </c>
      <c r="D7481" t="inlineStr">
        <is>
          <t>VÄRMLANDS LÄN</t>
        </is>
      </c>
      <c r="E7481" t="inlineStr">
        <is>
          <t>SUNNE</t>
        </is>
      </c>
      <c r="F7481" t="inlineStr">
        <is>
          <t>Kyrkan</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36827-2022</t>
        </is>
      </c>
      <c r="B7482" s="1" t="n">
        <v>44805</v>
      </c>
      <c r="C7482" s="1" t="n">
        <v>45736</v>
      </c>
      <c r="D7482" t="inlineStr">
        <is>
          <t>VÄRMLANDS LÄN</t>
        </is>
      </c>
      <c r="E7482" t="inlineStr">
        <is>
          <t>FILIPSTAD</t>
        </is>
      </c>
      <c r="F7482" t="inlineStr">
        <is>
          <t>Bergvik skog väst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36977-2022</t>
        </is>
      </c>
      <c r="B7483" s="1" t="n">
        <v>44805</v>
      </c>
      <c r="C7483" s="1" t="n">
        <v>45736</v>
      </c>
      <c r="D7483" t="inlineStr">
        <is>
          <t>VÄRMLANDS LÄN</t>
        </is>
      </c>
      <c r="E7483" t="inlineStr">
        <is>
          <t>HAGFORS</t>
        </is>
      </c>
      <c r="F7483" t="inlineStr">
        <is>
          <t>Kyrkan</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36971-2022</t>
        </is>
      </c>
      <c r="B7484" s="1" t="n">
        <v>44805</v>
      </c>
      <c r="C7484" s="1" t="n">
        <v>45736</v>
      </c>
      <c r="D7484" t="inlineStr">
        <is>
          <t>VÄRMLANDS LÄN</t>
        </is>
      </c>
      <c r="E7484" t="inlineStr">
        <is>
          <t>HAGFORS</t>
        </is>
      </c>
      <c r="F7484" t="inlineStr">
        <is>
          <t>Kyrkan</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36884-2022</t>
        </is>
      </c>
      <c r="B7485" s="1" t="n">
        <v>44805</v>
      </c>
      <c r="C7485" s="1" t="n">
        <v>45736</v>
      </c>
      <c r="D7485" t="inlineStr">
        <is>
          <t>VÄRMLANDS LÄN</t>
        </is>
      </c>
      <c r="E7485" t="inlineStr">
        <is>
          <t>KARLSTAD</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36969-2022</t>
        </is>
      </c>
      <c r="B7486" s="1" t="n">
        <v>44805</v>
      </c>
      <c r="C7486" s="1" t="n">
        <v>45736</v>
      </c>
      <c r="D7486" t="inlineStr">
        <is>
          <t>VÄRMLANDS LÄN</t>
        </is>
      </c>
      <c r="E7486" t="inlineStr">
        <is>
          <t>SUNNE</t>
        </is>
      </c>
      <c r="F7486" t="inlineStr">
        <is>
          <t>Kyrkan</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36978-2022</t>
        </is>
      </c>
      <c r="B7487" s="1" t="n">
        <v>44805</v>
      </c>
      <c r="C7487" s="1" t="n">
        <v>45736</v>
      </c>
      <c r="D7487" t="inlineStr">
        <is>
          <t>VÄRMLANDS LÄN</t>
        </is>
      </c>
      <c r="E7487" t="inlineStr">
        <is>
          <t>HAGFORS</t>
        </is>
      </c>
      <c r="F7487" t="inlineStr">
        <is>
          <t>Kyrkan</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37024-2022</t>
        </is>
      </c>
      <c r="B7488" s="1" t="n">
        <v>44806</v>
      </c>
      <c r="C7488" s="1" t="n">
        <v>45736</v>
      </c>
      <c r="D7488" t="inlineStr">
        <is>
          <t>VÄRMLANDS LÄN</t>
        </is>
      </c>
      <c r="E7488" t="inlineStr">
        <is>
          <t>HAGFORS</t>
        </is>
      </c>
      <c r="F7488" t="inlineStr">
        <is>
          <t>Bergvik skog väst AB</t>
        </is>
      </c>
      <c r="G7488" t="n">
        <v>13.2</v>
      </c>
      <c r="H7488" t="n">
        <v>0</v>
      </c>
      <c r="I7488" t="n">
        <v>0</v>
      </c>
      <c r="J7488" t="n">
        <v>0</v>
      </c>
      <c r="K7488" t="n">
        <v>0</v>
      </c>
      <c r="L7488" t="n">
        <v>0</v>
      </c>
      <c r="M7488" t="n">
        <v>0</v>
      </c>
      <c r="N7488" t="n">
        <v>0</v>
      </c>
      <c r="O7488" t="n">
        <v>0</v>
      </c>
      <c r="P7488" t="n">
        <v>0</v>
      </c>
      <c r="Q7488" t="n">
        <v>0</v>
      </c>
      <c r="R7488" s="2" t="inlineStr"/>
    </row>
    <row r="7489" ht="15" customHeight="1">
      <c r="A7489" t="inlineStr">
        <is>
          <t>A 37040-2022</t>
        </is>
      </c>
      <c r="B7489" s="1" t="n">
        <v>44806</v>
      </c>
      <c r="C7489" s="1" t="n">
        <v>45736</v>
      </c>
      <c r="D7489" t="inlineStr">
        <is>
          <t>VÄRMLANDS LÄN</t>
        </is>
      </c>
      <c r="E7489" t="inlineStr">
        <is>
          <t>SÄFFLE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37136-2022</t>
        </is>
      </c>
      <c r="B7490" s="1" t="n">
        <v>44806</v>
      </c>
      <c r="C7490" s="1" t="n">
        <v>45736</v>
      </c>
      <c r="D7490" t="inlineStr">
        <is>
          <t>VÄRMLANDS LÄN</t>
        </is>
      </c>
      <c r="E7490" t="inlineStr">
        <is>
          <t>EDA</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37159-2022</t>
        </is>
      </c>
      <c r="B7491" s="1" t="n">
        <v>44806</v>
      </c>
      <c r="C7491" s="1" t="n">
        <v>45736</v>
      </c>
      <c r="D7491" t="inlineStr">
        <is>
          <t>VÄRMLANDS LÄN</t>
        </is>
      </c>
      <c r="E7491" t="inlineStr">
        <is>
          <t>EDA</t>
        </is>
      </c>
      <c r="G7491" t="n">
        <v>15.7</v>
      </c>
      <c r="H7491" t="n">
        <v>0</v>
      </c>
      <c r="I7491" t="n">
        <v>0</v>
      </c>
      <c r="J7491" t="n">
        <v>0</v>
      </c>
      <c r="K7491" t="n">
        <v>0</v>
      </c>
      <c r="L7491" t="n">
        <v>0</v>
      </c>
      <c r="M7491" t="n">
        <v>0</v>
      </c>
      <c r="N7491" t="n">
        <v>0</v>
      </c>
      <c r="O7491" t="n">
        <v>0</v>
      </c>
      <c r="P7491" t="n">
        <v>0</v>
      </c>
      <c r="Q7491" t="n">
        <v>0</v>
      </c>
      <c r="R7491" s="2" t="inlineStr"/>
    </row>
    <row r="7492" ht="15" customHeight="1">
      <c r="A7492" t="inlineStr">
        <is>
          <t>A 37041-2022</t>
        </is>
      </c>
      <c r="B7492" s="1" t="n">
        <v>44806</v>
      </c>
      <c r="C7492" s="1" t="n">
        <v>45736</v>
      </c>
      <c r="D7492" t="inlineStr">
        <is>
          <t>VÄRMLANDS LÄN</t>
        </is>
      </c>
      <c r="E7492" t="inlineStr">
        <is>
          <t>SÄFFLE</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36959-2022</t>
        </is>
      </c>
      <c r="B7493" s="1" t="n">
        <v>44806</v>
      </c>
      <c r="C7493" s="1" t="n">
        <v>45736</v>
      </c>
      <c r="D7493" t="inlineStr">
        <is>
          <t>VÄRMLANDS LÄN</t>
        </is>
      </c>
      <c r="E7493" t="inlineStr">
        <is>
          <t>ARVIKA</t>
        </is>
      </c>
      <c r="F7493" t="inlineStr">
        <is>
          <t>Bergvik skog väst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37122-2022</t>
        </is>
      </c>
      <c r="B7494" s="1" t="n">
        <v>44806</v>
      </c>
      <c r="C7494" s="1" t="n">
        <v>45736</v>
      </c>
      <c r="D7494" t="inlineStr">
        <is>
          <t>VÄRMLANDS LÄN</t>
        </is>
      </c>
      <c r="E7494" t="inlineStr">
        <is>
          <t>ÅRJÄNG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37139-2022</t>
        </is>
      </c>
      <c r="B7495" s="1" t="n">
        <v>44806</v>
      </c>
      <c r="C7495" s="1" t="n">
        <v>45736</v>
      </c>
      <c r="D7495" t="inlineStr">
        <is>
          <t>VÄRMLANDS LÄN</t>
        </is>
      </c>
      <c r="E7495" t="inlineStr">
        <is>
          <t>ARVIKA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37045-2022</t>
        </is>
      </c>
      <c r="B7496" s="1" t="n">
        <v>44806</v>
      </c>
      <c r="C7496" s="1" t="n">
        <v>45736</v>
      </c>
      <c r="D7496" t="inlineStr">
        <is>
          <t>VÄRMLANDS LÄN</t>
        </is>
      </c>
      <c r="E7496" t="inlineStr">
        <is>
          <t>GRUMS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37085-2022</t>
        </is>
      </c>
      <c r="B7497" s="1" t="n">
        <v>44806</v>
      </c>
      <c r="C7497" s="1" t="n">
        <v>45736</v>
      </c>
      <c r="D7497" t="inlineStr">
        <is>
          <t>VÄRMLANDS LÄN</t>
        </is>
      </c>
      <c r="E7497" t="inlineStr">
        <is>
          <t>ARVIKA</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37046-2022</t>
        </is>
      </c>
      <c r="B7498" s="1" t="n">
        <v>44806</v>
      </c>
      <c r="C7498" s="1" t="n">
        <v>45736</v>
      </c>
      <c r="D7498" t="inlineStr">
        <is>
          <t>VÄRMLANDS LÄN</t>
        </is>
      </c>
      <c r="E7498" t="inlineStr">
        <is>
          <t>ÅRJÄNG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37148-2022</t>
        </is>
      </c>
      <c r="B7499" s="1" t="n">
        <v>44806</v>
      </c>
      <c r="C7499" s="1" t="n">
        <v>45736</v>
      </c>
      <c r="D7499" t="inlineStr">
        <is>
          <t>VÄRMLANDS LÄN</t>
        </is>
      </c>
      <c r="E7499" t="inlineStr">
        <is>
          <t>TORSBY</t>
        </is>
      </c>
      <c r="F7499" t="inlineStr">
        <is>
          <t>Kommuner</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37222-2022</t>
        </is>
      </c>
      <c r="B7500" s="1" t="n">
        <v>44806</v>
      </c>
      <c r="C7500" s="1" t="n">
        <v>45736</v>
      </c>
      <c r="D7500" t="inlineStr">
        <is>
          <t>VÄRMLANDS LÄN</t>
        </is>
      </c>
      <c r="E7500" t="inlineStr">
        <is>
          <t>SUNNE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37221-2022</t>
        </is>
      </c>
      <c r="B7501" s="1" t="n">
        <v>44806</v>
      </c>
      <c r="C7501" s="1" t="n">
        <v>45736</v>
      </c>
      <c r="D7501" t="inlineStr">
        <is>
          <t>VÄRMLANDS LÄN</t>
        </is>
      </c>
      <c r="E7501" t="inlineStr">
        <is>
          <t>SUNNE</t>
        </is>
      </c>
      <c r="G7501" t="n">
        <v>11.9</v>
      </c>
      <c r="H7501" t="n">
        <v>0</v>
      </c>
      <c r="I7501" t="n">
        <v>0</v>
      </c>
      <c r="J7501" t="n">
        <v>0</v>
      </c>
      <c r="K7501" t="n">
        <v>0</v>
      </c>
      <c r="L7501" t="n">
        <v>0</v>
      </c>
      <c r="M7501" t="n">
        <v>0</v>
      </c>
      <c r="N7501" t="n">
        <v>0</v>
      </c>
      <c r="O7501" t="n">
        <v>0</v>
      </c>
      <c r="P7501" t="n">
        <v>0</v>
      </c>
      <c r="Q7501" t="n">
        <v>0</v>
      </c>
      <c r="R7501" s="2" t="inlineStr"/>
    </row>
    <row r="7502" ht="15" customHeight="1">
      <c r="A7502" t="inlineStr">
        <is>
          <t>A 37339-2022</t>
        </is>
      </c>
      <c r="B7502" s="1" t="n">
        <v>44806</v>
      </c>
      <c r="C7502" s="1" t="n">
        <v>45736</v>
      </c>
      <c r="D7502" t="inlineStr">
        <is>
          <t>VÄRMLANDS LÄN</t>
        </is>
      </c>
      <c r="E7502" t="inlineStr">
        <is>
          <t>GRUMS</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37267-2022</t>
        </is>
      </c>
      <c r="B7503" s="1" t="n">
        <v>44807</v>
      </c>
      <c r="C7503" s="1" t="n">
        <v>45736</v>
      </c>
      <c r="D7503" t="inlineStr">
        <is>
          <t>VÄRMLANDS LÄN</t>
        </is>
      </c>
      <c r="E7503" t="inlineStr">
        <is>
          <t>GRUMS</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37279-2022</t>
        </is>
      </c>
      <c r="B7504" s="1" t="n">
        <v>44807</v>
      </c>
      <c r="C7504" s="1" t="n">
        <v>45736</v>
      </c>
      <c r="D7504" t="inlineStr">
        <is>
          <t>VÄRMLANDS LÄN</t>
        </is>
      </c>
      <c r="E7504" t="inlineStr">
        <is>
          <t>TORSBY</t>
        </is>
      </c>
      <c r="G7504" t="n">
        <v>18.2</v>
      </c>
      <c r="H7504" t="n">
        <v>0</v>
      </c>
      <c r="I7504" t="n">
        <v>0</v>
      </c>
      <c r="J7504" t="n">
        <v>0</v>
      </c>
      <c r="K7504" t="n">
        <v>0</v>
      </c>
      <c r="L7504" t="n">
        <v>0</v>
      </c>
      <c r="M7504" t="n">
        <v>0</v>
      </c>
      <c r="N7504" t="n">
        <v>0</v>
      </c>
      <c r="O7504" t="n">
        <v>0</v>
      </c>
      <c r="P7504" t="n">
        <v>0</v>
      </c>
      <c r="Q7504" t="n">
        <v>0</v>
      </c>
      <c r="R7504" s="2" t="inlineStr"/>
    </row>
    <row r="7505" ht="15" customHeight="1">
      <c r="A7505" t="inlineStr">
        <is>
          <t>A 37290-2022</t>
        </is>
      </c>
      <c r="B7505" s="1" t="n">
        <v>44808</v>
      </c>
      <c r="C7505" s="1" t="n">
        <v>45736</v>
      </c>
      <c r="D7505" t="inlineStr">
        <is>
          <t>VÄRMLANDS LÄN</t>
        </is>
      </c>
      <c r="E7505" t="inlineStr">
        <is>
          <t>SUNNE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37298-2022</t>
        </is>
      </c>
      <c r="B7506" s="1" t="n">
        <v>44808</v>
      </c>
      <c r="C7506" s="1" t="n">
        <v>45736</v>
      </c>
      <c r="D7506" t="inlineStr">
        <is>
          <t>VÄRMLANDS LÄN</t>
        </is>
      </c>
      <c r="E7506" t="inlineStr">
        <is>
          <t>KARLSTAD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37413-2022</t>
        </is>
      </c>
      <c r="B7507" s="1" t="n">
        <v>44808</v>
      </c>
      <c r="C7507" s="1" t="n">
        <v>45736</v>
      </c>
      <c r="D7507" t="inlineStr">
        <is>
          <t>VÄRMLANDS LÄN</t>
        </is>
      </c>
      <c r="E7507" t="inlineStr">
        <is>
          <t>ARVIKA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37299-2022</t>
        </is>
      </c>
      <c r="B7508" s="1" t="n">
        <v>44808</v>
      </c>
      <c r="C7508" s="1" t="n">
        <v>45736</v>
      </c>
      <c r="D7508" t="inlineStr">
        <is>
          <t>VÄRMLANDS LÄN</t>
        </is>
      </c>
      <c r="E7508" t="inlineStr">
        <is>
          <t>KARLSTAD</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37337-2022</t>
        </is>
      </c>
      <c r="B7509" s="1" t="n">
        <v>44809</v>
      </c>
      <c r="C7509" s="1" t="n">
        <v>45736</v>
      </c>
      <c r="D7509" t="inlineStr">
        <is>
          <t>VÄRMLANDS LÄN</t>
        </is>
      </c>
      <c r="E7509" t="inlineStr">
        <is>
          <t>STORFORS</t>
        </is>
      </c>
      <c r="F7509" t="inlineStr">
        <is>
          <t>Bergvik skog väst AB</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37342-2022</t>
        </is>
      </c>
      <c r="B7510" s="1" t="n">
        <v>44809</v>
      </c>
      <c r="C7510" s="1" t="n">
        <v>45736</v>
      </c>
      <c r="D7510" t="inlineStr">
        <is>
          <t>VÄRMLANDS LÄN</t>
        </is>
      </c>
      <c r="E7510" t="inlineStr">
        <is>
          <t>SUNNE</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37331-2022</t>
        </is>
      </c>
      <c r="B7511" s="1" t="n">
        <v>44809</v>
      </c>
      <c r="C7511" s="1" t="n">
        <v>45736</v>
      </c>
      <c r="D7511" t="inlineStr">
        <is>
          <t>VÄRMLANDS LÄN</t>
        </is>
      </c>
      <c r="E7511" t="inlineStr">
        <is>
          <t>SUNNE</t>
        </is>
      </c>
      <c r="G7511" t="n">
        <v>9.199999999999999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37338-2022</t>
        </is>
      </c>
      <c r="B7512" s="1" t="n">
        <v>44809</v>
      </c>
      <c r="C7512" s="1" t="n">
        <v>45736</v>
      </c>
      <c r="D7512" t="inlineStr">
        <is>
          <t>VÄRMLANDS LÄN</t>
        </is>
      </c>
      <c r="E7512" t="inlineStr">
        <is>
          <t>SUNNE</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37401-2022</t>
        </is>
      </c>
      <c r="B7513" s="1" t="n">
        <v>44809</v>
      </c>
      <c r="C7513" s="1" t="n">
        <v>45736</v>
      </c>
      <c r="D7513" t="inlineStr">
        <is>
          <t>VÄRMLANDS LÄN</t>
        </is>
      </c>
      <c r="E7513" t="inlineStr">
        <is>
          <t>TORSBY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37449-2022</t>
        </is>
      </c>
      <c r="B7514" s="1" t="n">
        <v>44809</v>
      </c>
      <c r="C7514" s="1" t="n">
        <v>45736</v>
      </c>
      <c r="D7514" t="inlineStr">
        <is>
          <t>VÄRMLANDS LÄN</t>
        </is>
      </c>
      <c r="E7514" t="inlineStr">
        <is>
          <t>TORSBY</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37463-2022</t>
        </is>
      </c>
      <c r="B7515" s="1" t="n">
        <v>44809</v>
      </c>
      <c r="C7515" s="1" t="n">
        <v>45736</v>
      </c>
      <c r="D7515" t="inlineStr">
        <is>
          <t>VÄRMLANDS LÄN</t>
        </is>
      </c>
      <c r="E7515" t="inlineStr">
        <is>
          <t>HAGFORS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37334-2022</t>
        </is>
      </c>
      <c r="B7516" s="1" t="n">
        <v>44809</v>
      </c>
      <c r="C7516" s="1" t="n">
        <v>45736</v>
      </c>
      <c r="D7516" t="inlineStr">
        <is>
          <t>VÄRMLANDS LÄN</t>
        </is>
      </c>
      <c r="E7516" t="inlineStr">
        <is>
          <t>SUNNE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37340-2022</t>
        </is>
      </c>
      <c r="B7517" s="1" t="n">
        <v>44809</v>
      </c>
      <c r="C7517" s="1" t="n">
        <v>45736</v>
      </c>
      <c r="D7517" t="inlineStr">
        <is>
          <t>VÄRMLANDS LÄN</t>
        </is>
      </c>
      <c r="E7517" t="inlineStr">
        <is>
          <t>TORSBY</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37346-2022</t>
        </is>
      </c>
      <c r="B7518" s="1" t="n">
        <v>44809</v>
      </c>
      <c r="C7518" s="1" t="n">
        <v>45736</v>
      </c>
      <c r="D7518" t="inlineStr">
        <is>
          <t>VÄRMLANDS LÄN</t>
        </is>
      </c>
      <c r="E7518" t="inlineStr">
        <is>
          <t>SUNNE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37486-2022</t>
        </is>
      </c>
      <c r="B7519" s="1" t="n">
        <v>44809</v>
      </c>
      <c r="C7519" s="1" t="n">
        <v>45736</v>
      </c>
      <c r="D7519" t="inlineStr">
        <is>
          <t>VÄRMLANDS LÄN</t>
        </is>
      </c>
      <c r="E7519" t="inlineStr">
        <is>
          <t>GRUMS</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37543-2022</t>
        </is>
      </c>
      <c r="B7520" s="1" t="n">
        <v>44809</v>
      </c>
      <c r="C7520" s="1" t="n">
        <v>45736</v>
      </c>
      <c r="D7520" t="inlineStr">
        <is>
          <t>VÄRMLANDS LÄN</t>
        </is>
      </c>
      <c r="E7520" t="inlineStr">
        <is>
          <t>FORSHAGA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37538-2022</t>
        </is>
      </c>
      <c r="B7521" s="1" t="n">
        <v>44809</v>
      </c>
      <c r="C7521" s="1" t="n">
        <v>45736</v>
      </c>
      <c r="D7521" t="inlineStr">
        <is>
          <t>VÄRMLANDS LÄN</t>
        </is>
      </c>
      <c r="E7521" t="inlineStr">
        <is>
          <t>EDA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37562-2022</t>
        </is>
      </c>
      <c r="B7522" s="1" t="n">
        <v>44809</v>
      </c>
      <c r="C7522" s="1" t="n">
        <v>45736</v>
      </c>
      <c r="D7522" t="inlineStr">
        <is>
          <t>VÄRMLANDS LÄN</t>
        </is>
      </c>
      <c r="E7522" t="inlineStr">
        <is>
          <t>SUNNE</t>
        </is>
      </c>
      <c r="F7522" t="inlineStr">
        <is>
          <t>Bergvik skog väst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37611-2022</t>
        </is>
      </c>
      <c r="B7523" s="1" t="n">
        <v>44809</v>
      </c>
      <c r="C7523" s="1" t="n">
        <v>45736</v>
      </c>
      <c r="D7523" t="inlineStr">
        <is>
          <t>VÄRMLANDS LÄN</t>
        </is>
      </c>
      <c r="E7523" t="inlineStr">
        <is>
          <t>FILIPSTAD</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37647-2022</t>
        </is>
      </c>
      <c r="B7524" s="1" t="n">
        <v>44810</v>
      </c>
      <c r="C7524" s="1" t="n">
        <v>45736</v>
      </c>
      <c r="D7524" t="inlineStr">
        <is>
          <t>VÄRMLANDS LÄN</t>
        </is>
      </c>
      <c r="E7524" t="inlineStr">
        <is>
          <t>SÄFFLE</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37752-2022</t>
        </is>
      </c>
      <c r="B7525" s="1" t="n">
        <v>44810</v>
      </c>
      <c r="C7525" s="1" t="n">
        <v>45736</v>
      </c>
      <c r="D7525" t="inlineStr">
        <is>
          <t>VÄRMLANDS LÄN</t>
        </is>
      </c>
      <c r="E7525" t="inlineStr">
        <is>
          <t>TORSBY</t>
        </is>
      </c>
      <c r="F7525" t="inlineStr">
        <is>
          <t>Kyrkan</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37613-2022</t>
        </is>
      </c>
      <c r="B7526" s="1" t="n">
        <v>44810</v>
      </c>
      <c r="C7526" s="1" t="n">
        <v>45736</v>
      </c>
      <c r="D7526" t="inlineStr">
        <is>
          <t>VÄRMLANDS LÄN</t>
        </is>
      </c>
      <c r="E7526" t="inlineStr">
        <is>
          <t>EDA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37695-2022</t>
        </is>
      </c>
      <c r="B7527" s="1" t="n">
        <v>44810</v>
      </c>
      <c r="C7527" s="1" t="n">
        <v>45736</v>
      </c>
      <c r="D7527" t="inlineStr">
        <is>
          <t>VÄRMLANDS LÄN</t>
        </is>
      </c>
      <c r="E7527" t="inlineStr">
        <is>
          <t>ARVIKA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37745-2022</t>
        </is>
      </c>
      <c r="B7528" s="1" t="n">
        <v>44810</v>
      </c>
      <c r="C7528" s="1" t="n">
        <v>45736</v>
      </c>
      <c r="D7528" t="inlineStr">
        <is>
          <t>VÄRMLANDS LÄN</t>
        </is>
      </c>
      <c r="E7528" t="inlineStr">
        <is>
          <t>HAGFORS</t>
        </is>
      </c>
      <c r="F7528" t="inlineStr">
        <is>
          <t>Kyrkan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37757-2022</t>
        </is>
      </c>
      <c r="B7529" s="1" t="n">
        <v>44810</v>
      </c>
      <c r="C7529" s="1" t="n">
        <v>45736</v>
      </c>
      <c r="D7529" t="inlineStr">
        <is>
          <t>VÄRMLANDS LÄN</t>
        </is>
      </c>
      <c r="E7529" t="inlineStr">
        <is>
          <t>KRISTINEHAMN</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37814-2022</t>
        </is>
      </c>
      <c r="B7530" s="1" t="n">
        <v>44810</v>
      </c>
      <c r="C7530" s="1" t="n">
        <v>45736</v>
      </c>
      <c r="D7530" t="inlineStr">
        <is>
          <t>VÄRMLANDS LÄN</t>
        </is>
      </c>
      <c r="E7530" t="inlineStr">
        <is>
          <t>TORSBY</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37773-2022</t>
        </is>
      </c>
      <c r="B7531" s="1" t="n">
        <v>44810</v>
      </c>
      <c r="C7531" s="1" t="n">
        <v>45736</v>
      </c>
      <c r="D7531" t="inlineStr">
        <is>
          <t>VÄRMLANDS LÄN</t>
        </is>
      </c>
      <c r="E7531" t="inlineStr">
        <is>
          <t>HAGFORS</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37754-2022</t>
        </is>
      </c>
      <c r="B7532" s="1" t="n">
        <v>44810</v>
      </c>
      <c r="C7532" s="1" t="n">
        <v>45736</v>
      </c>
      <c r="D7532" t="inlineStr">
        <is>
          <t>VÄRMLANDS LÄN</t>
        </is>
      </c>
      <c r="E7532" t="inlineStr">
        <is>
          <t>TORSBY</t>
        </is>
      </c>
      <c r="F7532" t="inlineStr">
        <is>
          <t>Kyrkan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37794-2022</t>
        </is>
      </c>
      <c r="B7533" s="1" t="n">
        <v>44810</v>
      </c>
      <c r="C7533" s="1" t="n">
        <v>45736</v>
      </c>
      <c r="D7533" t="inlineStr">
        <is>
          <t>VÄRMLANDS LÄN</t>
        </is>
      </c>
      <c r="E7533" t="inlineStr">
        <is>
          <t>KRISTINEHAMN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37913-2022</t>
        </is>
      </c>
      <c r="B7534" s="1" t="n">
        <v>44811</v>
      </c>
      <c r="C7534" s="1" t="n">
        <v>45736</v>
      </c>
      <c r="D7534" t="inlineStr">
        <is>
          <t>VÄRMLANDS LÄN</t>
        </is>
      </c>
      <c r="E7534" t="inlineStr">
        <is>
          <t>TORSBY</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37918-2022</t>
        </is>
      </c>
      <c r="B7535" s="1" t="n">
        <v>44811</v>
      </c>
      <c r="C7535" s="1" t="n">
        <v>45736</v>
      </c>
      <c r="D7535" t="inlineStr">
        <is>
          <t>VÄRMLANDS LÄN</t>
        </is>
      </c>
      <c r="E7535" t="inlineStr">
        <is>
          <t>KIL</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37929-2022</t>
        </is>
      </c>
      <c r="B7536" s="1" t="n">
        <v>44811</v>
      </c>
      <c r="C7536" s="1" t="n">
        <v>45736</v>
      </c>
      <c r="D7536" t="inlineStr">
        <is>
          <t>VÄRMLANDS LÄN</t>
        </is>
      </c>
      <c r="E7536" t="inlineStr">
        <is>
          <t>TORSBY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37949-2022</t>
        </is>
      </c>
      <c r="B7537" s="1" t="n">
        <v>44811</v>
      </c>
      <c r="C7537" s="1" t="n">
        <v>45736</v>
      </c>
      <c r="D7537" t="inlineStr">
        <is>
          <t>VÄRMLANDS LÄN</t>
        </is>
      </c>
      <c r="E7537" t="inlineStr">
        <is>
          <t>ÅRJÄNG</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37962-2022</t>
        </is>
      </c>
      <c r="B7538" s="1" t="n">
        <v>44811</v>
      </c>
      <c r="C7538" s="1" t="n">
        <v>45736</v>
      </c>
      <c r="D7538" t="inlineStr">
        <is>
          <t>VÄRMLANDS LÄN</t>
        </is>
      </c>
      <c r="E7538" t="inlineStr">
        <is>
          <t>KIL</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37917-2022</t>
        </is>
      </c>
      <c r="B7539" s="1" t="n">
        <v>44811</v>
      </c>
      <c r="C7539" s="1" t="n">
        <v>45736</v>
      </c>
      <c r="D7539" t="inlineStr">
        <is>
          <t>VÄRMLANDS LÄN</t>
        </is>
      </c>
      <c r="E7539" t="inlineStr">
        <is>
          <t>TORSBY</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37937-2022</t>
        </is>
      </c>
      <c r="B7540" s="1" t="n">
        <v>44811</v>
      </c>
      <c r="C7540" s="1" t="n">
        <v>45736</v>
      </c>
      <c r="D7540" t="inlineStr">
        <is>
          <t>VÄRMLANDS LÄN</t>
        </is>
      </c>
      <c r="E7540" t="inlineStr">
        <is>
          <t>TORSBY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37985-2022</t>
        </is>
      </c>
      <c r="B7541" s="1" t="n">
        <v>44811</v>
      </c>
      <c r="C7541" s="1" t="n">
        <v>45736</v>
      </c>
      <c r="D7541" t="inlineStr">
        <is>
          <t>VÄRMLANDS LÄN</t>
        </is>
      </c>
      <c r="E7541" t="inlineStr">
        <is>
          <t>TORSBY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38033-2022</t>
        </is>
      </c>
      <c r="B7542" s="1" t="n">
        <v>44811</v>
      </c>
      <c r="C7542" s="1" t="n">
        <v>45736</v>
      </c>
      <c r="D7542" t="inlineStr">
        <is>
          <t>VÄRMLANDS LÄN</t>
        </is>
      </c>
      <c r="E7542" t="inlineStr">
        <is>
          <t>TORSBY</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38015-2022</t>
        </is>
      </c>
      <c r="B7543" s="1" t="n">
        <v>44811</v>
      </c>
      <c r="C7543" s="1" t="n">
        <v>45736</v>
      </c>
      <c r="D7543" t="inlineStr">
        <is>
          <t>VÄRMLANDS LÄN</t>
        </is>
      </c>
      <c r="E7543" t="inlineStr">
        <is>
          <t>ÅRJÄNG</t>
        </is>
      </c>
      <c r="G7543" t="n">
        <v>14.2</v>
      </c>
      <c r="H7543" t="n">
        <v>0</v>
      </c>
      <c r="I7543" t="n">
        <v>0</v>
      </c>
      <c r="J7543" t="n">
        <v>0</v>
      </c>
      <c r="K7543" t="n">
        <v>0</v>
      </c>
      <c r="L7543" t="n">
        <v>0</v>
      </c>
      <c r="M7543" t="n">
        <v>0</v>
      </c>
      <c r="N7543" t="n">
        <v>0</v>
      </c>
      <c r="O7543" t="n">
        <v>0</v>
      </c>
      <c r="P7543" t="n">
        <v>0</v>
      </c>
      <c r="Q7543" t="n">
        <v>0</v>
      </c>
      <c r="R7543" s="2" t="inlineStr"/>
    </row>
    <row r="7544" ht="15" customHeight="1">
      <c r="A7544" t="inlineStr">
        <is>
          <t>A 38200-2022</t>
        </is>
      </c>
      <c r="B7544" s="1" t="n">
        <v>44812</v>
      </c>
      <c r="C7544" s="1" t="n">
        <v>45736</v>
      </c>
      <c r="D7544" t="inlineStr">
        <is>
          <t>VÄRMLANDS LÄN</t>
        </is>
      </c>
      <c r="E7544" t="inlineStr">
        <is>
          <t>TORSBY</t>
        </is>
      </c>
      <c r="F7544" t="inlineStr">
        <is>
          <t>Bergvik skog väst AB</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38167-2022</t>
        </is>
      </c>
      <c r="B7545" s="1" t="n">
        <v>44812</v>
      </c>
      <c r="C7545" s="1" t="n">
        <v>45736</v>
      </c>
      <c r="D7545" t="inlineStr">
        <is>
          <t>VÄRMLANDS LÄN</t>
        </is>
      </c>
      <c r="E7545" t="inlineStr">
        <is>
          <t>ÅRJÄNG</t>
        </is>
      </c>
      <c r="G7545" t="n">
        <v>10.5</v>
      </c>
      <c r="H7545" t="n">
        <v>0</v>
      </c>
      <c r="I7545" t="n">
        <v>0</v>
      </c>
      <c r="J7545" t="n">
        <v>0</v>
      </c>
      <c r="K7545" t="n">
        <v>0</v>
      </c>
      <c r="L7545" t="n">
        <v>0</v>
      </c>
      <c r="M7545" t="n">
        <v>0</v>
      </c>
      <c r="N7545" t="n">
        <v>0</v>
      </c>
      <c r="O7545" t="n">
        <v>0</v>
      </c>
      <c r="P7545" t="n">
        <v>0</v>
      </c>
      <c r="Q7545" t="n">
        <v>0</v>
      </c>
      <c r="R7545" s="2" t="inlineStr"/>
    </row>
    <row r="7546" ht="15" customHeight="1">
      <c r="A7546" t="inlineStr">
        <is>
          <t>A 38132-2022</t>
        </is>
      </c>
      <c r="B7546" s="1" t="n">
        <v>44812</v>
      </c>
      <c r="C7546" s="1" t="n">
        <v>45736</v>
      </c>
      <c r="D7546" t="inlineStr">
        <is>
          <t>VÄRMLANDS LÄN</t>
        </is>
      </c>
      <c r="E7546" t="inlineStr">
        <is>
          <t>HAGFORS</t>
        </is>
      </c>
      <c r="F7546" t="inlineStr">
        <is>
          <t>Kyrkan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38179-2022</t>
        </is>
      </c>
      <c r="B7547" s="1" t="n">
        <v>44812</v>
      </c>
      <c r="C7547" s="1" t="n">
        <v>45736</v>
      </c>
      <c r="D7547" t="inlineStr">
        <is>
          <t>VÄRMLANDS LÄN</t>
        </is>
      </c>
      <c r="E7547" t="inlineStr">
        <is>
          <t>TORSBY</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38261-2022</t>
        </is>
      </c>
      <c r="B7548" s="1" t="n">
        <v>44812</v>
      </c>
      <c r="C7548" s="1" t="n">
        <v>45736</v>
      </c>
      <c r="D7548" t="inlineStr">
        <is>
          <t>VÄRMLANDS LÄN</t>
        </is>
      </c>
      <c r="E7548" t="inlineStr">
        <is>
          <t>FORSHAGA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38238-2022</t>
        </is>
      </c>
      <c r="B7549" s="1" t="n">
        <v>44812</v>
      </c>
      <c r="C7549" s="1" t="n">
        <v>45736</v>
      </c>
      <c r="D7549" t="inlineStr">
        <is>
          <t>VÄRMLANDS LÄN</t>
        </is>
      </c>
      <c r="E7549" t="inlineStr">
        <is>
          <t>MUNKFORS</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38302-2022</t>
        </is>
      </c>
      <c r="B7550" s="1" t="n">
        <v>44812</v>
      </c>
      <c r="C7550" s="1" t="n">
        <v>45736</v>
      </c>
      <c r="D7550" t="inlineStr">
        <is>
          <t>VÄRMLANDS LÄN</t>
        </is>
      </c>
      <c r="E7550" t="inlineStr">
        <is>
          <t>SÄFFLE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38327-2022</t>
        </is>
      </c>
      <c r="B7551" s="1" t="n">
        <v>44812</v>
      </c>
      <c r="C7551" s="1" t="n">
        <v>45736</v>
      </c>
      <c r="D7551" t="inlineStr">
        <is>
          <t>VÄRMLANDS LÄN</t>
        </is>
      </c>
      <c r="E7551" t="inlineStr">
        <is>
          <t>ARVIKA</t>
        </is>
      </c>
      <c r="F7551" t="inlineStr">
        <is>
          <t>Bergvik skog väst AB</t>
        </is>
      </c>
      <c r="G7551" t="n">
        <v>11.1</v>
      </c>
      <c r="H7551" t="n">
        <v>0</v>
      </c>
      <c r="I7551" t="n">
        <v>0</v>
      </c>
      <c r="J7551" t="n">
        <v>0</v>
      </c>
      <c r="K7551" t="n">
        <v>0</v>
      </c>
      <c r="L7551" t="n">
        <v>0</v>
      </c>
      <c r="M7551" t="n">
        <v>0</v>
      </c>
      <c r="N7551" t="n">
        <v>0</v>
      </c>
      <c r="O7551" t="n">
        <v>0</v>
      </c>
      <c r="P7551" t="n">
        <v>0</v>
      </c>
      <c r="Q7551" t="n">
        <v>0</v>
      </c>
      <c r="R7551" s="2" t="inlineStr"/>
    </row>
    <row r="7552" ht="15" customHeight="1">
      <c r="A7552" t="inlineStr">
        <is>
          <t>A 38361-2022</t>
        </is>
      </c>
      <c r="B7552" s="1" t="n">
        <v>44812</v>
      </c>
      <c r="C7552" s="1" t="n">
        <v>45736</v>
      </c>
      <c r="D7552" t="inlineStr">
        <is>
          <t>VÄRMLANDS LÄN</t>
        </is>
      </c>
      <c r="E7552" t="inlineStr">
        <is>
          <t>SUNNE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38291-2022</t>
        </is>
      </c>
      <c r="B7553" s="1" t="n">
        <v>44812</v>
      </c>
      <c r="C7553" s="1" t="n">
        <v>45736</v>
      </c>
      <c r="D7553" t="inlineStr">
        <is>
          <t>VÄRMLANDS LÄN</t>
        </is>
      </c>
      <c r="E7553" t="inlineStr">
        <is>
          <t>SÄFFLE</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38298-2022</t>
        </is>
      </c>
      <c r="B7554" s="1" t="n">
        <v>44812</v>
      </c>
      <c r="C7554" s="1" t="n">
        <v>45736</v>
      </c>
      <c r="D7554" t="inlineStr">
        <is>
          <t>VÄRMLANDS LÄN</t>
        </is>
      </c>
      <c r="E7554" t="inlineStr">
        <is>
          <t>KARLSTAD</t>
        </is>
      </c>
      <c r="F7554" t="inlineStr">
        <is>
          <t>Bergvik skog väst AB</t>
        </is>
      </c>
      <c r="G7554" t="n">
        <v>24.3</v>
      </c>
      <c r="H7554" t="n">
        <v>0</v>
      </c>
      <c r="I7554" t="n">
        <v>0</v>
      </c>
      <c r="J7554" t="n">
        <v>0</v>
      </c>
      <c r="K7554" t="n">
        <v>0</v>
      </c>
      <c r="L7554" t="n">
        <v>0</v>
      </c>
      <c r="M7554" t="n">
        <v>0</v>
      </c>
      <c r="N7554" t="n">
        <v>0</v>
      </c>
      <c r="O7554" t="n">
        <v>0</v>
      </c>
      <c r="P7554" t="n">
        <v>0</v>
      </c>
      <c r="Q7554" t="n">
        <v>0</v>
      </c>
      <c r="R7554" s="2" t="inlineStr"/>
    </row>
    <row r="7555" ht="15" customHeight="1">
      <c r="A7555" t="inlineStr">
        <is>
          <t>A 38342-2022</t>
        </is>
      </c>
      <c r="B7555" s="1" t="n">
        <v>44812</v>
      </c>
      <c r="C7555" s="1" t="n">
        <v>45736</v>
      </c>
      <c r="D7555" t="inlineStr">
        <is>
          <t>VÄRMLANDS LÄN</t>
        </is>
      </c>
      <c r="E7555" t="inlineStr">
        <is>
          <t>ARVIKA</t>
        </is>
      </c>
      <c r="F7555" t="inlineStr">
        <is>
          <t>Bergvik skog väst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38378-2022</t>
        </is>
      </c>
      <c r="B7556" s="1" t="n">
        <v>44812</v>
      </c>
      <c r="C7556" s="1" t="n">
        <v>45736</v>
      </c>
      <c r="D7556" t="inlineStr">
        <is>
          <t>VÄRMLANDS LÄN</t>
        </is>
      </c>
      <c r="E7556" t="inlineStr">
        <is>
          <t>TORSBY</t>
        </is>
      </c>
      <c r="F7556" t="inlineStr">
        <is>
          <t>Bergvik skog väst AB</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38389-2022</t>
        </is>
      </c>
      <c r="B7557" s="1" t="n">
        <v>44812</v>
      </c>
      <c r="C7557" s="1" t="n">
        <v>45736</v>
      </c>
      <c r="D7557" t="inlineStr">
        <is>
          <t>VÄRMLANDS LÄN</t>
        </is>
      </c>
      <c r="E7557" t="inlineStr">
        <is>
          <t>ÅRJÄNG</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38404-2022</t>
        </is>
      </c>
      <c r="B7558" s="1" t="n">
        <v>44812</v>
      </c>
      <c r="C7558" s="1" t="n">
        <v>45736</v>
      </c>
      <c r="D7558" t="inlineStr">
        <is>
          <t>VÄRMLANDS LÄN</t>
        </is>
      </c>
      <c r="E7558" t="inlineStr">
        <is>
          <t>KRISTINEHAMN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38518-2022</t>
        </is>
      </c>
      <c r="B7559" s="1" t="n">
        <v>44813</v>
      </c>
      <c r="C7559" s="1" t="n">
        <v>45736</v>
      </c>
      <c r="D7559" t="inlineStr">
        <is>
          <t>VÄRMLANDS LÄN</t>
        </is>
      </c>
      <c r="E7559" t="inlineStr">
        <is>
          <t>SUNNE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38534-2022</t>
        </is>
      </c>
      <c r="B7560" s="1" t="n">
        <v>44813</v>
      </c>
      <c r="C7560" s="1" t="n">
        <v>45736</v>
      </c>
      <c r="D7560" t="inlineStr">
        <is>
          <t>VÄRMLANDS LÄN</t>
        </is>
      </c>
      <c r="E7560" t="inlineStr">
        <is>
          <t>SÄFFLE</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38454-2022</t>
        </is>
      </c>
      <c r="B7561" s="1" t="n">
        <v>44813</v>
      </c>
      <c r="C7561" s="1" t="n">
        <v>45736</v>
      </c>
      <c r="D7561" t="inlineStr">
        <is>
          <t>VÄRMLANDS LÄN</t>
        </is>
      </c>
      <c r="E7561" t="inlineStr">
        <is>
          <t>MUNKFORS</t>
        </is>
      </c>
      <c r="F7561" t="inlineStr">
        <is>
          <t>Bergvik skog väst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38486-2022</t>
        </is>
      </c>
      <c r="B7562" s="1" t="n">
        <v>44813</v>
      </c>
      <c r="C7562" s="1" t="n">
        <v>45736</v>
      </c>
      <c r="D7562" t="inlineStr">
        <is>
          <t>VÄRMLANDS LÄN</t>
        </is>
      </c>
      <c r="E7562" t="inlineStr">
        <is>
          <t>TORSBY</t>
        </is>
      </c>
      <c r="F7562" t="inlineStr">
        <is>
          <t>Bergvik skog väst AB</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38591-2022</t>
        </is>
      </c>
      <c r="B7563" s="1" t="n">
        <v>44813</v>
      </c>
      <c r="C7563" s="1" t="n">
        <v>45736</v>
      </c>
      <c r="D7563" t="inlineStr">
        <is>
          <t>VÄRMLANDS LÄN</t>
        </is>
      </c>
      <c r="E7563" t="inlineStr">
        <is>
          <t>SÄFFLE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38801-2022</t>
        </is>
      </c>
      <c r="B7564" s="1" t="n">
        <v>44813</v>
      </c>
      <c r="C7564" s="1" t="n">
        <v>45736</v>
      </c>
      <c r="D7564" t="inlineStr">
        <is>
          <t>VÄRMLANDS LÄN</t>
        </is>
      </c>
      <c r="E7564" t="inlineStr">
        <is>
          <t>SUNNE</t>
        </is>
      </c>
      <c r="F7564" t="inlineStr">
        <is>
          <t>Kyrkan</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38699-2022</t>
        </is>
      </c>
      <c r="B7565" s="1" t="n">
        <v>44814</v>
      </c>
      <c r="C7565" s="1" t="n">
        <v>45736</v>
      </c>
      <c r="D7565" t="inlineStr">
        <is>
          <t>VÄRMLANDS LÄN</t>
        </is>
      </c>
      <c r="E7565" t="inlineStr">
        <is>
          <t>TORSBY</t>
        </is>
      </c>
      <c r="F7565" t="inlineStr">
        <is>
          <t>Bergvik skog väst AB</t>
        </is>
      </c>
      <c r="G7565" t="n">
        <v>22.6</v>
      </c>
      <c r="H7565" t="n">
        <v>0</v>
      </c>
      <c r="I7565" t="n">
        <v>0</v>
      </c>
      <c r="J7565" t="n">
        <v>0</v>
      </c>
      <c r="K7565" t="n">
        <v>0</v>
      </c>
      <c r="L7565" t="n">
        <v>0</v>
      </c>
      <c r="M7565" t="n">
        <v>0</v>
      </c>
      <c r="N7565" t="n">
        <v>0</v>
      </c>
      <c r="O7565" t="n">
        <v>0</v>
      </c>
      <c r="P7565" t="n">
        <v>0</v>
      </c>
      <c r="Q7565" t="n">
        <v>0</v>
      </c>
      <c r="R7565" s="2" t="inlineStr"/>
    </row>
    <row r="7566" ht="15" customHeight="1">
      <c r="A7566" t="inlineStr">
        <is>
          <t>A 38706-2022</t>
        </is>
      </c>
      <c r="B7566" s="1" t="n">
        <v>44814</v>
      </c>
      <c r="C7566" s="1" t="n">
        <v>45736</v>
      </c>
      <c r="D7566" t="inlineStr">
        <is>
          <t>VÄRMLANDS LÄN</t>
        </is>
      </c>
      <c r="E7566" t="inlineStr">
        <is>
          <t>ARVIKA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38705-2022</t>
        </is>
      </c>
      <c r="B7567" s="1" t="n">
        <v>44814</v>
      </c>
      <c r="C7567" s="1" t="n">
        <v>45736</v>
      </c>
      <c r="D7567" t="inlineStr">
        <is>
          <t>VÄRMLANDS LÄN</t>
        </is>
      </c>
      <c r="E7567" t="inlineStr">
        <is>
          <t>ARVIKA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38709-2022</t>
        </is>
      </c>
      <c r="B7568" s="1" t="n">
        <v>44814</v>
      </c>
      <c r="C7568" s="1" t="n">
        <v>45736</v>
      </c>
      <c r="D7568" t="inlineStr">
        <is>
          <t>VÄRMLANDS LÄN</t>
        </is>
      </c>
      <c r="E7568" t="inlineStr">
        <is>
          <t>ARVIKA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38707-2022</t>
        </is>
      </c>
      <c r="B7569" s="1" t="n">
        <v>44814</v>
      </c>
      <c r="C7569" s="1" t="n">
        <v>45736</v>
      </c>
      <c r="D7569" t="inlineStr">
        <is>
          <t>VÄRMLANDS LÄN</t>
        </is>
      </c>
      <c r="E7569" t="inlineStr">
        <is>
          <t>ARVIKA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38708-2022</t>
        </is>
      </c>
      <c r="B7570" s="1" t="n">
        <v>44814</v>
      </c>
      <c r="C7570" s="1" t="n">
        <v>45736</v>
      </c>
      <c r="D7570" t="inlineStr">
        <is>
          <t>VÄRMLANDS LÄN</t>
        </is>
      </c>
      <c r="E7570" t="inlineStr">
        <is>
          <t>ARVIKA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38713-2022</t>
        </is>
      </c>
      <c r="B7571" s="1" t="n">
        <v>44815</v>
      </c>
      <c r="C7571" s="1" t="n">
        <v>45736</v>
      </c>
      <c r="D7571" t="inlineStr">
        <is>
          <t>VÄRMLANDS LÄN</t>
        </is>
      </c>
      <c r="E7571" t="inlineStr">
        <is>
          <t>MUNKFORS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38734-2022</t>
        </is>
      </c>
      <c r="B7572" s="1" t="n">
        <v>44816</v>
      </c>
      <c r="C7572" s="1" t="n">
        <v>45736</v>
      </c>
      <c r="D7572" t="inlineStr">
        <is>
          <t>VÄRMLANDS LÄN</t>
        </is>
      </c>
      <c r="E7572" t="inlineStr">
        <is>
          <t>ARVIKA</t>
        </is>
      </c>
      <c r="F7572" t="inlineStr">
        <is>
          <t>Bergvik skog väst AB</t>
        </is>
      </c>
      <c r="G7572" t="n">
        <v>8.9</v>
      </c>
      <c r="H7572" t="n">
        <v>0</v>
      </c>
      <c r="I7572" t="n">
        <v>0</v>
      </c>
      <c r="J7572" t="n">
        <v>0</v>
      </c>
      <c r="K7572" t="n">
        <v>0</v>
      </c>
      <c r="L7572" t="n">
        <v>0</v>
      </c>
      <c r="M7572" t="n">
        <v>0</v>
      </c>
      <c r="N7572" t="n">
        <v>0</v>
      </c>
      <c r="O7572" t="n">
        <v>0</v>
      </c>
      <c r="P7572" t="n">
        <v>0</v>
      </c>
      <c r="Q7572" t="n">
        <v>0</v>
      </c>
      <c r="R7572" s="2" t="inlineStr"/>
    </row>
    <row r="7573" ht="15" customHeight="1">
      <c r="A7573" t="inlineStr">
        <is>
          <t>A 38850-2022</t>
        </is>
      </c>
      <c r="B7573" s="1" t="n">
        <v>44816</v>
      </c>
      <c r="C7573" s="1" t="n">
        <v>45736</v>
      </c>
      <c r="D7573" t="inlineStr">
        <is>
          <t>VÄRMLANDS LÄN</t>
        </is>
      </c>
      <c r="E7573" t="inlineStr">
        <is>
          <t>FORSHAGA</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38735-2022</t>
        </is>
      </c>
      <c r="B7574" s="1" t="n">
        <v>44816</v>
      </c>
      <c r="C7574" s="1" t="n">
        <v>45736</v>
      </c>
      <c r="D7574" t="inlineStr">
        <is>
          <t>VÄRMLANDS LÄN</t>
        </is>
      </c>
      <c r="E7574" t="inlineStr">
        <is>
          <t>ÅRJÄNG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38770-2022</t>
        </is>
      </c>
      <c r="B7575" s="1" t="n">
        <v>44816</v>
      </c>
      <c r="C7575" s="1" t="n">
        <v>45736</v>
      </c>
      <c r="D7575" t="inlineStr">
        <is>
          <t>VÄRMLANDS LÄN</t>
        </is>
      </c>
      <c r="E7575" t="inlineStr">
        <is>
          <t>KARLSTAD</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38788-2022</t>
        </is>
      </c>
      <c r="B7576" s="1" t="n">
        <v>44816</v>
      </c>
      <c r="C7576" s="1" t="n">
        <v>45736</v>
      </c>
      <c r="D7576" t="inlineStr">
        <is>
          <t>VÄRMLANDS LÄN</t>
        </is>
      </c>
      <c r="E7576" t="inlineStr">
        <is>
          <t>FORSHAGA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38833-2022</t>
        </is>
      </c>
      <c r="B7577" s="1" t="n">
        <v>44816</v>
      </c>
      <c r="C7577" s="1" t="n">
        <v>45736</v>
      </c>
      <c r="D7577" t="inlineStr">
        <is>
          <t>VÄRMLANDS LÄN</t>
        </is>
      </c>
      <c r="E7577" t="inlineStr">
        <is>
          <t>EDA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38882-2022</t>
        </is>
      </c>
      <c r="B7578" s="1" t="n">
        <v>44816</v>
      </c>
      <c r="C7578" s="1" t="n">
        <v>45736</v>
      </c>
      <c r="D7578" t="inlineStr">
        <is>
          <t>VÄRMLANDS LÄN</t>
        </is>
      </c>
      <c r="E7578" t="inlineStr">
        <is>
          <t>TORSBY</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38894-2022</t>
        </is>
      </c>
      <c r="B7579" s="1" t="n">
        <v>44816</v>
      </c>
      <c r="C7579" s="1" t="n">
        <v>45736</v>
      </c>
      <c r="D7579" t="inlineStr">
        <is>
          <t>VÄRMLANDS LÄN</t>
        </is>
      </c>
      <c r="E7579" t="inlineStr">
        <is>
          <t>ARVIKA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38911-2022</t>
        </is>
      </c>
      <c r="B7580" s="1" t="n">
        <v>44816</v>
      </c>
      <c r="C7580" s="1" t="n">
        <v>45736</v>
      </c>
      <c r="D7580" t="inlineStr">
        <is>
          <t>VÄRMLANDS LÄN</t>
        </is>
      </c>
      <c r="E7580" t="inlineStr">
        <is>
          <t>ARVIKA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38914-2022</t>
        </is>
      </c>
      <c r="B7581" s="1" t="n">
        <v>44816</v>
      </c>
      <c r="C7581" s="1" t="n">
        <v>45736</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38987-2022</t>
        </is>
      </c>
      <c r="B7582" s="1" t="n">
        <v>44816</v>
      </c>
      <c r="C7582" s="1" t="n">
        <v>45736</v>
      </c>
      <c r="D7582" t="inlineStr">
        <is>
          <t>VÄRMLANDS LÄN</t>
        </is>
      </c>
      <c r="E7582" t="inlineStr">
        <is>
          <t>ARVIKA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39063-2022</t>
        </is>
      </c>
      <c r="B7583" s="1" t="n">
        <v>44816</v>
      </c>
      <c r="C7583" s="1" t="n">
        <v>45736</v>
      </c>
      <c r="D7583" t="inlineStr">
        <is>
          <t>VÄRMLANDS LÄN</t>
        </is>
      </c>
      <c r="E7583" t="inlineStr">
        <is>
          <t>ÅRJÄNG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39069-2022</t>
        </is>
      </c>
      <c r="B7584" s="1" t="n">
        <v>44816</v>
      </c>
      <c r="C7584" s="1" t="n">
        <v>45736</v>
      </c>
      <c r="D7584" t="inlineStr">
        <is>
          <t>VÄRMLANDS LÄN</t>
        </is>
      </c>
      <c r="E7584" t="inlineStr">
        <is>
          <t>TORSBY</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39029-2022</t>
        </is>
      </c>
      <c r="B7585" s="1" t="n">
        <v>44817</v>
      </c>
      <c r="C7585" s="1" t="n">
        <v>45736</v>
      </c>
      <c r="D7585" t="inlineStr">
        <is>
          <t>VÄRMLANDS LÄN</t>
        </is>
      </c>
      <c r="E7585" t="inlineStr">
        <is>
          <t>HAGFORS</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39059-2022</t>
        </is>
      </c>
      <c r="B7586" s="1" t="n">
        <v>44817</v>
      </c>
      <c r="C7586" s="1" t="n">
        <v>45736</v>
      </c>
      <c r="D7586" t="inlineStr">
        <is>
          <t>VÄRMLANDS LÄN</t>
        </is>
      </c>
      <c r="E7586" t="inlineStr">
        <is>
          <t>HAGFORS</t>
        </is>
      </c>
      <c r="F7586" t="inlineStr">
        <is>
          <t>Bergvik skog väst AB</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39073-2022</t>
        </is>
      </c>
      <c r="B7587" s="1" t="n">
        <v>44817</v>
      </c>
      <c r="C7587" s="1" t="n">
        <v>45736</v>
      </c>
      <c r="D7587" t="inlineStr">
        <is>
          <t>VÄRMLANDS LÄN</t>
        </is>
      </c>
      <c r="E7587" t="inlineStr">
        <is>
          <t>ARVIKA</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39096-2022</t>
        </is>
      </c>
      <c r="B7588" s="1" t="n">
        <v>44817</v>
      </c>
      <c r="C7588" s="1" t="n">
        <v>45736</v>
      </c>
      <c r="D7588" t="inlineStr">
        <is>
          <t>VÄRMLANDS LÄN</t>
        </is>
      </c>
      <c r="E7588" t="inlineStr">
        <is>
          <t>SUNNE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39147-2022</t>
        </is>
      </c>
      <c r="B7589" s="1" t="n">
        <v>44817</v>
      </c>
      <c r="C7589" s="1" t="n">
        <v>45736</v>
      </c>
      <c r="D7589" t="inlineStr">
        <is>
          <t>VÄRMLANDS LÄN</t>
        </is>
      </c>
      <c r="E7589" t="inlineStr">
        <is>
          <t>SUNNE</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39167-2022</t>
        </is>
      </c>
      <c r="B7590" s="1" t="n">
        <v>44817</v>
      </c>
      <c r="C7590" s="1" t="n">
        <v>45736</v>
      </c>
      <c r="D7590" t="inlineStr">
        <is>
          <t>VÄRMLANDS LÄN</t>
        </is>
      </c>
      <c r="E7590" t="inlineStr">
        <is>
          <t>SUNNE</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39186-2022</t>
        </is>
      </c>
      <c r="B7591" s="1" t="n">
        <v>44817</v>
      </c>
      <c r="C7591" s="1" t="n">
        <v>45736</v>
      </c>
      <c r="D7591" t="inlineStr">
        <is>
          <t>VÄRMLANDS LÄN</t>
        </is>
      </c>
      <c r="E7591" t="inlineStr">
        <is>
          <t>TORSBY</t>
        </is>
      </c>
      <c r="F7591" t="inlineStr">
        <is>
          <t>Bergvik skog väst AB</t>
        </is>
      </c>
      <c r="G7591" t="n">
        <v>20.3</v>
      </c>
      <c r="H7591" t="n">
        <v>0</v>
      </c>
      <c r="I7591" t="n">
        <v>0</v>
      </c>
      <c r="J7591" t="n">
        <v>0</v>
      </c>
      <c r="K7591" t="n">
        <v>0</v>
      </c>
      <c r="L7591" t="n">
        <v>0</v>
      </c>
      <c r="M7591" t="n">
        <v>0</v>
      </c>
      <c r="N7591" t="n">
        <v>0</v>
      </c>
      <c r="O7591" t="n">
        <v>0</v>
      </c>
      <c r="P7591" t="n">
        <v>0</v>
      </c>
      <c r="Q7591" t="n">
        <v>0</v>
      </c>
      <c r="R7591" s="2" t="inlineStr"/>
    </row>
    <row r="7592" ht="15" customHeight="1">
      <c r="A7592" t="inlineStr">
        <is>
          <t>A 39216-2022</t>
        </is>
      </c>
      <c r="B7592" s="1" t="n">
        <v>44817</v>
      </c>
      <c r="C7592" s="1" t="n">
        <v>45736</v>
      </c>
      <c r="D7592" t="inlineStr">
        <is>
          <t>VÄRMLANDS LÄN</t>
        </is>
      </c>
      <c r="E7592" t="inlineStr">
        <is>
          <t>TORSBY</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39047-2022</t>
        </is>
      </c>
      <c r="B7593" s="1" t="n">
        <v>44817</v>
      </c>
      <c r="C7593" s="1" t="n">
        <v>45736</v>
      </c>
      <c r="D7593" t="inlineStr">
        <is>
          <t>VÄRMLANDS LÄN</t>
        </is>
      </c>
      <c r="E7593" t="inlineStr">
        <is>
          <t>HAGFORS</t>
        </is>
      </c>
      <c r="F7593" t="inlineStr">
        <is>
          <t>Bergvik skog väst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39145-2022</t>
        </is>
      </c>
      <c r="B7594" s="1" t="n">
        <v>44817</v>
      </c>
      <c r="C7594" s="1" t="n">
        <v>45736</v>
      </c>
      <c r="D7594" t="inlineStr">
        <is>
          <t>VÄRMLANDS LÄN</t>
        </is>
      </c>
      <c r="E7594" t="inlineStr">
        <is>
          <t>SUNNE</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39211-2022</t>
        </is>
      </c>
      <c r="B7595" s="1" t="n">
        <v>44817</v>
      </c>
      <c r="C7595" s="1" t="n">
        <v>45736</v>
      </c>
      <c r="D7595" t="inlineStr">
        <is>
          <t>VÄRMLANDS LÄN</t>
        </is>
      </c>
      <c r="E7595" t="inlineStr">
        <is>
          <t>HAGFORS</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39215-2022</t>
        </is>
      </c>
      <c r="B7596" s="1" t="n">
        <v>44817</v>
      </c>
      <c r="C7596" s="1" t="n">
        <v>45736</v>
      </c>
      <c r="D7596" t="inlineStr">
        <is>
          <t>VÄRMLANDS LÄN</t>
        </is>
      </c>
      <c r="E7596" t="inlineStr">
        <is>
          <t>TORSBY</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39300-2022</t>
        </is>
      </c>
      <c r="B7597" s="1" t="n">
        <v>44817</v>
      </c>
      <c r="C7597" s="1" t="n">
        <v>45736</v>
      </c>
      <c r="D7597" t="inlineStr">
        <is>
          <t>VÄRMLANDS LÄN</t>
        </is>
      </c>
      <c r="E7597" t="inlineStr">
        <is>
          <t>HAGFORS</t>
        </is>
      </c>
      <c r="F7597" t="inlineStr">
        <is>
          <t>Bergvik skog väst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39161-2022</t>
        </is>
      </c>
      <c r="B7598" s="1" t="n">
        <v>44817</v>
      </c>
      <c r="C7598" s="1" t="n">
        <v>45736</v>
      </c>
      <c r="D7598" t="inlineStr">
        <is>
          <t>VÄRMLANDS LÄN</t>
        </is>
      </c>
      <c r="E7598" t="inlineStr">
        <is>
          <t>ARVIKA</t>
        </is>
      </c>
      <c r="F7598" t="inlineStr">
        <is>
          <t>Bergvik skog väst AB</t>
        </is>
      </c>
      <c r="G7598" t="n">
        <v>16.7</v>
      </c>
      <c r="H7598" t="n">
        <v>0</v>
      </c>
      <c r="I7598" t="n">
        <v>0</v>
      </c>
      <c r="J7598" t="n">
        <v>0</v>
      </c>
      <c r="K7598" t="n">
        <v>0</v>
      </c>
      <c r="L7598" t="n">
        <v>0</v>
      </c>
      <c r="M7598" t="n">
        <v>0</v>
      </c>
      <c r="N7598" t="n">
        <v>0</v>
      </c>
      <c r="O7598" t="n">
        <v>0</v>
      </c>
      <c r="P7598" t="n">
        <v>0</v>
      </c>
      <c r="Q7598" t="n">
        <v>0</v>
      </c>
      <c r="R7598" s="2" t="inlineStr"/>
    </row>
    <row r="7599" ht="15" customHeight="1">
      <c r="A7599" t="inlineStr">
        <is>
          <t>A 39175-2022</t>
        </is>
      </c>
      <c r="B7599" s="1" t="n">
        <v>44817</v>
      </c>
      <c r="C7599" s="1" t="n">
        <v>45736</v>
      </c>
      <c r="D7599" t="inlineStr">
        <is>
          <t>VÄRMLANDS LÄN</t>
        </is>
      </c>
      <c r="E7599" t="inlineStr">
        <is>
          <t>SUNNE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39188-2022</t>
        </is>
      </c>
      <c r="B7600" s="1" t="n">
        <v>44817</v>
      </c>
      <c r="C7600" s="1" t="n">
        <v>45736</v>
      </c>
      <c r="D7600" t="inlineStr">
        <is>
          <t>VÄRMLANDS LÄN</t>
        </is>
      </c>
      <c r="E7600" t="inlineStr">
        <is>
          <t>ARVIKA</t>
        </is>
      </c>
      <c r="F7600" t="inlineStr">
        <is>
          <t>Bergvik skog väst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39221-2022</t>
        </is>
      </c>
      <c r="B7601" s="1" t="n">
        <v>44817</v>
      </c>
      <c r="C7601" s="1" t="n">
        <v>45736</v>
      </c>
      <c r="D7601" t="inlineStr">
        <is>
          <t>VÄRMLANDS LÄN</t>
        </is>
      </c>
      <c r="E7601" t="inlineStr">
        <is>
          <t>TORSBY</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39303-2022</t>
        </is>
      </c>
      <c r="B7602" s="1" t="n">
        <v>44817</v>
      </c>
      <c r="C7602" s="1" t="n">
        <v>45736</v>
      </c>
      <c r="D7602" t="inlineStr">
        <is>
          <t>VÄRMLANDS LÄN</t>
        </is>
      </c>
      <c r="E7602" t="inlineStr">
        <is>
          <t>HAGFORS</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39160-2022</t>
        </is>
      </c>
      <c r="B7603" s="1" t="n">
        <v>44817</v>
      </c>
      <c r="C7603" s="1" t="n">
        <v>45736</v>
      </c>
      <c r="D7603" t="inlineStr">
        <is>
          <t>VÄRMLANDS LÄN</t>
        </is>
      </c>
      <c r="E7603" t="inlineStr">
        <is>
          <t>SUNNE</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39194-2022</t>
        </is>
      </c>
      <c r="B7604" s="1" t="n">
        <v>44817</v>
      </c>
      <c r="C7604" s="1" t="n">
        <v>45736</v>
      </c>
      <c r="D7604" t="inlineStr">
        <is>
          <t>VÄRMLANDS LÄN</t>
        </is>
      </c>
      <c r="E7604" t="inlineStr">
        <is>
          <t>EDA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39217-2022</t>
        </is>
      </c>
      <c r="B7605" s="1" t="n">
        <v>44817</v>
      </c>
      <c r="C7605" s="1" t="n">
        <v>45736</v>
      </c>
      <c r="D7605" t="inlineStr">
        <is>
          <t>VÄRMLANDS LÄN</t>
        </is>
      </c>
      <c r="E7605" t="inlineStr">
        <is>
          <t>TORSBY</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39287-2022</t>
        </is>
      </c>
      <c r="B7606" s="1" t="n">
        <v>44817</v>
      </c>
      <c r="C7606" s="1" t="n">
        <v>45736</v>
      </c>
      <c r="D7606" t="inlineStr">
        <is>
          <t>VÄRMLANDS LÄN</t>
        </is>
      </c>
      <c r="E7606" t="inlineStr">
        <is>
          <t>HAGFORS</t>
        </is>
      </c>
      <c r="F7606" t="inlineStr">
        <is>
          <t>Bergvik skog väst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39640-2022</t>
        </is>
      </c>
      <c r="B7607" s="1" t="n">
        <v>44817</v>
      </c>
      <c r="C7607" s="1" t="n">
        <v>45736</v>
      </c>
      <c r="D7607" t="inlineStr">
        <is>
          <t>VÄRMLANDS LÄN</t>
        </is>
      </c>
      <c r="E7607" t="inlineStr">
        <is>
          <t>HAGFORS</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39504-2022</t>
        </is>
      </c>
      <c r="B7608" s="1" t="n">
        <v>44818</v>
      </c>
      <c r="C7608" s="1" t="n">
        <v>45736</v>
      </c>
      <c r="D7608" t="inlineStr">
        <is>
          <t>VÄRMLANDS LÄN</t>
        </is>
      </c>
      <c r="E7608" t="inlineStr">
        <is>
          <t>KARLSTAD</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39536-2022</t>
        </is>
      </c>
      <c r="B7609" s="1" t="n">
        <v>44818</v>
      </c>
      <c r="C7609" s="1" t="n">
        <v>45736</v>
      </c>
      <c r="D7609" t="inlineStr">
        <is>
          <t>VÄRMLANDS LÄN</t>
        </is>
      </c>
      <c r="E7609" t="inlineStr">
        <is>
          <t>ÅRJÄNG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39560-2022</t>
        </is>
      </c>
      <c r="B7610" s="1" t="n">
        <v>44818</v>
      </c>
      <c r="C7610" s="1" t="n">
        <v>45736</v>
      </c>
      <c r="D7610" t="inlineStr">
        <is>
          <t>VÄRMLANDS LÄN</t>
        </is>
      </c>
      <c r="E7610" t="inlineStr">
        <is>
          <t>ÅRJÄNG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39661-2022</t>
        </is>
      </c>
      <c r="B7611" s="1" t="n">
        <v>44818</v>
      </c>
      <c r="C7611" s="1" t="n">
        <v>45736</v>
      </c>
      <c r="D7611" t="inlineStr">
        <is>
          <t>VÄRMLANDS LÄN</t>
        </is>
      </c>
      <c r="E7611" t="inlineStr">
        <is>
          <t>ÅRJÄNG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39664-2022</t>
        </is>
      </c>
      <c r="B7612" s="1" t="n">
        <v>44818</v>
      </c>
      <c r="C7612" s="1" t="n">
        <v>45736</v>
      </c>
      <c r="D7612" t="inlineStr">
        <is>
          <t>VÄRMLANDS LÄN</t>
        </is>
      </c>
      <c r="E7612" t="inlineStr">
        <is>
          <t>EDA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39781-2022</t>
        </is>
      </c>
      <c r="B7613" s="1" t="n">
        <v>44819</v>
      </c>
      <c r="C7613" s="1" t="n">
        <v>45736</v>
      </c>
      <c r="D7613" t="inlineStr">
        <is>
          <t>VÄRMLANDS LÄN</t>
        </is>
      </c>
      <c r="E7613" t="inlineStr">
        <is>
          <t>TORSBY</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39835-2022</t>
        </is>
      </c>
      <c r="B7614" s="1" t="n">
        <v>44819</v>
      </c>
      <c r="C7614" s="1" t="n">
        <v>45736</v>
      </c>
      <c r="D7614" t="inlineStr">
        <is>
          <t>VÄRMLANDS LÄN</t>
        </is>
      </c>
      <c r="E7614" t="inlineStr">
        <is>
          <t>ARVIKA</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39780-2022</t>
        </is>
      </c>
      <c r="B7615" s="1" t="n">
        <v>44819</v>
      </c>
      <c r="C7615" s="1" t="n">
        <v>45736</v>
      </c>
      <c r="D7615" t="inlineStr">
        <is>
          <t>VÄRMLANDS LÄN</t>
        </is>
      </c>
      <c r="E7615" t="inlineStr">
        <is>
          <t>TORSBY</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40496-2022</t>
        </is>
      </c>
      <c r="B7616" s="1" t="n">
        <v>44819</v>
      </c>
      <c r="C7616" s="1" t="n">
        <v>45736</v>
      </c>
      <c r="D7616" t="inlineStr">
        <is>
          <t>VÄRMLANDS LÄN</t>
        </is>
      </c>
      <c r="E7616" t="inlineStr">
        <is>
          <t>SÄFFLE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40441-2022</t>
        </is>
      </c>
      <c r="B7617" s="1" t="n">
        <v>44819</v>
      </c>
      <c r="C7617" s="1" t="n">
        <v>45736</v>
      </c>
      <c r="D7617" t="inlineStr">
        <is>
          <t>VÄRMLANDS LÄN</t>
        </is>
      </c>
      <c r="E7617" t="inlineStr">
        <is>
          <t>GRUMS</t>
        </is>
      </c>
      <c r="F7617" t="inlineStr">
        <is>
          <t>Bergvik skog väst AB</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40487-2022</t>
        </is>
      </c>
      <c r="B7618" s="1" t="n">
        <v>44819</v>
      </c>
      <c r="C7618" s="1" t="n">
        <v>45736</v>
      </c>
      <c r="D7618" t="inlineStr">
        <is>
          <t>VÄRMLANDS LÄN</t>
        </is>
      </c>
      <c r="E7618" t="inlineStr">
        <is>
          <t>SÄFFLE</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40391-2022</t>
        </is>
      </c>
      <c r="B7619" s="1" t="n">
        <v>44819</v>
      </c>
      <c r="C7619" s="1" t="n">
        <v>45736</v>
      </c>
      <c r="D7619" t="inlineStr">
        <is>
          <t>VÄRMLANDS LÄN</t>
        </is>
      </c>
      <c r="E7619" t="inlineStr">
        <is>
          <t>SÄFFLE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40011-2022</t>
        </is>
      </c>
      <c r="B7620" s="1" t="n">
        <v>44820</v>
      </c>
      <c r="C7620" s="1" t="n">
        <v>45736</v>
      </c>
      <c r="D7620" t="inlineStr">
        <is>
          <t>VÄRMLANDS LÄN</t>
        </is>
      </c>
      <c r="E7620" t="inlineStr">
        <is>
          <t>ARVIKA</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40107-2022</t>
        </is>
      </c>
      <c r="B7621" s="1" t="n">
        <v>44820</v>
      </c>
      <c r="C7621" s="1" t="n">
        <v>45736</v>
      </c>
      <c r="D7621" t="inlineStr">
        <is>
          <t>VÄRMLANDS LÄN</t>
        </is>
      </c>
      <c r="E7621" t="inlineStr">
        <is>
          <t>KIL</t>
        </is>
      </c>
      <c r="F7621" t="inlineStr">
        <is>
          <t>Kommuner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40055-2022</t>
        </is>
      </c>
      <c r="B7622" s="1" t="n">
        <v>44820</v>
      </c>
      <c r="C7622" s="1" t="n">
        <v>45736</v>
      </c>
      <c r="D7622" t="inlineStr">
        <is>
          <t>VÄRMLANDS LÄN</t>
        </is>
      </c>
      <c r="E7622" t="inlineStr">
        <is>
          <t>EDA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40223-2022</t>
        </is>
      </c>
      <c r="B7623" s="1" t="n">
        <v>44820</v>
      </c>
      <c r="C7623" s="1" t="n">
        <v>45736</v>
      </c>
      <c r="D7623" t="inlineStr">
        <is>
          <t>VÄRMLANDS LÄN</t>
        </is>
      </c>
      <c r="E7623" t="inlineStr">
        <is>
          <t>SUNNE</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40208-2022</t>
        </is>
      </c>
      <c r="B7624" s="1" t="n">
        <v>44820</v>
      </c>
      <c r="C7624" s="1" t="n">
        <v>45736</v>
      </c>
      <c r="D7624" t="inlineStr">
        <is>
          <t>VÄRMLANDS LÄN</t>
        </is>
      </c>
      <c r="E7624" t="inlineStr">
        <is>
          <t>EDA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40220-2022</t>
        </is>
      </c>
      <c r="B7625" s="1" t="n">
        <v>44820</v>
      </c>
      <c r="C7625" s="1" t="n">
        <v>45736</v>
      </c>
      <c r="D7625" t="inlineStr">
        <is>
          <t>VÄRMLANDS LÄN</t>
        </is>
      </c>
      <c r="E7625" t="inlineStr">
        <is>
          <t>SÄFFLE</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40245-2022</t>
        </is>
      </c>
      <c r="B7626" s="1" t="n">
        <v>44820</v>
      </c>
      <c r="C7626" s="1" t="n">
        <v>45736</v>
      </c>
      <c r="D7626" t="inlineStr">
        <is>
          <t>VÄRMLANDS LÄN</t>
        </is>
      </c>
      <c r="E7626" t="inlineStr">
        <is>
          <t>SÄFFLE</t>
        </is>
      </c>
      <c r="F7626" t="inlineStr">
        <is>
          <t>Bergvik skog väst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39980-2022</t>
        </is>
      </c>
      <c r="B7627" s="1" t="n">
        <v>44820</v>
      </c>
      <c r="C7627" s="1" t="n">
        <v>45736</v>
      </c>
      <c r="D7627" t="inlineStr">
        <is>
          <t>VÄRMLANDS LÄN</t>
        </is>
      </c>
      <c r="E7627" t="inlineStr">
        <is>
          <t>ARVIKA</t>
        </is>
      </c>
      <c r="F7627" t="inlineStr">
        <is>
          <t>Bergvik skog väst AB</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39990-2022</t>
        </is>
      </c>
      <c r="B7628" s="1" t="n">
        <v>44820</v>
      </c>
      <c r="C7628" s="1" t="n">
        <v>45736</v>
      </c>
      <c r="D7628" t="inlineStr">
        <is>
          <t>VÄRMLANDS LÄN</t>
        </is>
      </c>
      <c r="E7628" t="inlineStr">
        <is>
          <t>SÄFFLE</t>
        </is>
      </c>
      <c r="F7628" t="inlineStr">
        <is>
          <t>Kyrkan</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40009-2022</t>
        </is>
      </c>
      <c r="B7629" s="1" t="n">
        <v>44820</v>
      </c>
      <c r="C7629" s="1" t="n">
        <v>45736</v>
      </c>
      <c r="D7629" t="inlineStr">
        <is>
          <t>VÄRMLANDS LÄN</t>
        </is>
      </c>
      <c r="E7629" t="inlineStr">
        <is>
          <t>TORSBY</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40036-2022</t>
        </is>
      </c>
      <c r="B7630" s="1" t="n">
        <v>44820</v>
      </c>
      <c r="C7630" s="1" t="n">
        <v>45736</v>
      </c>
      <c r="D7630" t="inlineStr">
        <is>
          <t>VÄRMLANDS LÄN</t>
        </is>
      </c>
      <c r="E7630" t="inlineStr">
        <is>
          <t>TORSBY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40112-2022</t>
        </is>
      </c>
      <c r="B7631" s="1" t="n">
        <v>44820</v>
      </c>
      <c r="C7631" s="1" t="n">
        <v>45736</v>
      </c>
      <c r="D7631" t="inlineStr">
        <is>
          <t>VÄRMLANDS LÄN</t>
        </is>
      </c>
      <c r="E7631" t="inlineStr">
        <is>
          <t>KIL</t>
        </is>
      </c>
      <c r="F7631" t="inlineStr">
        <is>
          <t>Kommuner</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40221-2022</t>
        </is>
      </c>
      <c r="B7632" s="1" t="n">
        <v>44820</v>
      </c>
      <c r="C7632" s="1" t="n">
        <v>45736</v>
      </c>
      <c r="D7632" t="inlineStr">
        <is>
          <t>VÄRMLANDS LÄN</t>
        </is>
      </c>
      <c r="E7632" t="inlineStr">
        <is>
          <t>TORSBY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40238-2022</t>
        </is>
      </c>
      <c r="B7633" s="1" t="n">
        <v>44820</v>
      </c>
      <c r="C7633" s="1" t="n">
        <v>45736</v>
      </c>
      <c r="D7633" t="inlineStr">
        <is>
          <t>VÄRMLANDS LÄN</t>
        </is>
      </c>
      <c r="E7633" t="inlineStr">
        <is>
          <t>SUNNE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40326-2022</t>
        </is>
      </c>
      <c r="B7634" s="1" t="n">
        <v>44823</v>
      </c>
      <c r="C7634" s="1" t="n">
        <v>45736</v>
      </c>
      <c r="D7634" t="inlineStr">
        <is>
          <t>VÄRMLANDS LÄN</t>
        </is>
      </c>
      <c r="E7634" t="inlineStr">
        <is>
          <t>KRISTINEHAMN</t>
        </is>
      </c>
      <c r="F7634" t="inlineStr">
        <is>
          <t>Sveaskog</t>
        </is>
      </c>
      <c r="G7634" t="n">
        <v>12.1</v>
      </c>
      <c r="H7634" t="n">
        <v>0</v>
      </c>
      <c r="I7634" t="n">
        <v>0</v>
      </c>
      <c r="J7634" t="n">
        <v>0</v>
      </c>
      <c r="K7634" t="n">
        <v>0</v>
      </c>
      <c r="L7634" t="n">
        <v>0</v>
      </c>
      <c r="M7634" t="n">
        <v>0</v>
      </c>
      <c r="N7634" t="n">
        <v>0</v>
      </c>
      <c r="O7634" t="n">
        <v>0</v>
      </c>
      <c r="P7634" t="n">
        <v>0</v>
      </c>
      <c r="Q7634" t="n">
        <v>0</v>
      </c>
      <c r="R7634" s="2" t="inlineStr"/>
    </row>
    <row r="7635" ht="15" customHeight="1">
      <c r="A7635" t="inlineStr">
        <is>
          <t>A 40352-2022</t>
        </is>
      </c>
      <c r="B7635" s="1" t="n">
        <v>44823</v>
      </c>
      <c r="C7635" s="1" t="n">
        <v>45736</v>
      </c>
      <c r="D7635" t="inlineStr">
        <is>
          <t>VÄRMLANDS LÄN</t>
        </is>
      </c>
      <c r="E7635" t="inlineStr">
        <is>
          <t>ÅRJÄNG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40340-2022</t>
        </is>
      </c>
      <c r="B7636" s="1" t="n">
        <v>44823</v>
      </c>
      <c r="C7636" s="1" t="n">
        <v>45736</v>
      </c>
      <c r="D7636" t="inlineStr">
        <is>
          <t>VÄRMLANDS LÄN</t>
        </is>
      </c>
      <c r="E7636" t="inlineStr">
        <is>
          <t>SÄFFLE</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40353-2022</t>
        </is>
      </c>
      <c r="B7637" s="1" t="n">
        <v>44823</v>
      </c>
      <c r="C7637" s="1" t="n">
        <v>45736</v>
      </c>
      <c r="D7637" t="inlineStr">
        <is>
          <t>VÄRMLANDS LÄN</t>
        </is>
      </c>
      <c r="E7637" t="inlineStr">
        <is>
          <t>TORSBY</t>
        </is>
      </c>
      <c r="F7637" t="inlineStr">
        <is>
          <t>Bergvik skog väst AB</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40411-2022</t>
        </is>
      </c>
      <c r="B7638" s="1" t="n">
        <v>44823</v>
      </c>
      <c r="C7638" s="1" t="n">
        <v>45736</v>
      </c>
      <c r="D7638" t="inlineStr">
        <is>
          <t>VÄRMLANDS LÄN</t>
        </is>
      </c>
      <c r="E7638" t="inlineStr">
        <is>
          <t>SUNNE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40366-2022</t>
        </is>
      </c>
      <c r="B7639" s="1" t="n">
        <v>44823</v>
      </c>
      <c r="C7639" s="1" t="n">
        <v>45736</v>
      </c>
      <c r="D7639" t="inlineStr">
        <is>
          <t>VÄRMLANDS LÄN</t>
        </is>
      </c>
      <c r="E7639" t="inlineStr">
        <is>
          <t>ÅRJÄNG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40439-2022</t>
        </is>
      </c>
      <c r="B7640" s="1" t="n">
        <v>44823</v>
      </c>
      <c r="C7640" s="1" t="n">
        <v>45736</v>
      </c>
      <c r="D7640" t="inlineStr">
        <is>
          <t>VÄRMLANDS LÄN</t>
        </is>
      </c>
      <c r="E7640" t="inlineStr">
        <is>
          <t>ÅRJÄNG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40485-2022</t>
        </is>
      </c>
      <c r="B7641" s="1" t="n">
        <v>44823</v>
      </c>
      <c r="C7641" s="1" t="n">
        <v>45736</v>
      </c>
      <c r="D7641" t="inlineStr">
        <is>
          <t>VÄRMLANDS LÄN</t>
        </is>
      </c>
      <c r="E7641" t="inlineStr">
        <is>
          <t>SUNNE</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40447-2022</t>
        </is>
      </c>
      <c r="B7642" s="1" t="n">
        <v>44823</v>
      </c>
      <c r="C7642" s="1" t="n">
        <v>45736</v>
      </c>
      <c r="D7642" t="inlineStr">
        <is>
          <t>VÄRMLANDS LÄN</t>
        </is>
      </c>
      <c r="E7642" t="inlineStr">
        <is>
          <t>ÅRJÄNG</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40481-2022</t>
        </is>
      </c>
      <c r="B7643" s="1" t="n">
        <v>44823</v>
      </c>
      <c r="C7643" s="1" t="n">
        <v>45736</v>
      </c>
      <c r="D7643" t="inlineStr">
        <is>
          <t>VÄRMLANDS LÄN</t>
        </is>
      </c>
      <c r="E7643" t="inlineStr">
        <is>
          <t>ÅRJÄNG</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40323-2022</t>
        </is>
      </c>
      <c r="B7644" s="1" t="n">
        <v>44823</v>
      </c>
      <c r="C7644" s="1" t="n">
        <v>45736</v>
      </c>
      <c r="D7644" t="inlineStr">
        <is>
          <t>VÄRMLANDS LÄN</t>
        </is>
      </c>
      <c r="E7644" t="inlineStr">
        <is>
          <t>EDA</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40371-2022</t>
        </is>
      </c>
      <c r="B7645" s="1" t="n">
        <v>44823</v>
      </c>
      <c r="C7645" s="1" t="n">
        <v>45736</v>
      </c>
      <c r="D7645" t="inlineStr">
        <is>
          <t>VÄRMLANDS LÄN</t>
        </is>
      </c>
      <c r="E7645" t="inlineStr">
        <is>
          <t>ARVIKA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40395-2022</t>
        </is>
      </c>
      <c r="B7646" s="1" t="n">
        <v>44823</v>
      </c>
      <c r="C7646" s="1" t="n">
        <v>45736</v>
      </c>
      <c r="D7646" t="inlineStr">
        <is>
          <t>VÄRMLANDS LÄN</t>
        </is>
      </c>
      <c r="E7646" t="inlineStr">
        <is>
          <t>SÄFFLE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40435-2022</t>
        </is>
      </c>
      <c r="B7647" s="1" t="n">
        <v>44823</v>
      </c>
      <c r="C7647" s="1" t="n">
        <v>45736</v>
      </c>
      <c r="D7647" t="inlineStr">
        <is>
          <t>VÄRMLANDS LÄN</t>
        </is>
      </c>
      <c r="E7647" t="inlineStr">
        <is>
          <t>ÅRJÄNG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40490-2022</t>
        </is>
      </c>
      <c r="B7648" s="1" t="n">
        <v>44823</v>
      </c>
      <c r="C7648" s="1" t="n">
        <v>45736</v>
      </c>
      <c r="D7648" t="inlineStr">
        <is>
          <t>VÄRMLANDS LÄN</t>
        </is>
      </c>
      <c r="E7648" t="inlineStr">
        <is>
          <t>ÅRJÄNG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40520-2022</t>
        </is>
      </c>
      <c r="B7649" s="1" t="n">
        <v>44823</v>
      </c>
      <c r="C7649" s="1" t="n">
        <v>45736</v>
      </c>
      <c r="D7649" t="inlineStr">
        <is>
          <t>VÄRMLANDS LÄN</t>
        </is>
      </c>
      <c r="E7649" t="inlineStr">
        <is>
          <t>ARVIKA</t>
        </is>
      </c>
      <c r="F7649" t="inlineStr">
        <is>
          <t>Bergvik skog väst AB</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40986-2022</t>
        </is>
      </c>
      <c r="B7650" s="1" t="n">
        <v>44823</v>
      </c>
      <c r="C7650" s="1" t="n">
        <v>45736</v>
      </c>
      <c r="D7650" t="inlineStr">
        <is>
          <t>VÄRMLANDS LÄN</t>
        </is>
      </c>
      <c r="E7650" t="inlineStr">
        <is>
          <t>SUNNE</t>
        </is>
      </c>
      <c r="F7650" t="inlineStr">
        <is>
          <t>Kyrkan</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41264-2022</t>
        </is>
      </c>
      <c r="B7651" s="1" t="n">
        <v>44823</v>
      </c>
      <c r="C7651" s="1" t="n">
        <v>45736</v>
      </c>
      <c r="D7651" t="inlineStr">
        <is>
          <t>VÄRMLANDS LÄN</t>
        </is>
      </c>
      <c r="E7651" t="inlineStr">
        <is>
          <t>TORSBY</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40935-2022</t>
        </is>
      </c>
      <c r="B7652" s="1" t="n">
        <v>44823</v>
      </c>
      <c r="C7652" s="1" t="n">
        <v>45736</v>
      </c>
      <c r="D7652" t="inlineStr">
        <is>
          <t>VÄRMLANDS LÄN</t>
        </is>
      </c>
      <c r="E7652" t="inlineStr">
        <is>
          <t>GRUMS</t>
        </is>
      </c>
      <c r="F7652" t="inlineStr">
        <is>
          <t>Bergvik skog väst AB</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40630-2022</t>
        </is>
      </c>
      <c r="B7653" s="1" t="n">
        <v>44823</v>
      </c>
      <c r="C7653" s="1" t="n">
        <v>45736</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40968-2022</t>
        </is>
      </c>
      <c r="B7654" s="1" t="n">
        <v>44823</v>
      </c>
      <c r="C7654" s="1" t="n">
        <v>45736</v>
      </c>
      <c r="D7654" t="inlineStr">
        <is>
          <t>VÄRMLANDS LÄN</t>
        </is>
      </c>
      <c r="E7654" t="inlineStr">
        <is>
          <t>FORSHAGA</t>
        </is>
      </c>
      <c r="G7654" t="n">
        <v>16.5</v>
      </c>
      <c r="H7654" t="n">
        <v>0</v>
      </c>
      <c r="I7654" t="n">
        <v>0</v>
      </c>
      <c r="J7654" t="n">
        <v>0</v>
      </c>
      <c r="K7654" t="n">
        <v>0</v>
      </c>
      <c r="L7654" t="n">
        <v>0</v>
      </c>
      <c r="M7654" t="n">
        <v>0</v>
      </c>
      <c r="N7654" t="n">
        <v>0</v>
      </c>
      <c r="O7654" t="n">
        <v>0</v>
      </c>
      <c r="P7654" t="n">
        <v>0</v>
      </c>
      <c r="Q7654" t="n">
        <v>0</v>
      </c>
      <c r="R7654" s="2" t="inlineStr"/>
    </row>
    <row r="7655" ht="15" customHeight="1">
      <c r="A7655" t="inlineStr">
        <is>
          <t>A 41295-2022</t>
        </is>
      </c>
      <c r="B7655" s="1" t="n">
        <v>44823</v>
      </c>
      <c r="C7655" s="1" t="n">
        <v>45736</v>
      </c>
      <c r="D7655" t="inlineStr">
        <is>
          <t>VÄRMLANDS LÄN</t>
        </is>
      </c>
      <c r="E7655" t="inlineStr">
        <is>
          <t>TORSBY</t>
        </is>
      </c>
      <c r="G7655" t="n">
        <v>10.1</v>
      </c>
      <c r="H7655" t="n">
        <v>0</v>
      </c>
      <c r="I7655" t="n">
        <v>0</v>
      </c>
      <c r="J7655" t="n">
        <v>0</v>
      </c>
      <c r="K7655" t="n">
        <v>0</v>
      </c>
      <c r="L7655" t="n">
        <v>0</v>
      </c>
      <c r="M7655" t="n">
        <v>0</v>
      </c>
      <c r="N7655" t="n">
        <v>0</v>
      </c>
      <c r="O7655" t="n">
        <v>0</v>
      </c>
      <c r="P7655" t="n">
        <v>0</v>
      </c>
      <c r="Q7655" t="n">
        <v>0</v>
      </c>
      <c r="R7655" s="2" t="inlineStr"/>
    </row>
    <row r="7656" ht="15" customHeight="1">
      <c r="A7656" t="inlineStr">
        <is>
          <t>A 40799-2022</t>
        </is>
      </c>
      <c r="B7656" s="1" t="n">
        <v>44824</v>
      </c>
      <c r="C7656" s="1" t="n">
        <v>45736</v>
      </c>
      <c r="D7656" t="inlineStr">
        <is>
          <t>VÄRMLANDS LÄN</t>
        </is>
      </c>
      <c r="E7656" t="inlineStr">
        <is>
          <t>SÄFFLE</t>
        </is>
      </c>
      <c r="G7656" t="n">
        <v>11.4</v>
      </c>
      <c r="H7656" t="n">
        <v>0</v>
      </c>
      <c r="I7656" t="n">
        <v>0</v>
      </c>
      <c r="J7656" t="n">
        <v>0</v>
      </c>
      <c r="K7656" t="n">
        <v>0</v>
      </c>
      <c r="L7656" t="n">
        <v>0</v>
      </c>
      <c r="M7656" t="n">
        <v>0</v>
      </c>
      <c r="N7656" t="n">
        <v>0</v>
      </c>
      <c r="O7656" t="n">
        <v>0</v>
      </c>
      <c r="P7656" t="n">
        <v>0</v>
      </c>
      <c r="Q7656" t="n">
        <v>0</v>
      </c>
      <c r="R7656" s="2" t="inlineStr"/>
    </row>
    <row r="7657" ht="15" customHeight="1">
      <c r="A7657" t="inlineStr">
        <is>
          <t>A 40643-2022</t>
        </is>
      </c>
      <c r="B7657" s="1" t="n">
        <v>44824</v>
      </c>
      <c r="C7657" s="1" t="n">
        <v>45736</v>
      </c>
      <c r="D7657" t="inlineStr">
        <is>
          <t>VÄRMLANDS LÄN</t>
        </is>
      </c>
      <c r="E7657" t="inlineStr">
        <is>
          <t>ÅRJÄNG</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40689-2022</t>
        </is>
      </c>
      <c r="B7658" s="1" t="n">
        <v>44824</v>
      </c>
      <c r="C7658" s="1" t="n">
        <v>45736</v>
      </c>
      <c r="D7658" t="inlineStr">
        <is>
          <t>VÄRMLANDS LÄN</t>
        </is>
      </c>
      <c r="E7658" t="inlineStr">
        <is>
          <t>HAGFORS</t>
        </is>
      </c>
      <c r="F7658" t="inlineStr">
        <is>
          <t>Bergvik skog väst AB</t>
        </is>
      </c>
      <c r="G7658" t="n">
        <v>14.3</v>
      </c>
      <c r="H7658" t="n">
        <v>0</v>
      </c>
      <c r="I7658" t="n">
        <v>0</v>
      </c>
      <c r="J7658" t="n">
        <v>0</v>
      </c>
      <c r="K7658" t="n">
        <v>0</v>
      </c>
      <c r="L7658" t="n">
        <v>0</v>
      </c>
      <c r="M7658" t="n">
        <v>0</v>
      </c>
      <c r="N7658" t="n">
        <v>0</v>
      </c>
      <c r="O7658" t="n">
        <v>0</v>
      </c>
      <c r="P7658" t="n">
        <v>0</v>
      </c>
      <c r="Q7658" t="n">
        <v>0</v>
      </c>
      <c r="R7658" s="2" t="inlineStr"/>
    </row>
    <row r="7659" ht="15" customHeight="1">
      <c r="A7659" t="inlineStr">
        <is>
          <t>A 40692-2022</t>
        </is>
      </c>
      <c r="B7659" s="1" t="n">
        <v>44824</v>
      </c>
      <c r="C7659" s="1" t="n">
        <v>45736</v>
      </c>
      <c r="D7659" t="inlineStr">
        <is>
          <t>VÄRMLANDS LÄN</t>
        </is>
      </c>
      <c r="E7659" t="inlineStr">
        <is>
          <t>HAGFORS</t>
        </is>
      </c>
      <c r="F7659" t="inlineStr">
        <is>
          <t>Bergvik skog väst AB</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40714-2022</t>
        </is>
      </c>
      <c r="B7660" s="1" t="n">
        <v>44824</v>
      </c>
      <c r="C7660" s="1" t="n">
        <v>45736</v>
      </c>
      <c r="D7660" t="inlineStr">
        <is>
          <t>VÄRMLANDS LÄN</t>
        </is>
      </c>
      <c r="E7660" t="inlineStr">
        <is>
          <t>SUNNE</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40718-2022</t>
        </is>
      </c>
      <c r="B7661" s="1" t="n">
        <v>44824</v>
      </c>
      <c r="C7661" s="1" t="n">
        <v>45736</v>
      </c>
      <c r="D7661" t="inlineStr">
        <is>
          <t>VÄRMLANDS LÄN</t>
        </is>
      </c>
      <c r="E7661" t="inlineStr">
        <is>
          <t>TORSBY</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40788-2022</t>
        </is>
      </c>
      <c r="B7662" s="1" t="n">
        <v>44824</v>
      </c>
      <c r="C7662" s="1" t="n">
        <v>45736</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41025-2022</t>
        </is>
      </c>
      <c r="B7663" s="1" t="n">
        <v>44824</v>
      </c>
      <c r="C7663" s="1" t="n">
        <v>45736</v>
      </c>
      <c r="D7663" t="inlineStr">
        <is>
          <t>VÄRMLANDS LÄN</t>
        </is>
      </c>
      <c r="E7663" t="inlineStr">
        <is>
          <t>SÄFFLE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40819-2022</t>
        </is>
      </c>
      <c r="B7664" s="1" t="n">
        <v>44824</v>
      </c>
      <c r="C7664" s="1" t="n">
        <v>45736</v>
      </c>
      <c r="D7664" t="inlineStr">
        <is>
          <t>VÄRMLANDS LÄN</t>
        </is>
      </c>
      <c r="E7664" t="inlineStr">
        <is>
          <t>ÅRJÄNG</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41386-2022</t>
        </is>
      </c>
      <c r="B7665" s="1" t="n">
        <v>44824</v>
      </c>
      <c r="C7665" s="1" t="n">
        <v>45736</v>
      </c>
      <c r="D7665" t="inlineStr">
        <is>
          <t>VÄRMLANDS LÄN</t>
        </is>
      </c>
      <c r="E7665" t="inlineStr">
        <is>
          <t>ÅRJÄNG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40860-2022</t>
        </is>
      </c>
      <c r="B7666" s="1" t="n">
        <v>44825</v>
      </c>
      <c r="C7666" s="1" t="n">
        <v>45736</v>
      </c>
      <c r="D7666" t="inlineStr">
        <is>
          <t>VÄRMLANDS LÄN</t>
        </is>
      </c>
      <c r="E7666" t="inlineStr">
        <is>
          <t>ÅRJÄNG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40878-2022</t>
        </is>
      </c>
      <c r="B7667" s="1" t="n">
        <v>44825</v>
      </c>
      <c r="C7667" s="1" t="n">
        <v>45736</v>
      </c>
      <c r="D7667" t="inlineStr">
        <is>
          <t>VÄRMLANDS LÄN</t>
        </is>
      </c>
      <c r="E7667" t="inlineStr">
        <is>
          <t>ÅRJÄNG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40949-2022</t>
        </is>
      </c>
      <c r="B7668" s="1" t="n">
        <v>44825</v>
      </c>
      <c r="C7668" s="1" t="n">
        <v>45736</v>
      </c>
      <c r="D7668" t="inlineStr">
        <is>
          <t>VÄRMLANDS LÄN</t>
        </is>
      </c>
      <c r="E7668" t="inlineStr">
        <is>
          <t>ARVIKA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40997-2022</t>
        </is>
      </c>
      <c r="B7669" s="1" t="n">
        <v>44825</v>
      </c>
      <c r="C7669" s="1" t="n">
        <v>45736</v>
      </c>
      <c r="D7669" t="inlineStr">
        <is>
          <t>VÄRMLANDS LÄN</t>
        </is>
      </c>
      <c r="E7669" t="inlineStr">
        <is>
          <t>TORSBY</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40887-2022</t>
        </is>
      </c>
      <c r="B7670" s="1" t="n">
        <v>44825</v>
      </c>
      <c r="C7670" s="1" t="n">
        <v>45736</v>
      </c>
      <c r="D7670" t="inlineStr">
        <is>
          <t>VÄRMLANDS LÄN</t>
        </is>
      </c>
      <c r="E7670" t="inlineStr">
        <is>
          <t>SÄFFLE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41065-2022</t>
        </is>
      </c>
      <c r="B7671" s="1" t="n">
        <v>44825</v>
      </c>
      <c r="C7671" s="1" t="n">
        <v>45736</v>
      </c>
      <c r="D7671" t="inlineStr">
        <is>
          <t>VÄRMLANDS LÄN</t>
        </is>
      </c>
      <c r="E7671" t="inlineStr">
        <is>
          <t>TORSBY</t>
        </is>
      </c>
      <c r="F7671" t="inlineStr">
        <is>
          <t>Kommuner</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41074-2022</t>
        </is>
      </c>
      <c r="B7672" s="1" t="n">
        <v>44825</v>
      </c>
      <c r="C7672" s="1" t="n">
        <v>45736</v>
      </c>
      <c r="D7672" t="inlineStr">
        <is>
          <t>VÄRMLANDS LÄN</t>
        </is>
      </c>
      <c r="E7672" t="inlineStr">
        <is>
          <t>KIL</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41062-2022</t>
        </is>
      </c>
      <c r="B7673" s="1" t="n">
        <v>44825</v>
      </c>
      <c r="C7673" s="1" t="n">
        <v>45736</v>
      </c>
      <c r="D7673" t="inlineStr">
        <is>
          <t>VÄRMLANDS LÄN</t>
        </is>
      </c>
      <c r="E7673" t="inlineStr">
        <is>
          <t>HAGFORS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40996-2022</t>
        </is>
      </c>
      <c r="B7674" s="1" t="n">
        <v>44825</v>
      </c>
      <c r="C7674" s="1" t="n">
        <v>45736</v>
      </c>
      <c r="D7674" t="inlineStr">
        <is>
          <t>VÄRMLANDS LÄN</t>
        </is>
      </c>
      <c r="E7674" t="inlineStr">
        <is>
          <t>KIL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40855-2022</t>
        </is>
      </c>
      <c r="B7675" s="1" t="n">
        <v>44825</v>
      </c>
      <c r="C7675" s="1" t="n">
        <v>45736</v>
      </c>
      <c r="D7675" t="inlineStr">
        <is>
          <t>VÄRMLANDS LÄN</t>
        </is>
      </c>
      <c r="E7675" t="inlineStr">
        <is>
          <t>KARLSTAD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40872-2022</t>
        </is>
      </c>
      <c r="B7676" s="1" t="n">
        <v>44825</v>
      </c>
      <c r="C7676" s="1" t="n">
        <v>45736</v>
      </c>
      <c r="D7676" t="inlineStr">
        <is>
          <t>VÄRMLANDS LÄN</t>
        </is>
      </c>
      <c r="E7676" t="inlineStr">
        <is>
          <t>ÅRJÄNG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41130-2022</t>
        </is>
      </c>
      <c r="B7677" s="1" t="n">
        <v>44825</v>
      </c>
      <c r="C7677" s="1" t="n">
        <v>45736</v>
      </c>
      <c r="D7677" t="inlineStr">
        <is>
          <t>VÄRMLANDS LÄN</t>
        </is>
      </c>
      <c r="E7677" t="inlineStr">
        <is>
          <t>TORSBY</t>
        </is>
      </c>
      <c r="F7677" t="inlineStr">
        <is>
          <t>Kyrkan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41150-2022</t>
        </is>
      </c>
      <c r="B7678" s="1" t="n">
        <v>44825</v>
      </c>
      <c r="C7678" s="1" t="n">
        <v>45736</v>
      </c>
      <c r="D7678" t="inlineStr">
        <is>
          <t>VÄRMLANDS LÄN</t>
        </is>
      </c>
      <c r="E7678" t="inlineStr">
        <is>
          <t>MUNKFORS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41539-2022</t>
        </is>
      </c>
      <c r="B7679" s="1" t="n">
        <v>44825</v>
      </c>
      <c r="C7679" s="1" t="n">
        <v>45736</v>
      </c>
      <c r="D7679" t="inlineStr">
        <is>
          <t>VÄRMLANDS LÄN</t>
        </is>
      </c>
      <c r="E7679" t="inlineStr">
        <is>
          <t>ÅRJÄNG</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41551-2022</t>
        </is>
      </c>
      <c r="B7680" s="1" t="n">
        <v>44825</v>
      </c>
      <c r="C7680" s="1" t="n">
        <v>45736</v>
      </c>
      <c r="D7680" t="inlineStr">
        <is>
          <t>VÄRMLANDS LÄN</t>
        </is>
      </c>
      <c r="E7680" t="inlineStr">
        <is>
          <t>KRISTINEHAMN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41315-2022</t>
        </is>
      </c>
      <c r="B7681" s="1" t="n">
        <v>44826</v>
      </c>
      <c r="C7681" s="1" t="n">
        <v>45736</v>
      </c>
      <c r="D7681" t="inlineStr">
        <is>
          <t>VÄRMLANDS LÄN</t>
        </is>
      </c>
      <c r="E7681" t="inlineStr">
        <is>
          <t>TORSBY</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41228-2022</t>
        </is>
      </c>
      <c r="B7682" s="1" t="n">
        <v>44826</v>
      </c>
      <c r="C7682" s="1" t="n">
        <v>45736</v>
      </c>
      <c r="D7682" t="inlineStr">
        <is>
          <t>VÄRMLANDS LÄN</t>
        </is>
      </c>
      <c r="E7682" t="inlineStr">
        <is>
          <t>ÅRJÄNG</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41322-2022</t>
        </is>
      </c>
      <c r="B7683" s="1" t="n">
        <v>44826</v>
      </c>
      <c r="C7683" s="1" t="n">
        <v>45736</v>
      </c>
      <c r="D7683" t="inlineStr">
        <is>
          <t>VÄRMLANDS LÄN</t>
        </is>
      </c>
      <c r="E7683" t="inlineStr">
        <is>
          <t>TORSBY</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41396-2022</t>
        </is>
      </c>
      <c r="B7684" s="1" t="n">
        <v>44826</v>
      </c>
      <c r="C7684" s="1" t="n">
        <v>45736</v>
      </c>
      <c r="D7684" t="inlineStr">
        <is>
          <t>VÄRMLANDS LÄN</t>
        </is>
      </c>
      <c r="E7684" t="inlineStr">
        <is>
          <t>MUNKFORS</t>
        </is>
      </c>
      <c r="F7684" t="inlineStr">
        <is>
          <t>Bergvik skog väst AB</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41686-2022</t>
        </is>
      </c>
      <c r="B7685" s="1" t="n">
        <v>44826</v>
      </c>
      <c r="C7685" s="1" t="n">
        <v>45736</v>
      </c>
      <c r="D7685" t="inlineStr">
        <is>
          <t>VÄRMLANDS LÄN</t>
        </is>
      </c>
      <c r="E7685" t="inlineStr">
        <is>
          <t>SÄFFLE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41569-2022</t>
        </is>
      </c>
      <c r="B7686" s="1" t="n">
        <v>44827</v>
      </c>
      <c r="C7686" s="1" t="n">
        <v>45736</v>
      </c>
      <c r="D7686" t="inlineStr">
        <is>
          <t>VÄRMLANDS LÄN</t>
        </is>
      </c>
      <c r="E7686" t="inlineStr">
        <is>
          <t>SUNNE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41550-2022</t>
        </is>
      </c>
      <c r="B7687" s="1" t="n">
        <v>44827</v>
      </c>
      <c r="C7687" s="1" t="n">
        <v>45736</v>
      </c>
      <c r="D7687" t="inlineStr">
        <is>
          <t>VÄRMLANDS LÄN</t>
        </is>
      </c>
      <c r="E7687" t="inlineStr">
        <is>
          <t>ÅRJÄNG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41589-2022</t>
        </is>
      </c>
      <c r="B7688" s="1" t="n">
        <v>44827</v>
      </c>
      <c r="C7688" s="1" t="n">
        <v>45736</v>
      </c>
      <c r="D7688" t="inlineStr">
        <is>
          <t>VÄRMLANDS LÄN</t>
        </is>
      </c>
      <c r="E7688" t="inlineStr">
        <is>
          <t>SÄFFLE</t>
        </is>
      </c>
      <c r="F7688" t="inlineStr">
        <is>
          <t>Bergvik skog väst AB</t>
        </is>
      </c>
      <c r="G7688" t="n">
        <v>22.2</v>
      </c>
      <c r="H7688" t="n">
        <v>0</v>
      </c>
      <c r="I7688" t="n">
        <v>0</v>
      </c>
      <c r="J7688" t="n">
        <v>0</v>
      </c>
      <c r="K7688" t="n">
        <v>0</v>
      </c>
      <c r="L7688" t="n">
        <v>0</v>
      </c>
      <c r="M7688" t="n">
        <v>0</v>
      </c>
      <c r="N7688" t="n">
        <v>0</v>
      </c>
      <c r="O7688" t="n">
        <v>0</v>
      </c>
      <c r="P7688" t="n">
        <v>0</v>
      </c>
      <c r="Q7688" t="n">
        <v>0</v>
      </c>
      <c r="R7688" s="2" t="inlineStr"/>
    </row>
    <row r="7689" ht="15" customHeight="1">
      <c r="A7689" t="inlineStr">
        <is>
          <t>A 41781-2022</t>
        </is>
      </c>
      <c r="B7689" s="1" t="n">
        <v>44827</v>
      </c>
      <c r="C7689" s="1" t="n">
        <v>45736</v>
      </c>
      <c r="D7689" t="inlineStr">
        <is>
          <t>VÄRMLANDS LÄN</t>
        </is>
      </c>
      <c r="E7689" t="inlineStr">
        <is>
          <t>TORSBY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41580-2022</t>
        </is>
      </c>
      <c r="B7690" s="1" t="n">
        <v>44827</v>
      </c>
      <c r="C7690" s="1" t="n">
        <v>45736</v>
      </c>
      <c r="D7690" t="inlineStr">
        <is>
          <t>VÄRMLANDS LÄN</t>
        </is>
      </c>
      <c r="E7690" t="inlineStr">
        <is>
          <t>ARVIKA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41675-2022</t>
        </is>
      </c>
      <c r="B7691" s="1" t="n">
        <v>44827</v>
      </c>
      <c r="C7691" s="1" t="n">
        <v>45736</v>
      </c>
      <c r="D7691" t="inlineStr">
        <is>
          <t>VÄRMLANDS LÄN</t>
        </is>
      </c>
      <c r="E7691" t="inlineStr">
        <is>
          <t>TORSBY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41590-2022</t>
        </is>
      </c>
      <c r="B7692" s="1" t="n">
        <v>44827</v>
      </c>
      <c r="C7692" s="1" t="n">
        <v>45736</v>
      </c>
      <c r="D7692" t="inlineStr">
        <is>
          <t>VÄRMLANDS LÄN</t>
        </is>
      </c>
      <c r="E7692" t="inlineStr">
        <is>
          <t>TORSBY</t>
        </is>
      </c>
      <c r="F7692" t="inlineStr">
        <is>
          <t>Bergvik skog väst AB</t>
        </is>
      </c>
      <c r="G7692" t="n">
        <v>42.5</v>
      </c>
      <c r="H7692" t="n">
        <v>0</v>
      </c>
      <c r="I7692" t="n">
        <v>0</v>
      </c>
      <c r="J7692" t="n">
        <v>0</v>
      </c>
      <c r="K7692" t="n">
        <v>0</v>
      </c>
      <c r="L7692" t="n">
        <v>0</v>
      </c>
      <c r="M7692" t="n">
        <v>0</v>
      </c>
      <c r="N7692" t="n">
        <v>0</v>
      </c>
      <c r="O7692" t="n">
        <v>0</v>
      </c>
      <c r="P7692" t="n">
        <v>0</v>
      </c>
      <c r="Q7692" t="n">
        <v>0</v>
      </c>
      <c r="R7692" s="2" t="inlineStr"/>
    </row>
    <row r="7693" ht="15" customHeight="1">
      <c r="A7693" t="inlineStr">
        <is>
          <t>A 41853-2022</t>
        </is>
      </c>
      <c r="B7693" s="1" t="n">
        <v>44829</v>
      </c>
      <c r="C7693" s="1" t="n">
        <v>45736</v>
      </c>
      <c r="D7693" t="inlineStr">
        <is>
          <t>VÄRMLANDS LÄN</t>
        </is>
      </c>
      <c r="E7693" t="inlineStr">
        <is>
          <t>KRISTINEHAMN</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41857-2022</t>
        </is>
      </c>
      <c r="B7694" s="1" t="n">
        <v>44829</v>
      </c>
      <c r="C7694" s="1" t="n">
        <v>45736</v>
      </c>
      <c r="D7694" t="inlineStr">
        <is>
          <t>VÄRMLANDS LÄN</t>
        </is>
      </c>
      <c r="E7694" t="inlineStr">
        <is>
          <t>SÄFFLE</t>
        </is>
      </c>
      <c r="F7694" t="inlineStr">
        <is>
          <t>Kommuner</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41858-2022</t>
        </is>
      </c>
      <c r="B7695" s="1" t="n">
        <v>44829</v>
      </c>
      <c r="C7695" s="1" t="n">
        <v>45736</v>
      </c>
      <c r="D7695" t="inlineStr">
        <is>
          <t>VÄRMLANDS LÄN</t>
        </is>
      </c>
      <c r="E7695" t="inlineStr">
        <is>
          <t>SÄFFLE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41975-2022</t>
        </is>
      </c>
      <c r="B7696" s="1" t="n">
        <v>44830</v>
      </c>
      <c r="C7696" s="1" t="n">
        <v>45736</v>
      </c>
      <c r="D7696" t="inlineStr">
        <is>
          <t>VÄRMLANDS LÄN</t>
        </is>
      </c>
      <c r="E7696" t="inlineStr">
        <is>
          <t>ÅRJÄNG</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42071-2022</t>
        </is>
      </c>
      <c r="B7697" s="1" t="n">
        <v>44830</v>
      </c>
      <c r="C7697" s="1" t="n">
        <v>45736</v>
      </c>
      <c r="D7697" t="inlineStr">
        <is>
          <t>VÄRMLANDS LÄN</t>
        </is>
      </c>
      <c r="E7697" t="inlineStr">
        <is>
          <t>SÄFFLE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42168-2022</t>
        </is>
      </c>
      <c r="B7698" s="1" t="n">
        <v>44830</v>
      </c>
      <c r="C7698" s="1" t="n">
        <v>45736</v>
      </c>
      <c r="D7698" t="inlineStr">
        <is>
          <t>VÄRMLANDS LÄN</t>
        </is>
      </c>
      <c r="E7698" t="inlineStr">
        <is>
          <t>HAGFORS</t>
        </is>
      </c>
      <c r="F7698" t="inlineStr">
        <is>
          <t>Bergvik skog väst AB</t>
        </is>
      </c>
      <c r="G7698" t="n">
        <v>8.1</v>
      </c>
      <c r="H7698" t="n">
        <v>0</v>
      </c>
      <c r="I7698" t="n">
        <v>0</v>
      </c>
      <c r="J7698" t="n">
        <v>0</v>
      </c>
      <c r="K7698" t="n">
        <v>0</v>
      </c>
      <c r="L7698" t="n">
        <v>0</v>
      </c>
      <c r="M7698" t="n">
        <v>0</v>
      </c>
      <c r="N7698" t="n">
        <v>0</v>
      </c>
      <c r="O7698" t="n">
        <v>0</v>
      </c>
      <c r="P7698" t="n">
        <v>0</v>
      </c>
      <c r="Q7698" t="n">
        <v>0</v>
      </c>
      <c r="R7698" s="2" t="inlineStr"/>
    </row>
    <row r="7699" ht="15" customHeight="1">
      <c r="A7699" t="inlineStr">
        <is>
          <t>A 42179-2022</t>
        </is>
      </c>
      <c r="B7699" s="1" t="n">
        <v>44830</v>
      </c>
      <c r="C7699" s="1" t="n">
        <v>45736</v>
      </c>
      <c r="D7699" t="inlineStr">
        <is>
          <t>VÄRMLANDS LÄN</t>
        </is>
      </c>
      <c r="E7699" t="inlineStr">
        <is>
          <t>ARVIKA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41982-2022</t>
        </is>
      </c>
      <c r="B7700" s="1" t="n">
        <v>44830</v>
      </c>
      <c r="C7700" s="1" t="n">
        <v>45736</v>
      </c>
      <c r="D7700" t="inlineStr">
        <is>
          <t>VÄRMLANDS LÄN</t>
        </is>
      </c>
      <c r="E7700" t="inlineStr">
        <is>
          <t>ÅRJÄNG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42163-2022</t>
        </is>
      </c>
      <c r="B7701" s="1" t="n">
        <v>44830</v>
      </c>
      <c r="C7701" s="1" t="n">
        <v>45736</v>
      </c>
      <c r="D7701" t="inlineStr">
        <is>
          <t>VÄRMLANDS LÄN</t>
        </is>
      </c>
      <c r="E7701" t="inlineStr">
        <is>
          <t>ARVIKA</t>
        </is>
      </c>
      <c r="F7701" t="inlineStr">
        <is>
          <t>Bergvik skog väst AB</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41986-2022</t>
        </is>
      </c>
      <c r="B7702" s="1" t="n">
        <v>44830</v>
      </c>
      <c r="C7702" s="1" t="n">
        <v>45736</v>
      </c>
      <c r="D7702" t="inlineStr">
        <is>
          <t>VÄRMLANDS LÄN</t>
        </is>
      </c>
      <c r="E7702" t="inlineStr">
        <is>
          <t>ÅRJÄNG</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41995-2022</t>
        </is>
      </c>
      <c r="B7703" s="1" t="n">
        <v>44830</v>
      </c>
      <c r="C7703" s="1" t="n">
        <v>45736</v>
      </c>
      <c r="D7703" t="inlineStr">
        <is>
          <t>VÄRMLANDS LÄN</t>
        </is>
      </c>
      <c r="E7703" t="inlineStr">
        <is>
          <t>TORSBY</t>
        </is>
      </c>
      <c r="F7703" t="inlineStr">
        <is>
          <t>Bergvik skog väst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42067-2022</t>
        </is>
      </c>
      <c r="B7704" s="1" t="n">
        <v>44830</v>
      </c>
      <c r="C7704" s="1" t="n">
        <v>45736</v>
      </c>
      <c r="D7704" t="inlineStr">
        <is>
          <t>VÄRMLANDS LÄN</t>
        </is>
      </c>
      <c r="E7704" t="inlineStr">
        <is>
          <t>SÄFFLE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42160-2022</t>
        </is>
      </c>
      <c r="B7705" s="1" t="n">
        <v>44830</v>
      </c>
      <c r="C7705" s="1" t="n">
        <v>45736</v>
      </c>
      <c r="D7705" t="inlineStr">
        <is>
          <t>VÄRMLANDS LÄN</t>
        </is>
      </c>
      <c r="E7705" t="inlineStr">
        <is>
          <t>ARVIKA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42149-2022</t>
        </is>
      </c>
      <c r="B7706" s="1" t="n">
        <v>44830</v>
      </c>
      <c r="C7706" s="1" t="n">
        <v>45736</v>
      </c>
      <c r="D7706" t="inlineStr">
        <is>
          <t>VÄRMLANDS LÄN</t>
        </is>
      </c>
      <c r="E7706" t="inlineStr">
        <is>
          <t>SUNNE</t>
        </is>
      </c>
      <c r="F7706" t="inlineStr">
        <is>
          <t>Bergvik skog väst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42156-2022</t>
        </is>
      </c>
      <c r="B7707" s="1" t="n">
        <v>44830</v>
      </c>
      <c r="C7707" s="1" t="n">
        <v>45736</v>
      </c>
      <c r="D7707" t="inlineStr">
        <is>
          <t>VÄRMLANDS LÄN</t>
        </is>
      </c>
      <c r="E7707" t="inlineStr">
        <is>
          <t>ARVIKA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42184-2022</t>
        </is>
      </c>
      <c r="B7708" s="1" t="n">
        <v>44830</v>
      </c>
      <c r="C7708" s="1" t="n">
        <v>45736</v>
      </c>
      <c r="D7708" t="inlineStr">
        <is>
          <t>VÄRMLANDS LÄN</t>
        </is>
      </c>
      <c r="E7708" t="inlineStr">
        <is>
          <t>ARVIKA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42207-2022</t>
        </is>
      </c>
      <c r="B7709" s="1" t="n">
        <v>44830</v>
      </c>
      <c r="C7709" s="1" t="n">
        <v>45736</v>
      </c>
      <c r="D7709" t="inlineStr">
        <is>
          <t>VÄRMLANDS LÄN</t>
        </is>
      </c>
      <c r="E7709" t="inlineStr">
        <is>
          <t>ARVIKA</t>
        </is>
      </c>
      <c r="F7709" t="inlineStr">
        <is>
          <t>Bergvik skog väst AB</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42443-2022</t>
        </is>
      </c>
      <c r="B7710" s="1" t="n">
        <v>44830</v>
      </c>
      <c r="C7710" s="1" t="n">
        <v>45736</v>
      </c>
      <c r="D7710" t="inlineStr">
        <is>
          <t>VÄRMLANDS LÄN</t>
        </is>
      </c>
      <c r="E7710" t="inlineStr">
        <is>
          <t>SUNNE</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42423-2022</t>
        </is>
      </c>
      <c r="B7711" s="1" t="n">
        <v>44830</v>
      </c>
      <c r="C7711" s="1" t="n">
        <v>45736</v>
      </c>
      <c r="D7711" t="inlineStr">
        <is>
          <t>VÄRMLANDS LÄN</t>
        </is>
      </c>
      <c r="E7711" t="inlineStr">
        <is>
          <t>HAGFORS</t>
        </is>
      </c>
      <c r="G7711" t="n">
        <v>10.9</v>
      </c>
      <c r="H7711" t="n">
        <v>0</v>
      </c>
      <c r="I7711" t="n">
        <v>0</v>
      </c>
      <c r="J7711" t="n">
        <v>0</v>
      </c>
      <c r="K7711" t="n">
        <v>0</v>
      </c>
      <c r="L7711" t="n">
        <v>0</v>
      </c>
      <c r="M7711" t="n">
        <v>0</v>
      </c>
      <c r="N7711" t="n">
        <v>0</v>
      </c>
      <c r="O7711" t="n">
        <v>0</v>
      </c>
      <c r="P7711" t="n">
        <v>0</v>
      </c>
      <c r="Q7711" t="n">
        <v>0</v>
      </c>
      <c r="R7711" s="2" t="inlineStr"/>
    </row>
    <row r="7712" ht="15" customHeight="1">
      <c r="A7712" t="inlineStr">
        <is>
          <t>A 42324-2022</t>
        </is>
      </c>
      <c r="B7712" s="1" t="n">
        <v>44831</v>
      </c>
      <c r="C7712" s="1" t="n">
        <v>45736</v>
      </c>
      <c r="D7712" t="inlineStr">
        <is>
          <t>VÄRMLANDS LÄN</t>
        </is>
      </c>
      <c r="E7712" t="inlineStr">
        <is>
          <t>ARVIKA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42411-2022</t>
        </is>
      </c>
      <c r="B7713" s="1" t="n">
        <v>44831</v>
      </c>
      <c r="C7713" s="1" t="n">
        <v>45736</v>
      </c>
      <c r="D7713" t="inlineStr">
        <is>
          <t>VÄRMLANDS LÄN</t>
        </is>
      </c>
      <c r="E7713" t="inlineStr">
        <is>
          <t>KRISTINEHAMN</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42461-2022</t>
        </is>
      </c>
      <c r="B7714" s="1" t="n">
        <v>44831</v>
      </c>
      <c r="C7714" s="1" t="n">
        <v>45736</v>
      </c>
      <c r="D7714" t="inlineStr">
        <is>
          <t>VÄRMLANDS LÄN</t>
        </is>
      </c>
      <c r="E7714" t="inlineStr">
        <is>
          <t>ARVIKA</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42402-2022</t>
        </is>
      </c>
      <c r="B7715" s="1" t="n">
        <v>44831</v>
      </c>
      <c r="C7715" s="1" t="n">
        <v>45736</v>
      </c>
      <c r="D7715" t="inlineStr">
        <is>
          <t>VÄRMLANDS LÄN</t>
        </is>
      </c>
      <c r="E7715" t="inlineStr">
        <is>
          <t>SÄFFLE</t>
        </is>
      </c>
      <c r="F7715" t="inlineStr">
        <is>
          <t>Bergvik skog väst AB</t>
        </is>
      </c>
      <c r="G7715" t="n">
        <v>13.1</v>
      </c>
      <c r="H7715" t="n">
        <v>0</v>
      </c>
      <c r="I7715" t="n">
        <v>0</v>
      </c>
      <c r="J7715" t="n">
        <v>0</v>
      </c>
      <c r="K7715" t="n">
        <v>0</v>
      </c>
      <c r="L7715" t="n">
        <v>0</v>
      </c>
      <c r="M7715" t="n">
        <v>0</v>
      </c>
      <c r="N7715" t="n">
        <v>0</v>
      </c>
      <c r="O7715" t="n">
        <v>0</v>
      </c>
      <c r="P7715" t="n">
        <v>0</v>
      </c>
      <c r="Q7715" t="n">
        <v>0</v>
      </c>
      <c r="R7715" s="2" t="inlineStr"/>
    </row>
    <row r="7716" ht="15" customHeight="1">
      <c r="A7716" t="inlineStr">
        <is>
          <t>A 42408-2022</t>
        </is>
      </c>
      <c r="B7716" s="1" t="n">
        <v>44831</v>
      </c>
      <c r="C7716" s="1" t="n">
        <v>45736</v>
      </c>
      <c r="D7716" t="inlineStr">
        <is>
          <t>VÄRMLANDS LÄN</t>
        </is>
      </c>
      <c r="E7716" t="inlineStr">
        <is>
          <t>KRISTINEHAMN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42418-2022</t>
        </is>
      </c>
      <c r="B7717" s="1" t="n">
        <v>44831</v>
      </c>
      <c r="C7717" s="1" t="n">
        <v>45736</v>
      </c>
      <c r="D7717" t="inlineStr">
        <is>
          <t>VÄRMLANDS LÄN</t>
        </is>
      </c>
      <c r="E7717" t="inlineStr">
        <is>
          <t>ARVIKA</t>
        </is>
      </c>
      <c r="F7717" t="inlineStr">
        <is>
          <t>Bergvik skog väst AB</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42388-2022</t>
        </is>
      </c>
      <c r="B7718" s="1" t="n">
        <v>44831</v>
      </c>
      <c r="C7718" s="1" t="n">
        <v>45736</v>
      </c>
      <c r="D7718" t="inlineStr">
        <is>
          <t>VÄRMLANDS LÄN</t>
        </is>
      </c>
      <c r="E7718" t="inlineStr">
        <is>
          <t>SUNNE</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42538-2022</t>
        </is>
      </c>
      <c r="B7719" s="1" t="n">
        <v>44831</v>
      </c>
      <c r="C7719" s="1" t="n">
        <v>45736</v>
      </c>
      <c r="D7719" t="inlineStr">
        <is>
          <t>VÄRMLANDS LÄN</t>
        </is>
      </c>
      <c r="E7719" t="inlineStr">
        <is>
          <t>SUNNE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42549-2022</t>
        </is>
      </c>
      <c r="B7720" s="1" t="n">
        <v>44831</v>
      </c>
      <c r="C7720" s="1" t="n">
        <v>45736</v>
      </c>
      <c r="D7720" t="inlineStr">
        <is>
          <t>VÄRMLANDS LÄN</t>
        </is>
      </c>
      <c r="E7720" t="inlineStr">
        <is>
          <t>EDA</t>
        </is>
      </c>
      <c r="F7720" t="inlineStr">
        <is>
          <t>Bergvik skog väst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42588-2022</t>
        </is>
      </c>
      <c r="B7721" s="1" t="n">
        <v>44831</v>
      </c>
      <c r="C7721" s="1" t="n">
        <v>45736</v>
      </c>
      <c r="D7721" t="inlineStr">
        <is>
          <t>VÄRMLANDS LÄN</t>
        </is>
      </c>
      <c r="E7721" t="inlineStr">
        <is>
          <t>TORSBY</t>
        </is>
      </c>
      <c r="F7721" t="inlineStr">
        <is>
          <t>Bergvik skog väst AB</t>
        </is>
      </c>
      <c r="G7721" t="n">
        <v>41.4</v>
      </c>
      <c r="H7721" t="n">
        <v>0</v>
      </c>
      <c r="I7721" t="n">
        <v>0</v>
      </c>
      <c r="J7721" t="n">
        <v>0</v>
      </c>
      <c r="K7721" t="n">
        <v>0</v>
      </c>
      <c r="L7721" t="n">
        <v>0</v>
      </c>
      <c r="M7721" t="n">
        <v>0</v>
      </c>
      <c r="N7721" t="n">
        <v>0</v>
      </c>
      <c r="O7721" t="n">
        <v>0</v>
      </c>
      <c r="P7721" t="n">
        <v>0</v>
      </c>
      <c r="Q7721" t="n">
        <v>0</v>
      </c>
      <c r="R7721" s="2" t="inlineStr"/>
    </row>
    <row r="7722" ht="15" customHeight="1">
      <c r="A7722" t="inlineStr">
        <is>
          <t>A 42624-2022</t>
        </is>
      </c>
      <c r="B7722" s="1" t="n">
        <v>44831</v>
      </c>
      <c r="C7722" s="1" t="n">
        <v>45736</v>
      </c>
      <c r="D7722" t="inlineStr">
        <is>
          <t>VÄRMLANDS LÄN</t>
        </is>
      </c>
      <c r="E7722" t="inlineStr">
        <is>
          <t>SUNNE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42557-2022</t>
        </is>
      </c>
      <c r="B7723" s="1" t="n">
        <v>44831</v>
      </c>
      <c r="C7723" s="1" t="n">
        <v>45736</v>
      </c>
      <c r="D7723" t="inlineStr">
        <is>
          <t>VÄRMLANDS LÄN</t>
        </is>
      </c>
      <c r="E7723" t="inlineStr">
        <is>
          <t>GRUMS</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42739-2022</t>
        </is>
      </c>
      <c r="B7724" s="1" t="n">
        <v>44832</v>
      </c>
      <c r="C7724" s="1" t="n">
        <v>45736</v>
      </c>
      <c r="D7724" t="inlineStr">
        <is>
          <t>VÄRMLANDS LÄN</t>
        </is>
      </c>
      <c r="E7724" t="inlineStr">
        <is>
          <t>HAGFORS</t>
        </is>
      </c>
      <c r="F7724" t="inlineStr">
        <is>
          <t>Bergvik skog väst AB</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42784-2022</t>
        </is>
      </c>
      <c r="B7725" s="1" t="n">
        <v>44832</v>
      </c>
      <c r="C7725" s="1" t="n">
        <v>45736</v>
      </c>
      <c r="D7725" t="inlineStr">
        <is>
          <t>VÄRMLANDS LÄN</t>
        </is>
      </c>
      <c r="E7725" t="inlineStr">
        <is>
          <t>TORSBY</t>
        </is>
      </c>
      <c r="F7725" t="inlineStr">
        <is>
          <t>Bergvik skog väst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42777-2022</t>
        </is>
      </c>
      <c r="B7726" s="1" t="n">
        <v>44832</v>
      </c>
      <c r="C7726" s="1" t="n">
        <v>45736</v>
      </c>
      <c r="D7726" t="inlineStr">
        <is>
          <t>VÄRMLANDS LÄN</t>
        </is>
      </c>
      <c r="E7726" t="inlineStr">
        <is>
          <t>HAGFORS</t>
        </is>
      </c>
      <c r="F7726" t="inlineStr">
        <is>
          <t>Bergvik skog väst AB</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42701-2022</t>
        </is>
      </c>
      <c r="B7727" s="1" t="n">
        <v>44832</v>
      </c>
      <c r="C7727" s="1" t="n">
        <v>45736</v>
      </c>
      <c r="D7727" t="inlineStr">
        <is>
          <t>VÄRMLANDS LÄN</t>
        </is>
      </c>
      <c r="E7727" t="inlineStr">
        <is>
          <t>TORSBY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42742-2022</t>
        </is>
      </c>
      <c r="B7728" s="1" t="n">
        <v>44832</v>
      </c>
      <c r="C7728" s="1" t="n">
        <v>45736</v>
      </c>
      <c r="D7728" t="inlineStr">
        <is>
          <t>VÄRMLANDS LÄN</t>
        </is>
      </c>
      <c r="E7728" t="inlineStr">
        <is>
          <t>HAGFORS</t>
        </is>
      </c>
      <c r="F7728" t="inlineStr">
        <is>
          <t>Bergvik skog väst AB</t>
        </is>
      </c>
      <c r="G7728" t="n">
        <v>39.3</v>
      </c>
      <c r="H7728" t="n">
        <v>0</v>
      </c>
      <c r="I7728" t="n">
        <v>0</v>
      </c>
      <c r="J7728" t="n">
        <v>0</v>
      </c>
      <c r="K7728" t="n">
        <v>0</v>
      </c>
      <c r="L7728" t="n">
        <v>0</v>
      </c>
      <c r="M7728" t="n">
        <v>0</v>
      </c>
      <c r="N7728" t="n">
        <v>0</v>
      </c>
      <c r="O7728" t="n">
        <v>0</v>
      </c>
      <c r="P7728" t="n">
        <v>0</v>
      </c>
      <c r="Q7728" t="n">
        <v>0</v>
      </c>
      <c r="R7728" s="2" t="inlineStr"/>
    </row>
    <row r="7729" ht="15" customHeight="1">
      <c r="A7729" t="inlineStr">
        <is>
          <t>A 42759-2022</t>
        </is>
      </c>
      <c r="B7729" s="1" t="n">
        <v>44832</v>
      </c>
      <c r="C7729" s="1" t="n">
        <v>45736</v>
      </c>
      <c r="D7729" t="inlineStr">
        <is>
          <t>VÄRMLANDS LÄN</t>
        </is>
      </c>
      <c r="E7729" t="inlineStr">
        <is>
          <t>FILIPSTAD</t>
        </is>
      </c>
      <c r="F7729" t="inlineStr">
        <is>
          <t>Bergvik skog väst AB</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42768-2022</t>
        </is>
      </c>
      <c r="B7730" s="1" t="n">
        <v>44832</v>
      </c>
      <c r="C7730" s="1" t="n">
        <v>45736</v>
      </c>
      <c r="D7730" t="inlineStr">
        <is>
          <t>VÄRMLANDS LÄN</t>
        </is>
      </c>
      <c r="E7730" t="inlineStr">
        <is>
          <t>ÅRJÄNG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42800-2022</t>
        </is>
      </c>
      <c r="B7731" s="1" t="n">
        <v>44832</v>
      </c>
      <c r="C7731" s="1" t="n">
        <v>45736</v>
      </c>
      <c r="D7731" t="inlineStr">
        <is>
          <t>VÄRMLANDS LÄN</t>
        </is>
      </c>
      <c r="E7731" t="inlineStr">
        <is>
          <t>ÅRJÄNG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42986-2022</t>
        </is>
      </c>
      <c r="B7732" s="1" t="n">
        <v>44833</v>
      </c>
      <c r="C7732" s="1" t="n">
        <v>45736</v>
      </c>
      <c r="D7732" t="inlineStr">
        <is>
          <t>VÄRMLANDS LÄN</t>
        </is>
      </c>
      <c r="E7732" t="inlineStr">
        <is>
          <t>ARVIKA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42952-2022</t>
        </is>
      </c>
      <c r="B7733" s="1" t="n">
        <v>44833</v>
      </c>
      <c r="C7733" s="1" t="n">
        <v>45736</v>
      </c>
      <c r="D7733" t="inlineStr">
        <is>
          <t>VÄRMLANDS LÄN</t>
        </is>
      </c>
      <c r="E7733" t="inlineStr">
        <is>
          <t>KIL</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42958-2022</t>
        </is>
      </c>
      <c r="B7734" s="1" t="n">
        <v>44833</v>
      </c>
      <c r="C7734" s="1" t="n">
        <v>45736</v>
      </c>
      <c r="D7734" t="inlineStr">
        <is>
          <t>VÄRMLANDS LÄN</t>
        </is>
      </c>
      <c r="E7734" t="inlineStr">
        <is>
          <t>FILIPSTAD</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43022-2022</t>
        </is>
      </c>
      <c r="B7735" s="1" t="n">
        <v>44833</v>
      </c>
      <c r="C7735" s="1" t="n">
        <v>45736</v>
      </c>
      <c r="D7735" t="inlineStr">
        <is>
          <t>VÄRMLANDS LÄN</t>
        </is>
      </c>
      <c r="E7735" t="inlineStr">
        <is>
          <t>TORSBY</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43083-2022</t>
        </is>
      </c>
      <c r="B7736" s="1" t="n">
        <v>44833</v>
      </c>
      <c r="C7736" s="1" t="n">
        <v>45736</v>
      </c>
      <c r="D7736" t="inlineStr">
        <is>
          <t>VÄRMLANDS LÄN</t>
        </is>
      </c>
      <c r="E7736" t="inlineStr">
        <is>
          <t>SUNNE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43092-2022</t>
        </is>
      </c>
      <c r="B7737" s="1" t="n">
        <v>44833</v>
      </c>
      <c r="C7737" s="1" t="n">
        <v>45736</v>
      </c>
      <c r="D7737" t="inlineStr">
        <is>
          <t>VÄRMLANDS LÄN</t>
        </is>
      </c>
      <c r="E7737" t="inlineStr">
        <is>
          <t>SUNNE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43089-2022</t>
        </is>
      </c>
      <c r="B7738" s="1" t="n">
        <v>44833</v>
      </c>
      <c r="C7738" s="1" t="n">
        <v>45736</v>
      </c>
      <c r="D7738" t="inlineStr">
        <is>
          <t>VÄRMLANDS LÄN</t>
        </is>
      </c>
      <c r="E7738" t="inlineStr">
        <is>
          <t>SUNNE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43111-2022</t>
        </is>
      </c>
      <c r="B7739" s="1" t="n">
        <v>44833</v>
      </c>
      <c r="C7739" s="1" t="n">
        <v>45736</v>
      </c>
      <c r="D7739" t="inlineStr">
        <is>
          <t>VÄRMLANDS LÄN</t>
        </is>
      </c>
      <c r="E7739" t="inlineStr">
        <is>
          <t>TORSBY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43213-2022</t>
        </is>
      </c>
      <c r="B7740" s="1" t="n">
        <v>44834</v>
      </c>
      <c r="C7740" s="1" t="n">
        <v>45736</v>
      </c>
      <c r="D7740" t="inlineStr">
        <is>
          <t>VÄRMLANDS LÄN</t>
        </is>
      </c>
      <c r="E7740" t="inlineStr">
        <is>
          <t>ARVIKA</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43305-2022</t>
        </is>
      </c>
      <c r="B7741" s="1" t="n">
        <v>44834</v>
      </c>
      <c r="C7741" s="1" t="n">
        <v>45736</v>
      </c>
      <c r="D7741" t="inlineStr">
        <is>
          <t>VÄRMLANDS LÄN</t>
        </is>
      </c>
      <c r="E7741" t="inlineStr">
        <is>
          <t>SUNNE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43313-2022</t>
        </is>
      </c>
      <c r="B7742" s="1" t="n">
        <v>44834</v>
      </c>
      <c r="C7742" s="1" t="n">
        <v>45736</v>
      </c>
      <c r="D7742" t="inlineStr">
        <is>
          <t>VÄRMLANDS LÄN</t>
        </is>
      </c>
      <c r="E7742" t="inlineStr">
        <is>
          <t>FILIPSTAD</t>
        </is>
      </c>
      <c r="F7742" t="inlineStr">
        <is>
          <t>Bergvik skog väst AB</t>
        </is>
      </c>
      <c r="G7742" t="n">
        <v>14.7</v>
      </c>
      <c r="H7742" t="n">
        <v>0</v>
      </c>
      <c r="I7742" t="n">
        <v>0</v>
      </c>
      <c r="J7742" t="n">
        <v>0</v>
      </c>
      <c r="K7742" t="n">
        <v>0</v>
      </c>
      <c r="L7742" t="n">
        <v>0</v>
      </c>
      <c r="M7742" t="n">
        <v>0</v>
      </c>
      <c r="N7742" t="n">
        <v>0</v>
      </c>
      <c r="O7742" t="n">
        <v>0</v>
      </c>
      <c r="P7742" t="n">
        <v>0</v>
      </c>
      <c r="Q7742" t="n">
        <v>0</v>
      </c>
      <c r="R7742" s="2" t="inlineStr"/>
    </row>
    <row r="7743" ht="15" customHeight="1">
      <c r="A7743" t="inlineStr">
        <is>
          <t>A 43346-2022</t>
        </is>
      </c>
      <c r="B7743" s="1" t="n">
        <v>44834</v>
      </c>
      <c r="C7743" s="1" t="n">
        <v>45736</v>
      </c>
      <c r="D7743" t="inlineStr">
        <is>
          <t>VÄRMLANDS LÄN</t>
        </is>
      </c>
      <c r="E7743" t="inlineStr">
        <is>
          <t>HAGFORS</t>
        </is>
      </c>
      <c r="F7743" t="inlineStr">
        <is>
          <t>Bergvik skog väst AB</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43248-2022</t>
        </is>
      </c>
      <c r="B7744" s="1" t="n">
        <v>44834</v>
      </c>
      <c r="C7744" s="1" t="n">
        <v>45736</v>
      </c>
      <c r="D7744" t="inlineStr">
        <is>
          <t>VÄRMLANDS LÄN</t>
        </is>
      </c>
      <c r="E7744" t="inlineStr">
        <is>
          <t>TORSBY</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43309-2022</t>
        </is>
      </c>
      <c r="B7745" s="1" t="n">
        <v>44834</v>
      </c>
      <c r="C7745" s="1" t="n">
        <v>45736</v>
      </c>
      <c r="D7745" t="inlineStr">
        <is>
          <t>VÄRMLANDS LÄN</t>
        </is>
      </c>
      <c r="E7745" t="inlineStr">
        <is>
          <t>HAGFORS</t>
        </is>
      </c>
      <c r="F7745" t="inlineStr">
        <is>
          <t>Kyrkan</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43315-2022</t>
        </is>
      </c>
      <c r="B7746" s="1" t="n">
        <v>44834</v>
      </c>
      <c r="C7746" s="1" t="n">
        <v>45736</v>
      </c>
      <c r="D7746" t="inlineStr">
        <is>
          <t>VÄRMLANDS LÄN</t>
        </is>
      </c>
      <c r="E7746" t="inlineStr">
        <is>
          <t>EDA</t>
        </is>
      </c>
      <c r="F7746" t="inlineStr">
        <is>
          <t>Kommuner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43224-2022</t>
        </is>
      </c>
      <c r="B7747" s="1" t="n">
        <v>44834</v>
      </c>
      <c r="C7747" s="1" t="n">
        <v>45736</v>
      </c>
      <c r="D7747" t="inlineStr">
        <is>
          <t>VÄRMLANDS LÄN</t>
        </is>
      </c>
      <c r="E7747" t="inlineStr">
        <is>
          <t>STORFORS</t>
        </is>
      </c>
      <c r="F7747" t="inlineStr">
        <is>
          <t>Bergvik skog väst AB</t>
        </is>
      </c>
      <c r="G7747" t="n">
        <v>29.5</v>
      </c>
      <c r="H7747" t="n">
        <v>0</v>
      </c>
      <c r="I7747" t="n">
        <v>0</v>
      </c>
      <c r="J7747" t="n">
        <v>0</v>
      </c>
      <c r="K7747" t="n">
        <v>0</v>
      </c>
      <c r="L7747" t="n">
        <v>0</v>
      </c>
      <c r="M7747" t="n">
        <v>0</v>
      </c>
      <c r="N7747" t="n">
        <v>0</v>
      </c>
      <c r="O7747" t="n">
        <v>0</v>
      </c>
      <c r="P7747" t="n">
        <v>0</v>
      </c>
      <c r="Q7747" t="n">
        <v>0</v>
      </c>
      <c r="R7747" s="2" t="inlineStr"/>
    </row>
    <row r="7748" ht="15" customHeight="1">
      <c r="A7748" t="inlineStr">
        <is>
          <t>A 43302-2022</t>
        </is>
      </c>
      <c r="B7748" s="1" t="n">
        <v>44834</v>
      </c>
      <c r="C7748" s="1" t="n">
        <v>45736</v>
      </c>
      <c r="D7748" t="inlineStr">
        <is>
          <t>VÄRMLANDS LÄN</t>
        </is>
      </c>
      <c r="E7748" t="inlineStr">
        <is>
          <t>SUNNE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43308-2022</t>
        </is>
      </c>
      <c r="B7749" s="1" t="n">
        <v>44834</v>
      </c>
      <c r="C7749" s="1" t="n">
        <v>45736</v>
      </c>
      <c r="D7749" t="inlineStr">
        <is>
          <t>VÄRMLANDS LÄN</t>
        </is>
      </c>
      <c r="E7749" t="inlineStr">
        <is>
          <t>SUNNE</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43289-2022</t>
        </is>
      </c>
      <c r="B7750" s="1" t="n">
        <v>44834</v>
      </c>
      <c r="C7750" s="1" t="n">
        <v>45736</v>
      </c>
      <c r="D7750" t="inlineStr">
        <is>
          <t>VÄRMLANDS LÄN</t>
        </is>
      </c>
      <c r="E7750" t="inlineStr">
        <is>
          <t>TORSBY</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43345-2022</t>
        </is>
      </c>
      <c r="B7751" s="1" t="n">
        <v>44834</v>
      </c>
      <c r="C7751" s="1" t="n">
        <v>45736</v>
      </c>
      <c r="D7751" t="inlineStr">
        <is>
          <t>VÄRMLANDS LÄN</t>
        </is>
      </c>
      <c r="E7751" t="inlineStr">
        <is>
          <t>KIL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43375-2022</t>
        </is>
      </c>
      <c r="B7752" s="1" t="n">
        <v>44834</v>
      </c>
      <c r="C7752" s="1" t="n">
        <v>45736</v>
      </c>
      <c r="D7752" t="inlineStr">
        <is>
          <t>VÄRMLANDS LÄN</t>
        </is>
      </c>
      <c r="E7752" t="inlineStr">
        <is>
          <t>SUNNE</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43407-2022</t>
        </is>
      </c>
      <c r="B7753" s="1" t="n">
        <v>44834</v>
      </c>
      <c r="C7753" s="1" t="n">
        <v>45736</v>
      </c>
      <c r="D7753" t="inlineStr">
        <is>
          <t>VÄRMLANDS LÄN</t>
        </is>
      </c>
      <c r="E7753" t="inlineStr">
        <is>
          <t>STORFORS</t>
        </is>
      </c>
      <c r="F7753" t="inlineStr">
        <is>
          <t>Bergvik skog väst AB</t>
        </is>
      </c>
      <c r="G7753" t="n">
        <v>7.1</v>
      </c>
      <c r="H7753" t="n">
        <v>0</v>
      </c>
      <c r="I7753" t="n">
        <v>0</v>
      </c>
      <c r="J7753" t="n">
        <v>0</v>
      </c>
      <c r="K7753" t="n">
        <v>0</v>
      </c>
      <c r="L7753" t="n">
        <v>0</v>
      </c>
      <c r="M7753" t="n">
        <v>0</v>
      </c>
      <c r="N7753" t="n">
        <v>0</v>
      </c>
      <c r="O7753" t="n">
        <v>0</v>
      </c>
      <c r="P7753" t="n">
        <v>0</v>
      </c>
      <c r="Q7753" t="n">
        <v>0</v>
      </c>
      <c r="R7753" s="2" t="inlineStr"/>
    </row>
    <row r="7754" ht="15" customHeight="1">
      <c r="A7754" t="inlineStr">
        <is>
          <t>A 43338-2022</t>
        </is>
      </c>
      <c r="B7754" s="1" t="n">
        <v>44834</v>
      </c>
      <c r="C7754" s="1" t="n">
        <v>45736</v>
      </c>
      <c r="D7754" t="inlineStr">
        <is>
          <t>VÄRMLANDS LÄN</t>
        </is>
      </c>
      <c r="E7754" t="inlineStr">
        <is>
          <t>STORFORS</t>
        </is>
      </c>
      <c r="F7754" t="inlineStr">
        <is>
          <t>Bergvik skog väst AB</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43558-2022</t>
        </is>
      </c>
      <c r="B7755" s="1" t="n">
        <v>44834</v>
      </c>
      <c r="C7755" s="1" t="n">
        <v>45736</v>
      </c>
      <c r="D7755" t="inlineStr">
        <is>
          <t>VÄRMLANDS LÄN</t>
        </is>
      </c>
      <c r="E7755" t="inlineStr">
        <is>
          <t>KRISTINEHAMN</t>
        </is>
      </c>
      <c r="G7755" t="n">
        <v>12.1</v>
      </c>
      <c r="H7755" t="n">
        <v>0</v>
      </c>
      <c r="I7755" t="n">
        <v>0</v>
      </c>
      <c r="J7755" t="n">
        <v>0</v>
      </c>
      <c r="K7755" t="n">
        <v>0</v>
      </c>
      <c r="L7755" t="n">
        <v>0</v>
      </c>
      <c r="M7755" t="n">
        <v>0</v>
      </c>
      <c r="N7755" t="n">
        <v>0</v>
      </c>
      <c r="O7755" t="n">
        <v>0</v>
      </c>
      <c r="P7755" t="n">
        <v>0</v>
      </c>
      <c r="Q7755" t="n">
        <v>0</v>
      </c>
      <c r="R7755" s="2" t="inlineStr"/>
    </row>
    <row r="7756" ht="15" customHeight="1">
      <c r="A7756" t="inlineStr">
        <is>
          <t>A 43472-2022</t>
        </is>
      </c>
      <c r="B7756" s="1" t="n">
        <v>44836</v>
      </c>
      <c r="C7756" s="1" t="n">
        <v>45736</v>
      </c>
      <c r="D7756" t="inlineStr">
        <is>
          <t>VÄRMLANDS LÄN</t>
        </is>
      </c>
      <c r="E7756" t="inlineStr">
        <is>
          <t>FORSHAGA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43475-2022</t>
        </is>
      </c>
      <c r="B7757" s="1" t="n">
        <v>44836</v>
      </c>
      <c r="C7757" s="1" t="n">
        <v>45736</v>
      </c>
      <c r="D7757" t="inlineStr">
        <is>
          <t>VÄRMLANDS LÄN</t>
        </is>
      </c>
      <c r="E7757" t="inlineStr">
        <is>
          <t>HAGFORS</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43465-2022</t>
        </is>
      </c>
      <c r="B7758" s="1" t="n">
        <v>44836</v>
      </c>
      <c r="C7758" s="1" t="n">
        <v>45736</v>
      </c>
      <c r="D7758" t="inlineStr">
        <is>
          <t>VÄRMLANDS LÄN</t>
        </is>
      </c>
      <c r="E7758" t="inlineStr">
        <is>
          <t>TORSBY</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43514-2022</t>
        </is>
      </c>
      <c r="B7759" s="1" t="n">
        <v>44837</v>
      </c>
      <c r="C7759" s="1" t="n">
        <v>45736</v>
      </c>
      <c r="D7759" t="inlineStr">
        <is>
          <t>VÄRMLANDS LÄN</t>
        </is>
      </c>
      <c r="E7759" t="inlineStr">
        <is>
          <t>FILIPSTAD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43725-2022</t>
        </is>
      </c>
      <c r="B7760" s="1" t="n">
        <v>44837</v>
      </c>
      <c r="C7760" s="1" t="n">
        <v>45736</v>
      </c>
      <c r="D7760" t="inlineStr">
        <is>
          <t>VÄRMLANDS LÄN</t>
        </is>
      </c>
      <c r="E7760" t="inlineStr">
        <is>
          <t>EDA</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43586-2022</t>
        </is>
      </c>
      <c r="B7761" s="1" t="n">
        <v>44837</v>
      </c>
      <c r="C7761" s="1" t="n">
        <v>45736</v>
      </c>
      <c r="D7761" t="inlineStr">
        <is>
          <t>VÄRMLANDS LÄN</t>
        </is>
      </c>
      <c r="E7761" t="inlineStr">
        <is>
          <t>FILIPSTAD</t>
        </is>
      </c>
      <c r="F7761" t="inlineStr">
        <is>
          <t>Bergvik skog väst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43839-2022</t>
        </is>
      </c>
      <c r="B7762" s="1" t="n">
        <v>44838</v>
      </c>
      <c r="C7762" s="1" t="n">
        <v>45736</v>
      </c>
      <c r="D7762" t="inlineStr">
        <is>
          <t>VÄRMLANDS LÄN</t>
        </is>
      </c>
      <c r="E7762" t="inlineStr">
        <is>
          <t>SUNNE</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43943-2022</t>
        </is>
      </c>
      <c r="B7763" s="1" t="n">
        <v>44838</v>
      </c>
      <c r="C7763" s="1" t="n">
        <v>45736</v>
      </c>
      <c r="D7763" t="inlineStr">
        <is>
          <t>VÄRMLANDS LÄN</t>
        </is>
      </c>
      <c r="E7763" t="inlineStr">
        <is>
          <t>TORSBY</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43806-2022</t>
        </is>
      </c>
      <c r="B7764" s="1" t="n">
        <v>44838</v>
      </c>
      <c r="C7764" s="1" t="n">
        <v>45736</v>
      </c>
      <c r="D7764" t="inlineStr">
        <is>
          <t>VÄRMLANDS LÄN</t>
        </is>
      </c>
      <c r="E7764" t="inlineStr">
        <is>
          <t>GRUMS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43923-2022</t>
        </is>
      </c>
      <c r="B7765" s="1" t="n">
        <v>44838</v>
      </c>
      <c r="C7765" s="1" t="n">
        <v>45736</v>
      </c>
      <c r="D7765" t="inlineStr">
        <is>
          <t>VÄRMLANDS LÄN</t>
        </is>
      </c>
      <c r="E7765" t="inlineStr">
        <is>
          <t>SUNNE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43989-2022</t>
        </is>
      </c>
      <c r="B7766" s="1" t="n">
        <v>44838</v>
      </c>
      <c r="C7766" s="1" t="n">
        <v>45736</v>
      </c>
      <c r="D7766" t="inlineStr">
        <is>
          <t>VÄRMLANDS LÄN</t>
        </is>
      </c>
      <c r="E7766" t="inlineStr">
        <is>
          <t>TORSBY</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44214-2022</t>
        </is>
      </c>
      <c r="B7767" s="1" t="n">
        <v>44838</v>
      </c>
      <c r="C7767" s="1" t="n">
        <v>45736</v>
      </c>
      <c r="D7767" t="inlineStr">
        <is>
          <t>VÄRMLANDS LÄN</t>
        </is>
      </c>
      <c r="E7767" t="inlineStr">
        <is>
          <t>TORSBY</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44340-2022</t>
        </is>
      </c>
      <c r="B7768" s="1" t="n">
        <v>44838</v>
      </c>
      <c r="C7768" s="1" t="n">
        <v>45736</v>
      </c>
      <c r="D7768" t="inlineStr">
        <is>
          <t>VÄRMLANDS LÄN</t>
        </is>
      </c>
      <c r="E7768" t="inlineStr">
        <is>
          <t>TORSBY</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44170-2022</t>
        </is>
      </c>
      <c r="B7769" s="1" t="n">
        <v>44838</v>
      </c>
      <c r="C7769" s="1" t="n">
        <v>45736</v>
      </c>
      <c r="D7769" t="inlineStr">
        <is>
          <t>VÄRMLANDS LÄN</t>
        </is>
      </c>
      <c r="E7769" t="inlineStr">
        <is>
          <t>TORSBY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44149-2022</t>
        </is>
      </c>
      <c r="B7770" s="1" t="n">
        <v>44839</v>
      </c>
      <c r="C7770" s="1" t="n">
        <v>45736</v>
      </c>
      <c r="D7770" t="inlineStr">
        <is>
          <t>VÄRMLANDS LÄN</t>
        </is>
      </c>
      <c r="E7770" t="inlineStr">
        <is>
          <t>TORSBY</t>
        </is>
      </c>
      <c r="F7770" t="inlineStr">
        <is>
          <t>Bergvik skog väst AB</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44159-2022</t>
        </is>
      </c>
      <c r="B7771" s="1" t="n">
        <v>44839</v>
      </c>
      <c r="C7771" s="1" t="n">
        <v>45736</v>
      </c>
      <c r="D7771" t="inlineStr">
        <is>
          <t>VÄRMLANDS LÄN</t>
        </is>
      </c>
      <c r="E7771" t="inlineStr">
        <is>
          <t>ARVIKA</t>
        </is>
      </c>
      <c r="F7771" t="inlineStr">
        <is>
          <t>Bergvik skog väst AB</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44084-2022</t>
        </is>
      </c>
      <c r="B7772" s="1" t="n">
        <v>44839</v>
      </c>
      <c r="C7772" s="1" t="n">
        <v>45736</v>
      </c>
      <c r="D7772" t="inlineStr">
        <is>
          <t>VÄRMLANDS LÄN</t>
        </is>
      </c>
      <c r="E7772" t="inlineStr">
        <is>
          <t>ARVIKA</t>
        </is>
      </c>
      <c r="F7772" t="inlineStr">
        <is>
          <t>Bergvik skog väst AB</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44080-2022</t>
        </is>
      </c>
      <c r="B7773" s="1" t="n">
        <v>44839</v>
      </c>
      <c r="C7773" s="1" t="n">
        <v>45736</v>
      </c>
      <c r="D7773" t="inlineStr">
        <is>
          <t>VÄRMLANDS LÄN</t>
        </is>
      </c>
      <c r="E7773" t="inlineStr">
        <is>
          <t>KARLSTAD</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44196-2022</t>
        </is>
      </c>
      <c r="B7774" s="1" t="n">
        <v>44839</v>
      </c>
      <c r="C7774" s="1" t="n">
        <v>45736</v>
      </c>
      <c r="D7774" t="inlineStr">
        <is>
          <t>VÄRMLANDS LÄN</t>
        </is>
      </c>
      <c r="E7774" t="inlineStr">
        <is>
          <t>TORSBY</t>
        </is>
      </c>
      <c r="F7774" t="inlineStr">
        <is>
          <t>Bergvik skog väst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44203-2022</t>
        </is>
      </c>
      <c r="B7775" s="1" t="n">
        <v>44839</v>
      </c>
      <c r="C7775" s="1" t="n">
        <v>45736</v>
      </c>
      <c r="D7775" t="inlineStr">
        <is>
          <t>VÄRMLANDS LÄN</t>
        </is>
      </c>
      <c r="E7775" t="inlineStr">
        <is>
          <t>ÅRJÄNG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44246-2022</t>
        </is>
      </c>
      <c r="B7776" s="1" t="n">
        <v>44839</v>
      </c>
      <c r="C7776" s="1" t="n">
        <v>45736</v>
      </c>
      <c r="D7776" t="inlineStr">
        <is>
          <t>VÄRMLANDS LÄN</t>
        </is>
      </c>
      <c r="E7776" t="inlineStr">
        <is>
          <t>HAGFORS</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44327-2022</t>
        </is>
      </c>
      <c r="B7777" s="1" t="n">
        <v>44839</v>
      </c>
      <c r="C7777" s="1" t="n">
        <v>45736</v>
      </c>
      <c r="D7777" t="inlineStr">
        <is>
          <t>VÄRMLANDS LÄN</t>
        </is>
      </c>
      <c r="E7777" t="inlineStr">
        <is>
          <t>TORSBY</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44387-2022</t>
        </is>
      </c>
      <c r="B7778" s="1" t="n">
        <v>44839</v>
      </c>
      <c r="C7778" s="1" t="n">
        <v>45736</v>
      </c>
      <c r="D7778" t="inlineStr">
        <is>
          <t>VÄRMLANDS LÄN</t>
        </is>
      </c>
      <c r="E7778" t="inlineStr">
        <is>
          <t>ÅRJÄNG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44066-2022</t>
        </is>
      </c>
      <c r="B7779" s="1" t="n">
        <v>44839</v>
      </c>
      <c r="C7779" s="1" t="n">
        <v>45736</v>
      </c>
      <c r="D7779" t="inlineStr">
        <is>
          <t>VÄRMLANDS LÄN</t>
        </is>
      </c>
      <c r="E7779" t="inlineStr">
        <is>
          <t>ARVIKA</t>
        </is>
      </c>
      <c r="F7779" t="inlineStr">
        <is>
          <t>Bergvik skog väst AB</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44077-2022</t>
        </is>
      </c>
      <c r="B7780" s="1" t="n">
        <v>44839</v>
      </c>
      <c r="C7780" s="1" t="n">
        <v>45736</v>
      </c>
      <c r="D7780" t="inlineStr">
        <is>
          <t>VÄRMLANDS LÄN</t>
        </is>
      </c>
      <c r="E7780" t="inlineStr">
        <is>
          <t>FORSHAGA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44135-2022</t>
        </is>
      </c>
      <c r="B7781" s="1" t="n">
        <v>44839</v>
      </c>
      <c r="C7781" s="1" t="n">
        <v>45736</v>
      </c>
      <c r="D7781" t="inlineStr">
        <is>
          <t>VÄRMLANDS LÄN</t>
        </is>
      </c>
      <c r="E7781" t="inlineStr">
        <is>
          <t>ARVIKA</t>
        </is>
      </c>
      <c r="F7781" t="inlineStr">
        <is>
          <t>Bergvik skog väst AB</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44189-2022</t>
        </is>
      </c>
      <c r="B7782" s="1" t="n">
        <v>44839</v>
      </c>
      <c r="C7782" s="1" t="n">
        <v>45736</v>
      </c>
      <c r="D7782" t="inlineStr">
        <is>
          <t>VÄRMLANDS LÄN</t>
        </is>
      </c>
      <c r="E7782" t="inlineStr">
        <is>
          <t>EDA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44297-2022</t>
        </is>
      </c>
      <c r="B7783" s="1" t="n">
        <v>44839</v>
      </c>
      <c r="C7783" s="1" t="n">
        <v>45736</v>
      </c>
      <c r="D7783" t="inlineStr">
        <is>
          <t>VÄRMLANDS LÄN</t>
        </is>
      </c>
      <c r="E7783" t="inlineStr">
        <is>
          <t>SUNNE</t>
        </is>
      </c>
      <c r="F7783" t="inlineStr">
        <is>
          <t>Bergvik skog väst AB</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44180-2022</t>
        </is>
      </c>
      <c r="B7784" s="1" t="n">
        <v>44839</v>
      </c>
      <c r="C7784" s="1" t="n">
        <v>45736</v>
      </c>
      <c r="D7784" t="inlineStr">
        <is>
          <t>VÄRMLANDS LÄN</t>
        </is>
      </c>
      <c r="E7784" t="inlineStr">
        <is>
          <t>FILIPSTAD</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44369-2022</t>
        </is>
      </c>
      <c r="B7785" s="1" t="n">
        <v>44839</v>
      </c>
      <c r="C7785" s="1" t="n">
        <v>45736</v>
      </c>
      <c r="D7785" t="inlineStr">
        <is>
          <t>VÄRMLANDS LÄN</t>
        </is>
      </c>
      <c r="E7785" t="inlineStr">
        <is>
          <t>SUNNE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44390-2022</t>
        </is>
      </c>
      <c r="B7786" s="1" t="n">
        <v>44839</v>
      </c>
      <c r="C7786" s="1" t="n">
        <v>45736</v>
      </c>
      <c r="D7786" t="inlineStr">
        <is>
          <t>VÄRMLANDS LÄN</t>
        </is>
      </c>
      <c r="E7786" t="inlineStr">
        <is>
          <t>ÅRJÄNG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44534-2022</t>
        </is>
      </c>
      <c r="B7787" s="1" t="n">
        <v>44839</v>
      </c>
      <c r="C7787" s="1" t="n">
        <v>45736</v>
      </c>
      <c r="D7787" t="inlineStr">
        <is>
          <t>VÄRMLANDS LÄN</t>
        </is>
      </c>
      <c r="E7787" t="inlineStr">
        <is>
          <t>ARVIKA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44661-2022</t>
        </is>
      </c>
      <c r="B7788" s="1" t="n">
        <v>44839</v>
      </c>
      <c r="C7788" s="1" t="n">
        <v>45736</v>
      </c>
      <c r="D7788" t="inlineStr">
        <is>
          <t>VÄRMLANDS LÄN</t>
        </is>
      </c>
      <c r="E7788" t="inlineStr">
        <is>
          <t>KRISTINEHAMN</t>
        </is>
      </c>
      <c r="F7788" t="inlineStr">
        <is>
          <t>Kommuner</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44263-2022</t>
        </is>
      </c>
      <c r="B7789" s="1" t="n">
        <v>44839</v>
      </c>
      <c r="C7789" s="1" t="n">
        <v>45736</v>
      </c>
      <c r="D7789" t="inlineStr">
        <is>
          <t>VÄRMLANDS LÄN</t>
        </is>
      </c>
      <c r="E7789" t="inlineStr">
        <is>
          <t>SUNNE</t>
        </is>
      </c>
      <c r="F7789" t="inlineStr">
        <is>
          <t>Bergvik skog väst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44270-2022</t>
        </is>
      </c>
      <c r="B7790" s="1" t="n">
        <v>44839</v>
      </c>
      <c r="C7790" s="1" t="n">
        <v>45736</v>
      </c>
      <c r="D7790" t="inlineStr">
        <is>
          <t>VÄRMLANDS LÄN</t>
        </is>
      </c>
      <c r="E7790" t="inlineStr">
        <is>
          <t>ARVIKA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44385-2022</t>
        </is>
      </c>
      <c r="B7791" s="1" t="n">
        <v>44839</v>
      </c>
      <c r="C7791" s="1" t="n">
        <v>45736</v>
      </c>
      <c r="D7791" t="inlineStr">
        <is>
          <t>VÄRMLANDS LÄN</t>
        </is>
      </c>
      <c r="E7791" t="inlineStr">
        <is>
          <t>ÅRJÄNG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44456-2022</t>
        </is>
      </c>
      <c r="B7792" s="1" t="n">
        <v>44839</v>
      </c>
      <c r="C7792" s="1" t="n">
        <v>45736</v>
      </c>
      <c r="D7792" t="inlineStr">
        <is>
          <t>VÄRMLANDS LÄN</t>
        </is>
      </c>
      <c r="E7792" t="inlineStr">
        <is>
          <t>FORSHAGA</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44657-2022</t>
        </is>
      </c>
      <c r="B7793" s="1" t="n">
        <v>44839</v>
      </c>
      <c r="C7793" s="1" t="n">
        <v>45736</v>
      </c>
      <c r="D7793" t="inlineStr">
        <is>
          <t>VÄRMLANDS LÄN</t>
        </is>
      </c>
      <c r="E7793" t="inlineStr">
        <is>
          <t>KRISTINEHAMN</t>
        </is>
      </c>
      <c r="F7793" t="inlineStr">
        <is>
          <t>Kommuner</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44893-2022</t>
        </is>
      </c>
      <c r="B7794" s="1" t="n">
        <v>44839</v>
      </c>
      <c r="C7794" s="1" t="n">
        <v>45736</v>
      </c>
      <c r="D7794" t="inlineStr">
        <is>
          <t>VÄRMLANDS LÄN</t>
        </is>
      </c>
      <c r="E7794" t="inlineStr">
        <is>
          <t>SUNNE</t>
        </is>
      </c>
      <c r="F7794" t="inlineStr">
        <is>
          <t>Kyrkan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44841-2022</t>
        </is>
      </c>
      <c r="B7795" s="1" t="n">
        <v>44839</v>
      </c>
      <c r="C7795" s="1" t="n">
        <v>45736</v>
      </c>
      <c r="D7795" t="inlineStr">
        <is>
          <t>VÄRMLANDS LÄN</t>
        </is>
      </c>
      <c r="E7795" t="inlineStr">
        <is>
          <t>TORSBY</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44879-2022</t>
        </is>
      </c>
      <c r="B7796" s="1" t="n">
        <v>44839</v>
      </c>
      <c r="C7796" s="1" t="n">
        <v>45736</v>
      </c>
      <c r="D7796" t="inlineStr">
        <is>
          <t>VÄRMLANDS LÄN</t>
        </is>
      </c>
      <c r="E7796" t="inlineStr">
        <is>
          <t>TORSBY</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44484-2022</t>
        </is>
      </c>
      <c r="B7797" s="1" t="n">
        <v>44840</v>
      </c>
      <c r="C7797" s="1" t="n">
        <v>45736</v>
      </c>
      <c r="D7797" t="inlineStr">
        <is>
          <t>VÄRMLANDS LÄN</t>
        </is>
      </c>
      <c r="E7797" t="inlineStr">
        <is>
          <t>SUNNE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44498-2022</t>
        </is>
      </c>
      <c r="B7798" s="1" t="n">
        <v>44840</v>
      </c>
      <c r="C7798" s="1" t="n">
        <v>45736</v>
      </c>
      <c r="D7798" t="inlineStr">
        <is>
          <t>VÄRMLANDS LÄN</t>
        </is>
      </c>
      <c r="E7798" t="inlineStr">
        <is>
          <t>TORSBY</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44554-2022</t>
        </is>
      </c>
      <c r="B7799" s="1" t="n">
        <v>44840</v>
      </c>
      <c r="C7799" s="1" t="n">
        <v>45736</v>
      </c>
      <c r="D7799" t="inlineStr">
        <is>
          <t>VÄRMLANDS LÄN</t>
        </is>
      </c>
      <c r="E7799" t="inlineStr">
        <is>
          <t>SÄFFLE</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44516-2022</t>
        </is>
      </c>
      <c r="B7800" s="1" t="n">
        <v>44840</v>
      </c>
      <c r="C7800" s="1" t="n">
        <v>45736</v>
      </c>
      <c r="D7800" t="inlineStr">
        <is>
          <t>VÄRMLANDS LÄN</t>
        </is>
      </c>
      <c r="E7800" t="inlineStr">
        <is>
          <t>TORSBY</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44979-2022</t>
        </is>
      </c>
      <c r="B7801" s="1" t="n">
        <v>44840</v>
      </c>
      <c r="C7801" s="1" t="n">
        <v>45736</v>
      </c>
      <c r="D7801" t="inlineStr">
        <is>
          <t>VÄRMLANDS LÄN</t>
        </is>
      </c>
      <c r="E7801" t="inlineStr">
        <is>
          <t>STORFORS</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44517-2022</t>
        </is>
      </c>
      <c r="B7802" s="1" t="n">
        <v>44840</v>
      </c>
      <c r="C7802" s="1" t="n">
        <v>45736</v>
      </c>
      <c r="D7802" t="inlineStr">
        <is>
          <t>VÄRMLANDS LÄN</t>
        </is>
      </c>
      <c r="E7802" t="inlineStr">
        <is>
          <t>TORSBY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44532-2022</t>
        </is>
      </c>
      <c r="B7803" s="1" t="n">
        <v>44840</v>
      </c>
      <c r="C7803" s="1" t="n">
        <v>45736</v>
      </c>
      <c r="D7803" t="inlineStr">
        <is>
          <t>VÄRMLANDS LÄN</t>
        </is>
      </c>
      <c r="E7803" t="inlineStr">
        <is>
          <t>TORSBY</t>
        </is>
      </c>
      <c r="G7803" t="n">
        <v>12.3</v>
      </c>
      <c r="H7803" t="n">
        <v>0</v>
      </c>
      <c r="I7803" t="n">
        <v>0</v>
      </c>
      <c r="J7803" t="n">
        <v>0</v>
      </c>
      <c r="K7803" t="n">
        <v>0</v>
      </c>
      <c r="L7803" t="n">
        <v>0</v>
      </c>
      <c r="M7803" t="n">
        <v>0</v>
      </c>
      <c r="N7803" t="n">
        <v>0</v>
      </c>
      <c r="O7803" t="n">
        <v>0</v>
      </c>
      <c r="P7803" t="n">
        <v>0</v>
      </c>
      <c r="Q7803" t="n">
        <v>0</v>
      </c>
      <c r="R7803" s="2" t="inlineStr"/>
    </row>
    <row r="7804" ht="15" customHeight="1">
      <c r="A7804" t="inlineStr">
        <is>
          <t>A 44561-2022</t>
        </is>
      </c>
      <c r="B7804" s="1" t="n">
        <v>44840</v>
      </c>
      <c r="C7804" s="1" t="n">
        <v>45736</v>
      </c>
      <c r="D7804" t="inlineStr">
        <is>
          <t>VÄRMLANDS LÄN</t>
        </is>
      </c>
      <c r="E7804" t="inlineStr">
        <is>
          <t>SÄFFLE</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44694-2022</t>
        </is>
      </c>
      <c r="B7805" s="1" t="n">
        <v>44840</v>
      </c>
      <c r="C7805" s="1" t="n">
        <v>45736</v>
      </c>
      <c r="D7805" t="inlineStr">
        <is>
          <t>VÄRMLANDS LÄN</t>
        </is>
      </c>
      <c r="E7805" t="inlineStr">
        <is>
          <t>EDA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44708-2022</t>
        </is>
      </c>
      <c r="B7806" s="1" t="n">
        <v>44840</v>
      </c>
      <c r="C7806" s="1" t="n">
        <v>45736</v>
      </c>
      <c r="D7806" t="inlineStr">
        <is>
          <t>VÄRMLANDS LÄN</t>
        </is>
      </c>
      <c r="E7806" t="inlineStr">
        <is>
          <t>TORSBY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44566-2022</t>
        </is>
      </c>
      <c r="B7807" s="1" t="n">
        <v>44840</v>
      </c>
      <c r="C7807" s="1" t="n">
        <v>45736</v>
      </c>
      <c r="D7807" t="inlineStr">
        <is>
          <t>VÄRMLANDS LÄN</t>
        </is>
      </c>
      <c r="E7807" t="inlineStr">
        <is>
          <t>SÄFFLE</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44691-2022</t>
        </is>
      </c>
      <c r="B7808" s="1" t="n">
        <v>44840</v>
      </c>
      <c r="C7808" s="1" t="n">
        <v>45736</v>
      </c>
      <c r="D7808" t="inlineStr">
        <is>
          <t>VÄRMLANDS LÄN</t>
        </is>
      </c>
      <c r="E7808" t="inlineStr">
        <is>
          <t>EDA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44683-2022</t>
        </is>
      </c>
      <c r="B7809" s="1" t="n">
        <v>44840</v>
      </c>
      <c r="C7809" s="1" t="n">
        <v>45736</v>
      </c>
      <c r="D7809" t="inlineStr">
        <is>
          <t>VÄRMLANDS LÄN</t>
        </is>
      </c>
      <c r="E7809" t="inlineStr">
        <is>
          <t>FILIPSTAD</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45132-2022</t>
        </is>
      </c>
      <c r="B7810" s="1" t="n">
        <v>44840</v>
      </c>
      <c r="C7810" s="1" t="n">
        <v>45736</v>
      </c>
      <c r="D7810" t="inlineStr">
        <is>
          <t>VÄRMLANDS LÄN</t>
        </is>
      </c>
      <c r="E7810" t="inlineStr">
        <is>
          <t>EDA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44802-2022</t>
        </is>
      </c>
      <c r="B7811" s="1" t="n">
        <v>44841</v>
      </c>
      <c r="C7811" s="1" t="n">
        <v>45736</v>
      </c>
      <c r="D7811" t="inlineStr">
        <is>
          <t>VÄRMLANDS LÄN</t>
        </is>
      </c>
      <c r="E7811" t="inlineStr">
        <is>
          <t>STORFORS</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44845-2022</t>
        </is>
      </c>
      <c r="B7812" s="1" t="n">
        <v>44841</v>
      </c>
      <c r="C7812" s="1" t="n">
        <v>45736</v>
      </c>
      <c r="D7812" t="inlineStr">
        <is>
          <t>VÄRMLANDS LÄN</t>
        </is>
      </c>
      <c r="E7812" t="inlineStr">
        <is>
          <t>SUNNE</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44860-2022</t>
        </is>
      </c>
      <c r="B7813" s="1" t="n">
        <v>44841</v>
      </c>
      <c r="C7813" s="1" t="n">
        <v>45736</v>
      </c>
      <c r="D7813" t="inlineStr">
        <is>
          <t>VÄRMLANDS LÄN</t>
        </is>
      </c>
      <c r="E7813" t="inlineStr">
        <is>
          <t>SUNNE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44894-2022</t>
        </is>
      </c>
      <c r="B7814" s="1" t="n">
        <v>44841</v>
      </c>
      <c r="C7814" s="1" t="n">
        <v>45736</v>
      </c>
      <c r="D7814" t="inlineStr">
        <is>
          <t>VÄRMLANDS LÄN</t>
        </is>
      </c>
      <c r="E7814" t="inlineStr">
        <is>
          <t>SUNNE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44899-2022</t>
        </is>
      </c>
      <c r="B7815" s="1" t="n">
        <v>44841</v>
      </c>
      <c r="C7815" s="1" t="n">
        <v>45736</v>
      </c>
      <c r="D7815" t="inlineStr">
        <is>
          <t>VÄRMLANDS LÄN</t>
        </is>
      </c>
      <c r="E7815" t="inlineStr">
        <is>
          <t>SUNNE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44783-2022</t>
        </is>
      </c>
      <c r="B7816" s="1" t="n">
        <v>44841</v>
      </c>
      <c r="C7816" s="1" t="n">
        <v>45736</v>
      </c>
      <c r="D7816" t="inlineStr">
        <is>
          <t>VÄRMLANDS LÄN</t>
        </is>
      </c>
      <c r="E7816" t="inlineStr">
        <is>
          <t>STORFORS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44795-2022</t>
        </is>
      </c>
      <c r="B7817" s="1" t="n">
        <v>44841</v>
      </c>
      <c r="C7817" s="1" t="n">
        <v>45736</v>
      </c>
      <c r="D7817" t="inlineStr">
        <is>
          <t>VÄRMLANDS LÄN</t>
        </is>
      </c>
      <c r="E7817" t="inlineStr">
        <is>
          <t>STORFORS</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44971-2022</t>
        </is>
      </c>
      <c r="B7818" s="1" t="n">
        <v>44841</v>
      </c>
      <c r="C7818" s="1" t="n">
        <v>45736</v>
      </c>
      <c r="D7818" t="inlineStr">
        <is>
          <t>VÄRMLANDS LÄN</t>
        </is>
      </c>
      <c r="E7818" t="inlineStr">
        <is>
          <t>FILIPSTAD</t>
        </is>
      </c>
      <c r="F7818" t="inlineStr">
        <is>
          <t>Bergvik skog väst AB</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45056-2022</t>
        </is>
      </c>
      <c r="B7819" s="1" t="n">
        <v>44841</v>
      </c>
      <c r="C7819" s="1" t="n">
        <v>45736</v>
      </c>
      <c r="D7819" t="inlineStr">
        <is>
          <t>VÄRMLANDS LÄN</t>
        </is>
      </c>
      <c r="E7819" t="inlineStr">
        <is>
          <t>TORSBY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45563-2022</t>
        </is>
      </c>
      <c r="B7820" s="1" t="n">
        <v>44841</v>
      </c>
      <c r="C7820" s="1" t="n">
        <v>45736</v>
      </c>
      <c r="D7820" t="inlineStr">
        <is>
          <t>VÄRMLANDS LÄN</t>
        </is>
      </c>
      <c r="E7820" t="inlineStr">
        <is>
          <t>KRISTINEHAMN</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45122-2022</t>
        </is>
      </c>
      <c r="B7821" s="1" t="n">
        <v>44843</v>
      </c>
      <c r="C7821" s="1" t="n">
        <v>45736</v>
      </c>
      <c r="D7821" t="inlineStr">
        <is>
          <t>VÄRMLANDS LÄN</t>
        </is>
      </c>
      <c r="E7821" t="inlineStr">
        <is>
          <t>KRISTINEHAMN</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45135-2022</t>
        </is>
      </c>
      <c r="B7822" s="1" t="n">
        <v>44844</v>
      </c>
      <c r="C7822" s="1" t="n">
        <v>45736</v>
      </c>
      <c r="D7822" t="inlineStr">
        <is>
          <t>VÄRMLANDS LÄN</t>
        </is>
      </c>
      <c r="E7822" t="inlineStr">
        <is>
          <t>ÅRJÄNG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45303-2022</t>
        </is>
      </c>
      <c r="B7823" s="1" t="n">
        <v>44844</v>
      </c>
      <c r="C7823" s="1" t="n">
        <v>45736</v>
      </c>
      <c r="D7823" t="inlineStr">
        <is>
          <t>VÄRMLANDS LÄN</t>
        </is>
      </c>
      <c r="E7823" t="inlineStr">
        <is>
          <t>TORSBY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45368-2022</t>
        </is>
      </c>
      <c r="B7824" s="1" t="n">
        <v>44844</v>
      </c>
      <c r="C7824" s="1" t="n">
        <v>45736</v>
      </c>
      <c r="D7824" t="inlineStr">
        <is>
          <t>VÄRMLANDS LÄN</t>
        </is>
      </c>
      <c r="E7824" t="inlineStr">
        <is>
          <t>TORSBY</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45384-2022</t>
        </is>
      </c>
      <c r="B7825" s="1" t="n">
        <v>44844</v>
      </c>
      <c r="C7825" s="1" t="n">
        <v>45736</v>
      </c>
      <c r="D7825" t="inlineStr">
        <is>
          <t>VÄRMLANDS LÄN</t>
        </is>
      </c>
      <c r="E7825" t="inlineStr">
        <is>
          <t>GRUMS</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45328-2022</t>
        </is>
      </c>
      <c r="B7826" s="1" t="n">
        <v>44844</v>
      </c>
      <c r="C7826" s="1" t="n">
        <v>45736</v>
      </c>
      <c r="D7826" t="inlineStr">
        <is>
          <t>VÄRMLANDS LÄN</t>
        </is>
      </c>
      <c r="E7826" t="inlineStr">
        <is>
          <t>TORSBY</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45325-2022</t>
        </is>
      </c>
      <c r="B7827" s="1" t="n">
        <v>44844</v>
      </c>
      <c r="C7827" s="1" t="n">
        <v>45736</v>
      </c>
      <c r="D7827" t="inlineStr">
        <is>
          <t>VÄRMLANDS LÄN</t>
        </is>
      </c>
      <c r="E7827" t="inlineStr">
        <is>
          <t>TORSBY</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45337-2022</t>
        </is>
      </c>
      <c r="B7828" s="1" t="n">
        <v>44844</v>
      </c>
      <c r="C7828" s="1" t="n">
        <v>45736</v>
      </c>
      <c r="D7828" t="inlineStr">
        <is>
          <t>VÄRMLANDS LÄN</t>
        </is>
      </c>
      <c r="E7828" t="inlineStr">
        <is>
          <t>HAGFORS</t>
        </is>
      </c>
      <c r="F7828" t="inlineStr">
        <is>
          <t>Bergvik skog väst AB</t>
        </is>
      </c>
      <c r="G7828" t="n">
        <v>15.9</v>
      </c>
      <c r="H7828" t="n">
        <v>0</v>
      </c>
      <c r="I7828" t="n">
        <v>0</v>
      </c>
      <c r="J7828" t="n">
        <v>0</v>
      </c>
      <c r="K7828" t="n">
        <v>0</v>
      </c>
      <c r="L7828" t="n">
        <v>0</v>
      </c>
      <c r="M7828" t="n">
        <v>0</v>
      </c>
      <c r="N7828" t="n">
        <v>0</v>
      </c>
      <c r="O7828" t="n">
        <v>0</v>
      </c>
      <c r="P7828" t="n">
        <v>0</v>
      </c>
      <c r="Q7828" t="n">
        <v>0</v>
      </c>
      <c r="R7828" s="2" t="inlineStr"/>
    </row>
    <row r="7829" ht="15" customHeight="1">
      <c r="A7829" t="inlineStr">
        <is>
          <t>A 45363-2022</t>
        </is>
      </c>
      <c r="B7829" s="1" t="n">
        <v>44844</v>
      </c>
      <c r="C7829" s="1" t="n">
        <v>45736</v>
      </c>
      <c r="D7829" t="inlineStr">
        <is>
          <t>VÄRMLANDS LÄN</t>
        </is>
      </c>
      <c r="E7829" t="inlineStr">
        <is>
          <t>ARVIKA</t>
        </is>
      </c>
      <c r="F7829" t="inlineStr">
        <is>
          <t>Bergvik skog väst AB</t>
        </is>
      </c>
      <c r="G7829" t="n">
        <v>16.6</v>
      </c>
      <c r="H7829" t="n">
        <v>0</v>
      </c>
      <c r="I7829" t="n">
        <v>0</v>
      </c>
      <c r="J7829" t="n">
        <v>0</v>
      </c>
      <c r="K7829" t="n">
        <v>0</v>
      </c>
      <c r="L7829" t="n">
        <v>0</v>
      </c>
      <c r="M7829" t="n">
        <v>0</v>
      </c>
      <c r="N7829" t="n">
        <v>0</v>
      </c>
      <c r="O7829" t="n">
        <v>0</v>
      </c>
      <c r="P7829" t="n">
        <v>0</v>
      </c>
      <c r="Q7829" t="n">
        <v>0</v>
      </c>
      <c r="R7829" s="2" t="inlineStr"/>
    </row>
    <row r="7830" ht="15" customHeight="1">
      <c r="A7830" t="inlineStr">
        <is>
          <t>A 45372-2022</t>
        </is>
      </c>
      <c r="B7830" s="1" t="n">
        <v>44844</v>
      </c>
      <c r="C7830" s="1" t="n">
        <v>45736</v>
      </c>
      <c r="D7830" t="inlineStr">
        <is>
          <t>VÄRMLANDS LÄN</t>
        </is>
      </c>
      <c r="E7830" t="inlineStr">
        <is>
          <t>FILIPSTAD</t>
        </is>
      </c>
      <c r="F7830" t="inlineStr">
        <is>
          <t>Bergvik skog väst AB</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45383-2022</t>
        </is>
      </c>
      <c r="B7831" s="1" t="n">
        <v>44844</v>
      </c>
      <c r="C7831" s="1" t="n">
        <v>45736</v>
      </c>
      <c r="D7831" t="inlineStr">
        <is>
          <t>VÄRMLANDS LÄN</t>
        </is>
      </c>
      <c r="E7831" t="inlineStr">
        <is>
          <t>KRISTINEHAMN</t>
        </is>
      </c>
      <c r="F7831" t="inlineStr">
        <is>
          <t>Naturvårdsverket</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45369-2022</t>
        </is>
      </c>
      <c r="B7832" s="1" t="n">
        <v>44844</v>
      </c>
      <c r="C7832" s="1" t="n">
        <v>45736</v>
      </c>
      <c r="D7832" t="inlineStr">
        <is>
          <t>VÄRMLANDS LÄN</t>
        </is>
      </c>
      <c r="E7832" t="inlineStr">
        <is>
          <t>TORSBY</t>
        </is>
      </c>
      <c r="F7832" t="inlineStr">
        <is>
          <t>Bergvik skog väst AB</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45809-2022</t>
        </is>
      </c>
      <c r="B7833" s="1" t="n">
        <v>44844</v>
      </c>
      <c r="C7833" s="1" t="n">
        <v>45736</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45467-2022</t>
        </is>
      </c>
      <c r="B7834" s="1" t="n">
        <v>44845</v>
      </c>
      <c r="C7834" s="1" t="n">
        <v>45736</v>
      </c>
      <c r="D7834" t="inlineStr">
        <is>
          <t>VÄRMLANDS LÄN</t>
        </is>
      </c>
      <c r="E7834" t="inlineStr">
        <is>
          <t>GRUMS</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45466-2022</t>
        </is>
      </c>
      <c r="B7835" s="1" t="n">
        <v>44845</v>
      </c>
      <c r="C7835" s="1" t="n">
        <v>45736</v>
      </c>
      <c r="D7835" t="inlineStr">
        <is>
          <t>VÄRMLANDS LÄN</t>
        </is>
      </c>
      <c r="E7835" t="inlineStr">
        <is>
          <t>EDA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45443-2022</t>
        </is>
      </c>
      <c r="B7836" s="1" t="n">
        <v>44845</v>
      </c>
      <c r="C7836" s="1" t="n">
        <v>45736</v>
      </c>
      <c r="D7836" t="inlineStr">
        <is>
          <t>VÄRMLANDS LÄN</t>
        </is>
      </c>
      <c r="E7836" t="inlineStr">
        <is>
          <t>GRUMS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45666-2022</t>
        </is>
      </c>
      <c r="B7837" s="1" t="n">
        <v>44845</v>
      </c>
      <c r="C7837" s="1" t="n">
        <v>45736</v>
      </c>
      <c r="D7837" t="inlineStr">
        <is>
          <t>VÄRMLANDS LÄN</t>
        </is>
      </c>
      <c r="E7837" t="inlineStr">
        <is>
          <t>TORSBY</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45757-2022</t>
        </is>
      </c>
      <c r="B7838" s="1" t="n">
        <v>44846</v>
      </c>
      <c r="C7838" s="1" t="n">
        <v>45736</v>
      </c>
      <c r="D7838" t="inlineStr">
        <is>
          <t>VÄRMLANDS LÄN</t>
        </is>
      </c>
      <c r="E7838" t="inlineStr">
        <is>
          <t>KARLSTAD</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45773-2022</t>
        </is>
      </c>
      <c r="B7839" s="1" t="n">
        <v>44846</v>
      </c>
      <c r="C7839" s="1" t="n">
        <v>45736</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45828-2022</t>
        </is>
      </c>
      <c r="B7840" s="1" t="n">
        <v>44846</v>
      </c>
      <c r="C7840" s="1" t="n">
        <v>45736</v>
      </c>
      <c r="D7840" t="inlineStr">
        <is>
          <t>VÄRMLANDS LÄN</t>
        </is>
      </c>
      <c r="E7840" t="inlineStr">
        <is>
          <t>SÄFFLE</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45908-2022</t>
        </is>
      </c>
      <c r="B7841" s="1" t="n">
        <v>44846</v>
      </c>
      <c r="C7841" s="1" t="n">
        <v>45736</v>
      </c>
      <c r="D7841" t="inlineStr">
        <is>
          <t>VÄRMLANDS LÄN</t>
        </is>
      </c>
      <c r="E7841" t="inlineStr">
        <is>
          <t>ARVIKA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45954-2022</t>
        </is>
      </c>
      <c r="B7842" s="1" t="n">
        <v>44846</v>
      </c>
      <c r="C7842" s="1" t="n">
        <v>45736</v>
      </c>
      <c r="D7842" t="inlineStr">
        <is>
          <t>VÄRMLANDS LÄN</t>
        </is>
      </c>
      <c r="E7842" t="inlineStr">
        <is>
          <t>SÄFFLE</t>
        </is>
      </c>
      <c r="F7842" t="inlineStr">
        <is>
          <t>Bergvik skog väst AB</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45776-2022</t>
        </is>
      </c>
      <c r="B7843" s="1" t="n">
        <v>44846</v>
      </c>
      <c r="C7843" s="1" t="n">
        <v>45736</v>
      </c>
      <c r="D7843" t="inlineStr">
        <is>
          <t>VÄRMLANDS LÄN</t>
        </is>
      </c>
      <c r="E7843" t="inlineStr">
        <is>
          <t>KIL</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45799-2022</t>
        </is>
      </c>
      <c r="B7844" s="1" t="n">
        <v>44846</v>
      </c>
      <c r="C7844" s="1" t="n">
        <v>45736</v>
      </c>
      <c r="D7844" t="inlineStr">
        <is>
          <t>VÄRMLANDS LÄN</t>
        </is>
      </c>
      <c r="E7844" t="inlineStr">
        <is>
          <t>SÄFFLE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45867-2022</t>
        </is>
      </c>
      <c r="B7845" s="1" t="n">
        <v>44846</v>
      </c>
      <c r="C7845" s="1" t="n">
        <v>45736</v>
      </c>
      <c r="D7845" t="inlineStr">
        <is>
          <t>VÄRMLANDS LÄN</t>
        </is>
      </c>
      <c r="E7845" t="inlineStr">
        <is>
          <t>SÄFFLE</t>
        </is>
      </c>
      <c r="F7845" t="inlineStr">
        <is>
          <t>Kyrkan</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45928-2022</t>
        </is>
      </c>
      <c r="B7846" s="1" t="n">
        <v>44846</v>
      </c>
      <c r="C7846" s="1" t="n">
        <v>45736</v>
      </c>
      <c r="D7846" t="inlineStr">
        <is>
          <t>VÄRMLANDS LÄN</t>
        </is>
      </c>
      <c r="E7846" t="inlineStr">
        <is>
          <t>SUNNE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45923-2022</t>
        </is>
      </c>
      <c r="B7847" s="1" t="n">
        <v>44846</v>
      </c>
      <c r="C7847" s="1" t="n">
        <v>45736</v>
      </c>
      <c r="D7847" t="inlineStr">
        <is>
          <t>VÄRMLANDS LÄN</t>
        </is>
      </c>
      <c r="E7847" t="inlineStr">
        <is>
          <t>SUNNE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45893-2022</t>
        </is>
      </c>
      <c r="B7848" s="1" t="n">
        <v>44846</v>
      </c>
      <c r="C7848" s="1" t="n">
        <v>45736</v>
      </c>
      <c r="D7848" t="inlineStr">
        <is>
          <t>VÄRMLANDS LÄN</t>
        </is>
      </c>
      <c r="E7848" t="inlineStr">
        <is>
          <t>SÄFFLE</t>
        </is>
      </c>
      <c r="F7848" t="inlineStr">
        <is>
          <t>Kyrkan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46091-2022</t>
        </is>
      </c>
      <c r="B7849" s="1" t="n">
        <v>44847</v>
      </c>
      <c r="C7849" s="1" t="n">
        <v>45736</v>
      </c>
      <c r="D7849" t="inlineStr">
        <is>
          <t>VÄRMLANDS LÄN</t>
        </is>
      </c>
      <c r="E7849" t="inlineStr">
        <is>
          <t>ARVIKA</t>
        </is>
      </c>
      <c r="F7849" t="inlineStr">
        <is>
          <t>Bergvik skog väst AB</t>
        </is>
      </c>
      <c r="G7849" t="n">
        <v>20.9</v>
      </c>
      <c r="H7849" t="n">
        <v>0</v>
      </c>
      <c r="I7849" t="n">
        <v>0</v>
      </c>
      <c r="J7849" t="n">
        <v>0</v>
      </c>
      <c r="K7849" t="n">
        <v>0</v>
      </c>
      <c r="L7849" t="n">
        <v>0</v>
      </c>
      <c r="M7849" t="n">
        <v>0</v>
      </c>
      <c r="N7849" t="n">
        <v>0</v>
      </c>
      <c r="O7849" t="n">
        <v>0</v>
      </c>
      <c r="P7849" t="n">
        <v>0</v>
      </c>
      <c r="Q7849" t="n">
        <v>0</v>
      </c>
      <c r="R7849" s="2" t="inlineStr"/>
    </row>
    <row r="7850" ht="15" customHeight="1">
      <c r="A7850" t="inlineStr">
        <is>
          <t>A 46117-2022</t>
        </is>
      </c>
      <c r="B7850" s="1" t="n">
        <v>44847</v>
      </c>
      <c r="C7850" s="1" t="n">
        <v>45736</v>
      </c>
      <c r="D7850" t="inlineStr">
        <is>
          <t>VÄRMLANDS LÄN</t>
        </is>
      </c>
      <c r="E7850" t="inlineStr">
        <is>
          <t>KIL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46111-2022</t>
        </is>
      </c>
      <c r="B7851" s="1" t="n">
        <v>44847</v>
      </c>
      <c r="C7851" s="1" t="n">
        <v>45736</v>
      </c>
      <c r="D7851" t="inlineStr">
        <is>
          <t>VÄRMLANDS LÄN</t>
        </is>
      </c>
      <c r="E7851" t="inlineStr">
        <is>
          <t>KIL</t>
        </is>
      </c>
      <c r="G7851" t="n">
        <v>11.4</v>
      </c>
      <c r="H7851" t="n">
        <v>0</v>
      </c>
      <c r="I7851" t="n">
        <v>0</v>
      </c>
      <c r="J7851" t="n">
        <v>0</v>
      </c>
      <c r="K7851" t="n">
        <v>0</v>
      </c>
      <c r="L7851" t="n">
        <v>0</v>
      </c>
      <c r="M7851" t="n">
        <v>0</v>
      </c>
      <c r="N7851" t="n">
        <v>0</v>
      </c>
      <c r="O7851" t="n">
        <v>0</v>
      </c>
      <c r="P7851" t="n">
        <v>0</v>
      </c>
      <c r="Q7851" t="n">
        <v>0</v>
      </c>
      <c r="R7851" s="2" t="inlineStr"/>
    </row>
    <row r="7852" ht="15" customHeight="1">
      <c r="A7852" t="inlineStr">
        <is>
          <t>A 46122-2022</t>
        </is>
      </c>
      <c r="B7852" s="1" t="n">
        <v>44847</v>
      </c>
      <c r="C7852" s="1" t="n">
        <v>45736</v>
      </c>
      <c r="D7852" t="inlineStr">
        <is>
          <t>VÄRMLANDS LÄN</t>
        </is>
      </c>
      <c r="E7852" t="inlineStr">
        <is>
          <t>SUNNE</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46295-2022</t>
        </is>
      </c>
      <c r="B7853" s="1" t="n">
        <v>44847</v>
      </c>
      <c r="C7853" s="1" t="n">
        <v>45736</v>
      </c>
      <c r="D7853" t="inlineStr">
        <is>
          <t>VÄRMLANDS LÄN</t>
        </is>
      </c>
      <c r="E7853" t="inlineStr">
        <is>
          <t>KIL</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46282-2022</t>
        </is>
      </c>
      <c r="B7854" s="1" t="n">
        <v>44847</v>
      </c>
      <c r="C7854" s="1" t="n">
        <v>45736</v>
      </c>
      <c r="D7854" t="inlineStr">
        <is>
          <t>VÄRMLANDS LÄN</t>
        </is>
      </c>
      <c r="E7854" t="inlineStr">
        <is>
          <t>ARVIKA</t>
        </is>
      </c>
      <c r="G7854" t="n">
        <v>10.6</v>
      </c>
      <c r="H7854" t="n">
        <v>0</v>
      </c>
      <c r="I7854" t="n">
        <v>0</v>
      </c>
      <c r="J7854" t="n">
        <v>0</v>
      </c>
      <c r="K7854" t="n">
        <v>0</v>
      </c>
      <c r="L7854" t="n">
        <v>0</v>
      </c>
      <c r="M7854" t="n">
        <v>0</v>
      </c>
      <c r="N7854" t="n">
        <v>0</v>
      </c>
      <c r="O7854" t="n">
        <v>0</v>
      </c>
      <c r="P7854" t="n">
        <v>0</v>
      </c>
      <c r="Q7854" t="n">
        <v>0</v>
      </c>
      <c r="R7854" s="2" t="inlineStr"/>
    </row>
    <row r="7855" ht="15" customHeight="1">
      <c r="A7855" t="inlineStr">
        <is>
          <t>A 46290-2022</t>
        </is>
      </c>
      <c r="B7855" s="1" t="n">
        <v>44847</v>
      </c>
      <c r="C7855" s="1" t="n">
        <v>45736</v>
      </c>
      <c r="D7855" t="inlineStr">
        <is>
          <t>VÄRMLANDS LÄN</t>
        </is>
      </c>
      <c r="E7855" t="inlineStr">
        <is>
          <t>KIL</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46298-2022</t>
        </is>
      </c>
      <c r="B7856" s="1" t="n">
        <v>44847</v>
      </c>
      <c r="C7856" s="1" t="n">
        <v>45736</v>
      </c>
      <c r="D7856" t="inlineStr">
        <is>
          <t>VÄRMLANDS LÄN</t>
        </is>
      </c>
      <c r="E7856" t="inlineStr">
        <is>
          <t>GRUMS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46257-2022</t>
        </is>
      </c>
      <c r="B7857" s="1" t="n">
        <v>44847</v>
      </c>
      <c r="C7857" s="1" t="n">
        <v>45736</v>
      </c>
      <c r="D7857" t="inlineStr">
        <is>
          <t>VÄRMLANDS LÄN</t>
        </is>
      </c>
      <c r="E7857" t="inlineStr">
        <is>
          <t>FILIPSTAD</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46288-2022</t>
        </is>
      </c>
      <c r="B7858" s="1" t="n">
        <v>44847</v>
      </c>
      <c r="C7858" s="1" t="n">
        <v>45736</v>
      </c>
      <c r="D7858" t="inlineStr">
        <is>
          <t>VÄRMLANDS LÄN</t>
        </is>
      </c>
      <c r="E7858" t="inlineStr">
        <is>
          <t>KIL</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46300-2022</t>
        </is>
      </c>
      <c r="B7859" s="1" t="n">
        <v>44847</v>
      </c>
      <c r="C7859" s="1" t="n">
        <v>45736</v>
      </c>
      <c r="D7859" t="inlineStr">
        <is>
          <t>VÄRMLANDS LÄN</t>
        </is>
      </c>
      <c r="E7859" t="inlineStr">
        <is>
          <t>FORSHAGA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46108-2022</t>
        </is>
      </c>
      <c r="B7860" s="1" t="n">
        <v>44847</v>
      </c>
      <c r="C7860" s="1" t="n">
        <v>45736</v>
      </c>
      <c r="D7860" t="inlineStr">
        <is>
          <t>VÄRMLANDS LÄN</t>
        </is>
      </c>
      <c r="E7860" t="inlineStr">
        <is>
          <t>KIL</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46299-2022</t>
        </is>
      </c>
      <c r="B7861" s="1" t="n">
        <v>44847</v>
      </c>
      <c r="C7861" s="1" t="n">
        <v>45736</v>
      </c>
      <c r="D7861" t="inlineStr">
        <is>
          <t>VÄRMLANDS LÄN</t>
        </is>
      </c>
      <c r="E7861" t="inlineStr">
        <is>
          <t>GRUMS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46526-2022</t>
        </is>
      </c>
      <c r="B7862" s="1" t="n">
        <v>44847</v>
      </c>
      <c r="C7862" s="1" t="n">
        <v>45736</v>
      </c>
      <c r="D7862" t="inlineStr">
        <is>
          <t>VÄRMLANDS LÄN</t>
        </is>
      </c>
      <c r="E7862" t="inlineStr">
        <is>
          <t>KRISTINEHAMN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46677-2022</t>
        </is>
      </c>
      <c r="B7863" s="1" t="n">
        <v>44847</v>
      </c>
      <c r="C7863" s="1" t="n">
        <v>45736</v>
      </c>
      <c r="D7863" t="inlineStr">
        <is>
          <t>VÄRMLANDS LÄN</t>
        </is>
      </c>
      <c r="E7863" t="inlineStr">
        <is>
          <t>ÅRJÄNG</t>
        </is>
      </c>
      <c r="F7863" t="inlineStr">
        <is>
          <t>Övriga Aktiebolag</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46363-2022</t>
        </is>
      </c>
      <c r="B7864" s="1" t="n">
        <v>44848</v>
      </c>
      <c r="C7864" s="1" t="n">
        <v>45736</v>
      </c>
      <c r="D7864" t="inlineStr">
        <is>
          <t>VÄRMLANDS LÄN</t>
        </is>
      </c>
      <c r="E7864" t="inlineStr">
        <is>
          <t>HAGFORS</t>
        </is>
      </c>
      <c r="F7864" t="inlineStr">
        <is>
          <t>Bergvik skog väst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46551-2022</t>
        </is>
      </c>
      <c r="B7865" s="1" t="n">
        <v>44848</v>
      </c>
      <c r="C7865" s="1" t="n">
        <v>45736</v>
      </c>
      <c r="D7865" t="inlineStr">
        <is>
          <t>VÄRMLANDS LÄN</t>
        </is>
      </c>
      <c r="E7865" t="inlineStr">
        <is>
          <t>TORSBY</t>
        </is>
      </c>
      <c r="F7865" t="inlineStr">
        <is>
          <t>Bergvik skog väst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46636-2022</t>
        </is>
      </c>
      <c r="B7866" s="1" t="n">
        <v>44849</v>
      </c>
      <c r="C7866" s="1" t="n">
        <v>45736</v>
      </c>
      <c r="D7866" t="inlineStr">
        <is>
          <t>VÄRMLANDS LÄN</t>
        </is>
      </c>
      <c r="E7866" t="inlineStr">
        <is>
          <t>ARVIKA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46683-2022</t>
        </is>
      </c>
      <c r="B7867" s="1" t="n">
        <v>44851</v>
      </c>
      <c r="C7867" s="1" t="n">
        <v>45736</v>
      </c>
      <c r="D7867" t="inlineStr">
        <is>
          <t>VÄRMLANDS LÄN</t>
        </is>
      </c>
      <c r="E7867" t="inlineStr">
        <is>
          <t>SUNNE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46668-2022</t>
        </is>
      </c>
      <c r="B7868" s="1" t="n">
        <v>44851</v>
      </c>
      <c r="C7868" s="1" t="n">
        <v>45736</v>
      </c>
      <c r="D7868" t="inlineStr">
        <is>
          <t>VÄRMLANDS LÄN</t>
        </is>
      </c>
      <c r="E7868" t="inlineStr">
        <is>
          <t>KRISTINEHAMN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46718-2022</t>
        </is>
      </c>
      <c r="B7869" s="1" t="n">
        <v>44851</v>
      </c>
      <c r="C7869" s="1" t="n">
        <v>45736</v>
      </c>
      <c r="D7869" t="inlineStr">
        <is>
          <t>VÄRMLANDS LÄN</t>
        </is>
      </c>
      <c r="E7869" t="inlineStr">
        <is>
          <t>EDA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46737-2022</t>
        </is>
      </c>
      <c r="B7870" s="1" t="n">
        <v>44851</v>
      </c>
      <c r="C7870" s="1" t="n">
        <v>45736</v>
      </c>
      <c r="D7870" t="inlineStr">
        <is>
          <t>VÄRMLANDS LÄN</t>
        </is>
      </c>
      <c r="E7870" t="inlineStr">
        <is>
          <t>EDA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46777-2022</t>
        </is>
      </c>
      <c r="B7871" s="1" t="n">
        <v>44851</v>
      </c>
      <c r="C7871" s="1" t="n">
        <v>45736</v>
      </c>
      <c r="D7871" t="inlineStr">
        <is>
          <t>VÄRMLANDS LÄN</t>
        </is>
      </c>
      <c r="E7871" t="inlineStr">
        <is>
          <t>SUNNE</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46829-2022</t>
        </is>
      </c>
      <c r="B7872" s="1" t="n">
        <v>44851</v>
      </c>
      <c r="C7872" s="1" t="n">
        <v>45736</v>
      </c>
      <c r="D7872" t="inlineStr">
        <is>
          <t>VÄRMLANDS LÄN</t>
        </is>
      </c>
      <c r="E7872" t="inlineStr">
        <is>
          <t>ARVIKA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46925-2022</t>
        </is>
      </c>
      <c r="B7873" s="1" t="n">
        <v>44851</v>
      </c>
      <c r="C7873" s="1" t="n">
        <v>45736</v>
      </c>
      <c r="D7873" t="inlineStr">
        <is>
          <t>VÄRMLANDS LÄN</t>
        </is>
      </c>
      <c r="E7873" t="inlineStr">
        <is>
          <t>ARVIKA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46792-2022</t>
        </is>
      </c>
      <c r="B7874" s="1" t="n">
        <v>44851</v>
      </c>
      <c r="C7874" s="1" t="n">
        <v>45736</v>
      </c>
      <c r="D7874" t="inlineStr">
        <is>
          <t>VÄRMLANDS LÄN</t>
        </is>
      </c>
      <c r="E7874" t="inlineStr">
        <is>
          <t>HAGFORS</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46924-2022</t>
        </is>
      </c>
      <c r="B7875" s="1" t="n">
        <v>44851</v>
      </c>
      <c r="C7875" s="1" t="n">
        <v>45736</v>
      </c>
      <c r="D7875" t="inlineStr">
        <is>
          <t>VÄRMLANDS LÄN</t>
        </is>
      </c>
      <c r="E7875" t="inlineStr">
        <is>
          <t>ARVIKA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47091-2022</t>
        </is>
      </c>
      <c r="B7876" s="1" t="n">
        <v>44851</v>
      </c>
      <c r="C7876" s="1" t="n">
        <v>45736</v>
      </c>
      <c r="D7876" t="inlineStr">
        <is>
          <t>VÄRMLANDS LÄN</t>
        </is>
      </c>
      <c r="E7876" t="inlineStr">
        <is>
          <t>KRISTINEHAMN</t>
        </is>
      </c>
      <c r="F7876" t="inlineStr">
        <is>
          <t>Kommuner</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47408-2022</t>
        </is>
      </c>
      <c r="B7877" s="1" t="n">
        <v>44851</v>
      </c>
      <c r="C7877" s="1" t="n">
        <v>45736</v>
      </c>
      <c r="D7877" t="inlineStr">
        <is>
          <t>VÄRMLANDS LÄN</t>
        </is>
      </c>
      <c r="E7877" t="inlineStr">
        <is>
          <t>STORFORS</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47126-2022</t>
        </is>
      </c>
      <c r="B7878" s="1" t="n">
        <v>44852</v>
      </c>
      <c r="C7878" s="1" t="n">
        <v>45736</v>
      </c>
      <c r="D7878" t="inlineStr">
        <is>
          <t>VÄRMLANDS LÄN</t>
        </is>
      </c>
      <c r="E7878" t="inlineStr">
        <is>
          <t>FORSHAGA</t>
        </is>
      </c>
      <c r="F7878" t="inlineStr">
        <is>
          <t>Bergvik skog väst AB</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47167-2022</t>
        </is>
      </c>
      <c r="B7879" s="1" t="n">
        <v>44852</v>
      </c>
      <c r="C7879" s="1" t="n">
        <v>45736</v>
      </c>
      <c r="D7879" t="inlineStr">
        <is>
          <t>VÄRMLANDS LÄN</t>
        </is>
      </c>
      <c r="E7879" t="inlineStr">
        <is>
          <t>TORSBY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47188-2022</t>
        </is>
      </c>
      <c r="B7880" s="1" t="n">
        <v>44852</v>
      </c>
      <c r="C7880" s="1" t="n">
        <v>45736</v>
      </c>
      <c r="D7880" t="inlineStr">
        <is>
          <t>VÄRMLANDS LÄN</t>
        </is>
      </c>
      <c r="E7880" t="inlineStr">
        <is>
          <t>FILIPSTAD</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47236-2022</t>
        </is>
      </c>
      <c r="B7881" s="1" t="n">
        <v>44852</v>
      </c>
      <c r="C7881" s="1" t="n">
        <v>45736</v>
      </c>
      <c r="D7881" t="inlineStr">
        <is>
          <t>VÄRMLANDS LÄN</t>
        </is>
      </c>
      <c r="E7881" t="inlineStr">
        <is>
          <t>SÄFFLE</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47191-2022</t>
        </is>
      </c>
      <c r="B7882" s="1" t="n">
        <v>44852</v>
      </c>
      <c r="C7882" s="1" t="n">
        <v>45736</v>
      </c>
      <c r="D7882" t="inlineStr">
        <is>
          <t>VÄRMLANDS LÄN</t>
        </is>
      </c>
      <c r="E7882" t="inlineStr">
        <is>
          <t>KIL</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47203-2022</t>
        </is>
      </c>
      <c r="B7883" s="1" t="n">
        <v>44852</v>
      </c>
      <c r="C7883" s="1" t="n">
        <v>45736</v>
      </c>
      <c r="D7883" t="inlineStr">
        <is>
          <t>VÄRMLANDS LÄN</t>
        </is>
      </c>
      <c r="E7883" t="inlineStr">
        <is>
          <t>KARLSTAD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47141-2022</t>
        </is>
      </c>
      <c r="B7884" s="1" t="n">
        <v>44852</v>
      </c>
      <c r="C7884" s="1" t="n">
        <v>45736</v>
      </c>
      <c r="D7884" t="inlineStr">
        <is>
          <t>VÄRMLANDS LÄN</t>
        </is>
      </c>
      <c r="E7884" t="inlineStr">
        <is>
          <t>TORSBY</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47175-2022</t>
        </is>
      </c>
      <c r="B7885" s="1" t="n">
        <v>44852</v>
      </c>
      <c r="C7885" s="1" t="n">
        <v>45736</v>
      </c>
      <c r="D7885" t="inlineStr">
        <is>
          <t>VÄRMLANDS LÄN</t>
        </is>
      </c>
      <c r="E7885" t="inlineStr">
        <is>
          <t>EDA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47180-2022</t>
        </is>
      </c>
      <c r="B7886" s="1" t="n">
        <v>44852</v>
      </c>
      <c r="C7886" s="1" t="n">
        <v>45736</v>
      </c>
      <c r="D7886" t="inlineStr">
        <is>
          <t>VÄRMLANDS LÄN</t>
        </is>
      </c>
      <c r="E7886" t="inlineStr">
        <is>
          <t>EDA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47206-2022</t>
        </is>
      </c>
      <c r="B7887" s="1" t="n">
        <v>44852</v>
      </c>
      <c r="C7887" s="1" t="n">
        <v>45736</v>
      </c>
      <c r="D7887" t="inlineStr">
        <is>
          <t>VÄRMLANDS LÄN</t>
        </is>
      </c>
      <c r="E7887" t="inlineStr">
        <is>
          <t>TORSBY</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47181-2022</t>
        </is>
      </c>
      <c r="B7888" s="1" t="n">
        <v>44852</v>
      </c>
      <c r="C7888" s="1" t="n">
        <v>45736</v>
      </c>
      <c r="D7888" t="inlineStr">
        <is>
          <t>VÄRMLANDS LÄN</t>
        </is>
      </c>
      <c r="E7888" t="inlineStr">
        <is>
          <t>KIL</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47239-2022</t>
        </is>
      </c>
      <c r="B7889" s="1" t="n">
        <v>44852</v>
      </c>
      <c r="C7889" s="1" t="n">
        <v>45736</v>
      </c>
      <c r="D7889" t="inlineStr">
        <is>
          <t>VÄRMLANDS LÄN</t>
        </is>
      </c>
      <c r="E7889" t="inlineStr">
        <is>
          <t>ARVIKA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47349-2022</t>
        </is>
      </c>
      <c r="B7890" s="1" t="n">
        <v>44852</v>
      </c>
      <c r="C7890" s="1" t="n">
        <v>45736</v>
      </c>
      <c r="D7890" t="inlineStr">
        <is>
          <t>VÄRMLANDS LÄN</t>
        </is>
      </c>
      <c r="E7890" t="inlineStr">
        <is>
          <t>KARLSTAD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47008-2022</t>
        </is>
      </c>
      <c r="B7891" s="1" t="n">
        <v>44852</v>
      </c>
      <c r="C7891" s="1" t="n">
        <v>45736</v>
      </c>
      <c r="D7891" t="inlineStr">
        <is>
          <t>VÄRMLANDS LÄN</t>
        </is>
      </c>
      <c r="E7891" t="inlineStr">
        <is>
          <t>HAGFORS</t>
        </is>
      </c>
      <c r="F7891" t="inlineStr">
        <is>
          <t>Bergvik skog väst AB</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47638-2022</t>
        </is>
      </c>
      <c r="B7892" s="1" t="n">
        <v>44852</v>
      </c>
      <c r="C7892" s="1" t="n">
        <v>45736</v>
      </c>
      <c r="D7892" t="inlineStr">
        <is>
          <t>VÄRMLANDS LÄN</t>
        </is>
      </c>
      <c r="E7892" t="inlineStr">
        <is>
          <t>ARVIKA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47004-2022</t>
        </is>
      </c>
      <c r="B7893" s="1" t="n">
        <v>44852</v>
      </c>
      <c r="C7893" s="1" t="n">
        <v>45736</v>
      </c>
      <c r="D7893" t="inlineStr">
        <is>
          <t>VÄRMLANDS LÄN</t>
        </is>
      </c>
      <c r="E7893" t="inlineStr">
        <is>
          <t>ARVIKA</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47012-2022</t>
        </is>
      </c>
      <c r="B7894" s="1" t="n">
        <v>44852</v>
      </c>
      <c r="C7894" s="1" t="n">
        <v>45736</v>
      </c>
      <c r="D7894" t="inlineStr">
        <is>
          <t>VÄRMLANDS LÄN</t>
        </is>
      </c>
      <c r="E7894" t="inlineStr">
        <is>
          <t>HAGFORS</t>
        </is>
      </c>
      <c r="F7894" t="inlineStr">
        <is>
          <t>Bergvik skog väst AB</t>
        </is>
      </c>
      <c r="G7894" t="n">
        <v>9</v>
      </c>
      <c r="H7894" t="n">
        <v>0</v>
      </c>
      <c r="I7894" t="n">
        <v>0</v>
      </c>
      <c r="J7894" t="n">
        <v>0</v>
      </c>
      <c r="K7894" t="n">
        <v>0</v>
      </c>
      <c r="L7894" t="n">
        <v>0</v>
      </c>
      <c r="M7894" t="n">
        <v>0</v>
      </c>
      <c r="N7894" t="n">
        <v>0</v>
      </c>
      <c r="O7894" t="n">
        <v>0</v>
      </c>
      <c r="P7894" t="n">
        <v>0</v>
      </c>
      <c r="Q7894" t="n">
        <v>0</v>
      </c>
      <c r="R7894" s="2" t="inlineStr"/>
    </row>
    <row r="7895" ht="15" customHeight="1">
      <c r="A7895" t="inlineStr">
        <is>
          <t>A 47068-2022</t>
        </is>
      </c>
      <c r="B7895" s="1" t="n">
        <v>44852</v>
      </c>
      <c r="C7895" s="1" t="n">
        <v>45736</v>
      </c>
      <c r="D7895" t="inlineStr">
        <is>
          <t>VÄRMLANDS LÄN</t>
        </is>
      </c>
      <c r="E7895" t="inlineStr">
        <is>
          <t>SUNNE</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47005-2022</t>
        </is>
      </c>
      <c r="B7896" s="1" t="n">
        <v>44852</v>
      </c>
      <c r="C7896" s="1" t="n">
        <v>45736</v>
      </c>
      <c r="D7896" t="inlineStr">
        <is>
          <t>VÄRMLANDS LÄN</t>
        </is>
      </c>
      <c r="E7896" t="inlineStr">
        <is>
          <t>HAGFORS</t>
        </is>
      </c>
      <c r="F7896" t="inlineStr">
        <is>
          <t>Bergvik skog väst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47045-2022</t>
        </is>
      </c>
      <c r="B7897" s="1" t="n">
        <v>44852</v>
      </c>
      <c r="C7897" s="1" t="n">
        <v>45736</v>
      </c>
      <c r="D7897" t="inlineStr">
        <is>
          <t>VÄRMLANDS LÄN</t>
        </is>
      </c>
      <c r="E7897" t="inlineStr">
        <is>
          <t>EDA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47466-2022</t>
        </is>
      </c>
      <c r="B7898" s="1" t="n">
        <v>44852</v>
      </c>
      <c r="C7898" s="1" t="n">
        <v>45736</v>
      </c>
      <c r="D7898" t="inlineStr">
        <is>
          <t>VÄRMLANDS LÄN</t>
        </is>
      </c>
      <c r="E7898" t="inlineStr">
        <is>
          <t>TORSBY</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47634-2022</t>
        </is>
      </c>
      <c r="B7899" s="1" t="n">
        <v>44852</v>
      </c>
      <c r="C7899" s="1" t="n">
        <v>45736</v>
      </c>
      <c r="D7899" t="inlineStr">
        <is>
          <t>VÄRMLANDS LÄN</t>
        </is>
      </c>
      <c r="E7899" t="inlineStr">
        <is>
          <t>SÄFFLE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47090-2022</t>
        </is>
      </c>
      <c r="B7900" s="1" t="n">
        <v>44852</v>
      </c>
      <c r="C7900" s="1" t="n">
        <v>45736</v>
      </c>
      <c r="D7900" t="inlineStr">
        <is>
          <t>VÄRMLANDS LÄN</t>
        </is>
      </c>
      <c r="E7900" t="inlineStr">
        <is>
          <t>KIL</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47332-2022</t>
        </is>
      </c>
      <c r="B7901" s="1" t="n">
        <v>44853</v>
      </c>
      <c r="C7901" s="1" t="n">
        <v>45736</v>
      </c>
      <c r="D7901" t="inlineStr">
        <is>
          <t>VÄRMLANDS LÄN</t>
        </is>
      </c>
      <c r="E7901" t="inlineStr">
        <is>
          <t>ÅRJÄNG</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47330-2022</t>
        </is>
      </c>
      <c r="B7902" s="1" t="n">
        <v>44853</v>
      </c>
      <c r="C7902" s="1" t="n">
        <v>45736</v>
      </c>
      <c r="D7902" t="inlineStr">
        <is>
          <t>VÄRMLANDS LÄN</t>
        </is>
      </c>
      <c r="E7902" t="inlineStr">
        <is>
          <t>KARLSTAD</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47336-2022</t>
        </is>
      </c>
      <c r="B7903" s="1" t="n">
        <v>44853</v>
      </c>
      <c r="C7903" s="1" t="n">
        <v>45736</v>
      </c>
      <c r="D7903" t="inlineStr">
        <is>
          <t>VÄRMLANDS LÄN</t>
        </is>
      </c>
      <c r="E7903" t="inlineStr">
        <is>
          <t>SÄFFLE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47337-2022</t>
        </is>
      </c>
      <c r="B7904" s="1" t="n">
        <v>44853</v>
      </c>
      <c r="C7904" s="1" t="n">
        <v>45736</v>
      </c>
      <c r="D7904" t="inlineStr">
        <is>
          <t>VÄRMLANDS LÄN</t>
        </is>
      </c>
      <c r="E7904" t="inlineStr">
        <is>
          <t>SÄFFLE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47364-2022</t>
        </is>
      </c>
      <c r="B7905" s="1" t="n">
        <v>44853</v>
      </c>
      <c r="C7905" s="1" t="n">
        <v>45736</v>
      </c>
      <c r="D7905" t="inlineStr">
        <is>
          <t>VÄRMLANDS LÄN</t>
        </is>
      </c>
      <c r="E7905" t="inlineStr">
        <is>
          <t>HAGFORS</t>
        </is>
      </c>
      <c r="F7905" t="inlineStr">
        <is>
          <t>Bergvik skog väst AB</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47421-2022</t>
        </is>
      </c>
      <c r="B7906" s="1" t="n">
        <v>44853</v>
      </c>
      <c r="C7906" s="1" t="n">
        <v>45736</v>
      </c>
      <c r="D7906" t="inlineStr">
        <is>
          <t>VÄRMLANDS LÄN</t>
        </is>
      </c>
      <c r="E7906" t="inlineStr">
        <is>
          <t>EDA</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47974-2022</t>
        </is>
      </c>
      <c r="B7907" s="1" t="n">
        <v>44853</v>
      </c>
      <c r="C7907" s="1" t="n">
        <v>45736</v>
      </c>
      <c r="D7907" t="inlineStr">
        <is>
          <t>VÄRMLANDS LÄN</t>
        </is>
      </c>
      <c r="E7907" t="inlineStr">
        <is>
          <t>KRISTINEHAMN</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48328-2022</t>
        </is>
      </c>
      <c r="B7908" s="1" t="n">
        <v>44853</v>
      </c>
      <c r="C7908" s="1" t="n">
        <v>45736</v>
      </c>
      <c r="D7908" t="inlineStr">
        <is>
          <t>VÄRMLANDS LÄN</t>
        </is>
      </c>
      <c r="E7908" t="inlineStr">
        <is>
          <t>TORSBY</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48356-2022</t>
        </is>
      </c>
      <c r="B7909" s="1" t="n">
        <v>44853</v>
      </c>
      <c r="C7909" s="1" t="n">
        <v>45736</v>
      </c>
      <c r="D7909" t="inlineStr">
        <is>
          <t>VÄRMLANDS LÄN</t>
        </is>
      </c>
      <c r="E7909" t="inlineStr">
        <is>
          <t>TORSBY</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48320-2022</t>
        </is>
      </c>
      <c r="B7910" s="1" t="n">
        <v>44853</v>
      </c>
      <c r="C7910" s="1" t="n">
        <v>45736</v>
      </c>
      <c r="D7910" t="inlineStr">
        <is>
          <t>VÄRMLANDS LÄN</t>
        </is>
      </c>
      <c r="E7910" t="inlineStr">
        <is>
          <t>TORSBY</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48192-2022</t>
        </is>
      </c>
      <c r="B7911" s="1" t="n">
        <v>44853</v>
      </c>
      <c r="C7911" s="1" t="n">
        <v>45736</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47694-2022</t>
        </is>
      </c>
      <c r="B7912" s="1" t="n">
        <v>44854</v>
      </c>
      <c r="C7912" s="1" t="n">
        <v>45736</v>
      </c>
      <c r="D7912" t="inlineStr">
        <is>
          <t>VÄRMLANDS LÄN</t>
        </is>
      </c>
      <c r="E7912" t="inlineStr">
        <is>
          <t>TORSBY</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47750-2022</t>
        </is>
      </c>
      <c r="B7913" s="1" t="n">
        <v>44854</v>
      </c>
      <c r="C7913" s="1" t="n">
        <v>45736</v>
      </c>
      <c r="D7913" t="inlineStr">
        <is>
          <t>VÄRMLANDS LÄN</t>
        </is>
      </c>
      <c r="E7913" t="inlineStr">
        <is>
          <t>ARVIKA</t>
        </is>
      </c>
      <c r="F7913" t="inlineStr">
        <is>
          <t>Bergvik skog väst AB</t>
        </is>
      </c>
      <c r="G7913" t="n">
        <v>11.7</v>
      </c>
      <c r="H7913" t="n">
        <v>0</v>
      </c>
      <c r="I7913" t="n">
        <v>0</v>
      </c>
      <c r="J7913" t="n">
        <v>0</v>
      </c>
      <c r="K7913" t="n">
        <v>0</v>
      </c>
      <c r="L7913" t="n">
        <v>0</v>
      </c>
      <c r="M7913" t="n">
        <v>0</v>
      </c>
      <c r="N7913" t="n">
        <v>0</v>
      </c>
      <c r="O7913" t="n">
        <v>0</v>
      </c>
      <c r="P7913" t="n">
        <v>0</v>
      </c>
      <c r="Q7913" t="n">
        <v>0</v>
      </c>
      <c r="R7913" s="2" t="inlineStr"/>
    </row>
    <row r="7914" ht="15" customHeight="1">
      <c r="A7914" t="inlineStr">
        <is>
          <t>A 47618-2022</t>
        </is>
      </c>
      <c r="B7914" s="1" t="n">
        <v>44854</v>
      </c>
      <c r="C7914" s="1" t="n">
        <v>45736</v>
      </c>
      <c r="D7914" t="inlineStr">
        <is>
          <t>VÄRMLANDS LÄN</t>
        </is>
      </c>
      <c r="E7914" t="inlineStr">
        <is>
          <t>SÄFFLE</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47693-2022</t>
        </is>
      </c>
      <c r="B7915" s="1" t="n">
        <v>44854</v>
      </c>
      <c r="C7915" s="1" t="n">
        <v>45736</v>
      </c>
      <c r="D7915" t="inlineStr">
        <is>
          <t>VÄRMLANDS LÄN</t>
        </is>
      </c>
      <c r="E7915" t="inlineStr">
        <is>
          <t>FILIPSTAD</t>
        </is>
      </c>
      <c r="F7915" t="inlineStr">
        <is>
          <t>Bergvik skog väst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48805-2022</t>
        </is>
      </c>
      <c r="B7916" s="1" t="n">
        <v>44854</v>
      </c>
      <c r="C7916" s="1" t="n">
        <v>45736</v>
      </c>
      <c r="D7916" t="inlineStr">
        <is>
          <t>VÄRMLANDS LÄN</t>
        </is>
      </c>
      <c r="E7916" t="inlineStr">
        <is>
          <t>ÅRJÄNG</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47817-2022</t>
        </is>
      </c>
      <c r="B7917" s="1" t="n">
        <v>44855</v>
      </c>
      <c r="C7917" s="1" t="n">
        <v>45736</v>
      </c>
      <c r="D7917" t="inlineStr">
        <is>
          <t>VÄRMLANDS LÄN</t>
        </is>
      </c>
      <c r="E7917" t="inlineStr">
        <is>
          <t>KIL</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47915-2022</t>
        </is>
      </c>
      <c r="B7918" s="1" t="n">
        <v>44855</v>
      </c>
      <c r="C7918" s="1" t="n">
        <v>45736</v>
      </c>
      <c r="D7918" t="inlineStr">
        <is>
          <t>VÄRMLANDS LÄN</t>
        </is>
      </c>
      <c r="E7918" t="inlineStr">
        <is>
          <t>KRISTINEHAMN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47921-2022</t>
        </is>
      </c>
      <c r="B7919" s="1" t="n">
        <v>44855</v>
      </c>
      <c r="C7919" s="1" t="n">
        <v>45736</v>
      </c>
      <c r="D7919" t="inlineStr">
        <is>
          <t>VÄRMLANDS LÄN</t>
        </is>
      </c>
      <c r="E7919" t="inlineStr">
        <is>
          <t>KRISTINEHAMN</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49012-2022</t>
        </is>
      </c>
      <c r="B7920" s="1" t="n">
        <v>44855</v>
      </c>
      <c r="C7920" s="1" t="n">
        <v>45736</v>
      </c>
      <c r="D7920" t="inlineStr">
        <is>
          <t>VÄRMLANDS LÄN</t>
        </is>
      </c>
      <c r="E7920" t="inlineStr">
        <is>
          <t>ARVIKA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48984-2022</t>
        </is>
      </c>
      <c r="B7921" s="1" t="n">
        <v>44855</v>
      </c>
      <c r="C7921" s="1" t="n">
        <v>45736</v>
      </c>
      <c r="D7921" t="inlineStr">
        <is>
          <t>VÄRMLANDS LÄN</t>
        </is>
      </c>
      <c r="E7921" t="inlineStr">
        <is>
          <t>KARLSTAD</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48128-2022</t>
        </is>
      </c>
      <c r="B7922" s="1" t="n">
        <v>44857</v>
      </c>
      <c r="C7922" s="1" t="n">
        <v>45736</v>
      </c>
      <c r="D7922" t="inlineStr">
        <is>
          <t>VÄRMLANDS LÄN</t>
        </is>
      </c>
      <c r="E7922" t="inlineStr">
        <is>
          <t>EDA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48129-2022</t>
        </is>
      </c>
      <c r="B7923" s="1" t="n">
        <v>44857</v>
      </c>
      <c r="C7923" s="1" t="n">
        <v>45736</v>
      </c>
      <c r="D7923" t="inlineStr">
        <is>
          <t>VÄRMLANDS LÄN</t>
        </is>
      </c>
      <c r="E7923" t="inlineStr">
        <is>
          <t>EDA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48134-2022</t>
        </is>
      </c>
      <c r="B7924" s="1" t="n">
        <v>44858</v>
      </c>
      <c r="C7924" s="1" t="n">
        <v>45736</v>
      </c>
      <c r="D7924" t="inlineStr">
        <is>
          <t>VÄRMLANDS LÄN</t>
        </is>
      </c>
      <c r="E7924" t="inlineStr">
        <is>
          <t>SUNNE</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48203-2022</t>
        </is>
      </c>
      <c r="B7925" s="1" t="n">
        <v>44858</v>
      </c>
      <c r="C7925" s="1" t="n">
        <v>45736</v>
      </c>
      <c r="D7925" t="inlineStr">
        <is>
          <t>VÄRMLANDS LÄN</t>
        </is>
      </c>
      <c r="E7925" t="inlineStr">
        <is>
          <t>HAGFORS</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48210-2022</t>
        </is>
      </c>
      <c r="B7926" s="1" t="n">
        <v>44858</v>
      </c>
      <c r="C7926" s="1" t="n">
        <v>45736</v>
      </c>
      <c r="D7926" t="inlineStr">
        <is>
          <t>VÄRMLANDS LÄN</t>
        </is>
      </c>
      <c r="E7926" t="inlineStr">
        <is>
          <t>HAGFORS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48265-2022</t>
        </is>
      </c>
      <c r="B7927" s="1" t="n">
        <v>44858</v>
      </c>
      <c r="C7927" s="1" t="n">
        <v>45736</v>
      </c>
      <c r="D7927" t="inlineStr">
        <is>
          <t>VÄRMLANDS LÄN</t>
        </is>
      </c>
      <c r="E7927" t="inlineStr">
        <is>
          <t>SUNNE</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48314-2022</t>
        </is>
      </c>
      <c r="B7928" s="1" t="n">
        <v>44858</v>
      </c>
      <c r="C7928" s="1" t="n">
        <v>45736</v>
      </c>
      <c r="D7928" t="inlineStr">
        <is>
          <t>VÄRMLANDS LÄN</t>
        </is>
      </c>
      <c r="E7928" t="inlineStr">
        <is>
          <t>EDA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48445-2022</t>
        </is>
      </c>
      <c r="B7929" s="1" t="n">
        <v>44858</v>
      </c>
      <c r="C7929" s="1" t="n">
        <v>45736</v>
      </c>
      <c r="D7929" t="inlineStr">
        <is>
          <t>VÄRMLANDS LÄN</t>
        </is>
      </c>
      <c r="E7929" t="inlineStr">
        <is>
          <t>SUNNE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48183-2022</t>
        </is>
      </c>
      <c r="B7930" s="1" t="n">
        <v>44858</v>
      </c>
      <c r="C7930" s="1" t="n">
        <v>45736</v>
      </c>
      <c r="D7930" t="inlineStr">
        <is>
          <t>VÄRMLANDS LÄN</t>
        </is>
      </c>
      <c r="E7930" t="inlineStr">
        <is>
          <t>ARVIKA</t>
        </is>
      </c>
      <c r="G7930" t="n">
        <v>13.9</v>
      </c>
      <c r="H7930" t="n">
        <v>0</v>
      </c>
      <c r="I7930" t="n">
        <v>0</v>
      </c>
      <c r="J7930" t="n">
        <v>0</v>
      </c>
      <c r="K7930" t="n">
        <v>0</v>
      </c>
      <c r="L7930" t="n">
        <v>0</v>
      </c>
      <c r="M7930" t="n">
        <v>0</v>
      </c>
      <c r="N7930" t="n">
        <v>0</v>
      </c>
      <c r="O7930" t="n">
        <v>0</v>
      </c>
      <c r="P7930" t="n">
        <v>0</v>
      </c>
      <c r="Q7930" t="n">
        <v>0</v>
      </c>
      <c r="R7930" s="2" t="inlineStr"/>
    </row>
    <row r="7931" ht="15" customHeight="1">
      <c r="A7931" t="inlineStr">
        <is>
          <t>A 48239-2022</t>
        </is>
      </c>
      <c r="B7931" s="1" t="n">
        <v>44858</v>
      </c>
      <c r="C7931" s="1" t="n">
        <v>45736</v>
      </c>
      <c r="D7931" t="inlineStr">
        <is>
          <t>VÄRMLANDS LÄN</t>
        </is>
      </c>
      <c r="E7931" t="inlineStr">
        <is>
          <t>TORSBY</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48300-2022</t>
        </is>
      </c>
      <c r="B7932" s="1" t="n">
        <v>44858</v>
      </c>
      <c r="C7932" s="1" t="n">
        <v>45736</v>
      </c>
      <c r="D7932" t="inlineStr">
        <is>
          <t>VÄRMLANDS LÄN</t>
        </is>
      </c>
      <c r="E7932" t="inlineStr">
        <is>
          <t>ÅRJÄNG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48310-2022</t>
        </is>
      </c>
      <c r="B7933" s="1" t="n">
        <v>44858</v>
      </c>
      <c r="C7933" s="1" t="n">
        <v>45736</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48482-2022</t>
        </is>
      </c>
      <c r="B7934" s="1" t="n">
        <v>44858</v>
      </c>
      <c r="C7934" s="1" t="n">
        <v>45736</v>
      </c>
      <c r="D7934" t="inlineStr">
        <is>
          <t>VÄRMLANDS LÄN</t>
        </is>
      </c>
      <c r="E7934" t="inlineStr">
        <is>
          <t>ÅRJÄNG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48488-2022</t>
        </is>
      </c>
      <c r="B7935" s="1" t="n">
        <v>44858</v>
      </c>
      <c r="C7935" s="1" t="n">
        <v>45736</v>
      </c>
      <c r="D7935" t="inlineStr">
        <is>
          <t>VÄRMLANDS LÄN</t>
        </is>
      </c>
      <c r="E7935" t="inlineStr">
        <is>
          <t>ARVIKA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48293-2022</t>
        </is>
      </c>
      <c r="B7936" s="1" t="n">
        <v>44858</v>
      </c>
      <c r="C7936" s="1" t="n">
        <v>45736</v>
      </c>
      <c r="D7936" t="inlineStr">
        <is>
          <t>VÄRMLANDS LÄN</t>
        </is>
      </c>
      <c r="E7936" t="inlineStr">
        <is>
          <t>ÅRJÄNG</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48288-2022</t>
        </is>
      </c>
      <c r="B7937" s="1" t="n">
        <v>44858</v>
      </c>
      <c r="C7937" s="1" t="n">
        <v>45736</v>
      </c>
      <c r="D7937" t="inlineStr">
        <is>
          <t>VÄRMLANDS LÄN</t>
        </is>
      </c>
      <c r="E7937" t="inlineStr">
        <is>
          <t>EDA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48396-2022</t>
        </is>
      </c>
      <c r="B7938" s="1" t="n">
        <v>44858</v>
      </c>
      <c r="C7938" s="1" t="n">
        <v>45736</v>
      </c>
      <c r="D7938" t="inlineStr">
        <is>
          <t>VÄRMLANDS LÄN</t>
        </is>
      </c>
      <c r="E7938" t="inlineStr">
        <is>
          <t>SÄFFLE</t>
        </is>
      </c>
      <c r="G7938" t="n">
        <v>13.7</v>
      </c>
      <c r="H7938" t="n">
        <v>0</v>
      </c>
      <c r="I7938" t="n">
        <v>0</v>
      </c>
      <c r="J7938" t="n">
        <v>0</v>
      </c>
      <c r="K7938" t="n">
        <v>0</v>
      </c>
      <c r="L7938" t="n">
        <v>0</v>
      </c>
      <c r="M7938" t="n">
        <v>0</v>
      </c>
      <c r="N7938" t="n">
        <v>0</v>
      </c>
      <c r="O7938" t="n">
        <v>0</v>
      </c>
      <c r="P7938" t="n">
        <v>0</v>
      </c>
      <c r="Q7938" t="n">
        <v>0</v>
      </c>
      <c r="R7938" s="2" t="inlineStr"/>
    </row>
    <row r="7939" ht="15" customHeight="1">
      <c r="A7939" t="inlineStr">
        <is>
          <t>A 48306-2022</t>
        </is>
      </c>
      <c r="B7939" s="1" t="n">
        <v>44858</v>
      </c>
      <c r="C7939" s="1" t="n">
        <v>45736</v>
      </c>
      <c r="D7939" t="inlineStr">
        <is>
          <t>VÄRMLANDS LÄN</t>
        </is>
      </c>
      <c r="E7939" t="inlineStr">
        <is>
          <t>ÅRJÄNG</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49127-2022</t>
        </is>
      </c>
      <c r="B7940" s="1" t="n">
        <v>44858</v>
      </c>
      <c r="C7940" s="1" t="n">
        <v>45736</v>
      </c>
      <c r="D7940" t="inlineStr">
        <is>
          <t>VÄRMLANDS LÄN</t>
        </is>
      </c>
      <c r="E7940" t="inlineStr">
        <is>
          <t>KARLSTAD</t>
        </is>
      </c>
      <c r="G7940" t="n">
        <v>10.9</v>
      </c>
      <c r="H7940" t="n">
        <v>0</v>
      </c>
      <c r="I7940" t="n">
        <v>0</v>
      </c>
      <c r="J7940" t="n">
        <v>0</v>
      </c>
      <c r="K7940" t="n">
        <v>0</v>
      </c>
      <c r="L7940" t="n">
        <v>0</v>
      </c>
      <c r="M7940" t="n">
        <v>0</v>
      </c>
      <c r="N7940" t="n">
        <v>0</v>
      </c>
      <c r="O7940" t="n">
        <v>0</v>
      </c>
      <c r="P7940" t="n">
        <v>0</v>
      </c>
      <c r="Q7940" t="n">
        <v>0</v>
      </c>
      <c r="R7940" s="2" t="inlineStr"/>
    </row>
    <row r="7941" ht="15" customHeight="1">
      <c r="A7941" t="inlineStr">
        <is>
          <t>A 48622-2022</t>
        </is>
      </c>
      <c r="B7941" s="1" t="n">
        <v>44859</v>
      </c>
      <c r="C7941" s="1" t="n">
        <v>45736</v>
      </c>
      <c r="D7941" t="inlineStr">
        <is>
          <t>VÄRMLANDS LÄN</t>
        </is>
      </c>
      <c r="E7941" t="inlineStr">
        <is>
          <t>ÅRJÄNG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48720-2022</t>
        </is>
      </c>
      <c r="B7942" s="1" t="n">
        <v>44859</v>
      </c>
      <c r="C7942" s="1" t="n">
        <v>45736</v>
      </c>
      <c r="D7942" t="inlineStr">
        <is>
          <t>VÄRMLANDS LÄN</t>
        </is>
      </c>
      <c r="E7942" t="inlineStr">
        <is>
          <t>ARVIKA</t>
        </is>
      </c>
      <c r="F7942" t="inlineStr">
        <is>
          <t>Bergvik skog väst AB</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48872-2022</t>
        </is>
      </c>
      <c r="B7943" s="1" t="n">
        <v>44859</v>
      </c>
      <c r="C7943" s="1" t="n">
        <v>45736</v>
      </c>
      <c r="D7943" t="inlineStr">
        <is>
          <t>VÄRMLANDS LÄN</t>
        </is>
      </c>
      <c r="E7943" t="inlineStr">
        <is>
          <t>ÅRJÄNG</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48787-2022</t>
        </is>
      </c>
      <c r="B7944" s="1" t="n">
        <v>44859</v>
      </c>
      <c r="C7944" s="1" t="n">
        <v>45736</v>
      </c>
      <c r="D7944" t="inlineStr">
        <is>
          <t>VÄRMLANDS LÄN</t>
        </is>
      </c>
      <c r="E7944" t="inlineStr">
        <is>
          <t>KIL</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48853-2022</t>
        </is>
      </c>
      <c r="B7945" s="1" t="n">
        <v>44859</v>
      </c>
      <c r="C7945" s="1" t="n">
        <v>45736</v>
      </c>
      <c r="D7945" t="inlineStr">
        <is>
          <t>VÄRMLANDS LÄN</t>
        </is>
      </c>
      <c r="E7945" t="inlineStr">
        <is>
          <t>SUNNE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48712-2022</t>
        </is>
      </c>
      <c r="B7946" s="1" t="n">
        <v>44859</v>
      </c>
      <c r="C7946" s="1" t="n">
        <v>45736</v>
      </c>
      <c r="D7946" t="inlineStr">
        <is>
          <t>VÄRMLANDS LÄN</t>
        </is>
      </c>
      <c r="E7946" t="inlineStr">
        <is>
          <t>TORSBY</t>
        </is>
      </c>
      <c r="F7946" t="inlineStr">
        <is>
          <t>Bergvik skog väst AB</t>
        </is>
      </c>
      <c r="G7946" t="n">
        <v>22.7</v>
      </c>
      <c r="H7946" t="n">
        <v>0</v>
      </c>
      <c r="I7946" t="n">
        <v>0</v>
      </c>
      <c r="J7946" t="n">
        <v>0</v>
      </c>
      <c r="K7946" t="n">
        <v>0</v>
      </c>
      <c r="L7946" t="n">
        <v>0</v>
      </c>
      <c r="M7946" t="n">
        <v>0</v>
      </c>
      <c r="N7946" t="n">
        <v>0</v>
      </c>
      <c r="O7946" t="n">
        <v>0</v>
      </c>
      <c r="P7946" t="n">
        <v>0</v>
      </c>
      <c r="Q7946" t="n">
        <v>0</v>
      </c>
      <c r="R7946" s="2" t="inlineStr"/>
    </row>
    <row r="7947" ht="15" customHeight="1">
      <c r="A7947" t="inlineStr">
        <is>
          <t>A 48794-2022</t>
        </is>
      </c>
      <c r="B7947" s="1" t="n">
        <v>44859</v>
      </c>
      <c r="C7947" s="1" t="n">
        <v>45736</v>
      </c>
      <c r="D7947" t="inlineStr">
        <is>
          <t>VÄRMLANDS LÄN</t>
        </is>
      </c>
      <c r="E7947" t="inlineStr">
        <is>
          <t>ARVIKA</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48827-2022</t>
        </is>
      </c>
      <c r="B7948" s="1" t="n">
        <v>44859</v>
      </c>
      <c r="C7948" s="1" t="n">
        <v>45736</v>
      </c>
      <c r="D7948" t="inlineStr">
        <is>
          <t>VÄRMLANDS LÄN</t>
        </is>
      </c>
      <c r="E7948" t="inlineStr">
        <is>
          <t>ARVIKA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48833-2022</t>
        </is>
      </c>
      <c r="B7949" s="1" t="n">
        <v>44859</v>
      </c>
      <c r="C7949" s="1" t="n">
        <v>45736</v>
      </c>
      <c r="D7949" t="inlineStr">
        <is>
          <t>VÄRMLANDS LÄN</t>
        </is>
      </c>
      <c r="E7949" t="inlineStr">
        <is>
          <t>ARVIKA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49699-2022</t>
        </is>
      </c>
      <c r="B7950" s="1" t="n">
        <v>44859</v>
      </c>
      <c r="C7950" s="1" t="n">
        <v>45736</v>
      </c>
      <c r="D7950" t="inlineStr">
        <is>
          <t>VÄRMLANDS LÄN</t>
        </is>
      </c>
      <c r="E7950" t="inlineStr">
        <is>
          <t>TORSBY</t>
        </is>
      </c>
      <c r="F7950" t="inlineStr">
        <is>
          <t>Kyrkan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49814-2022</t>
        </is>
      </c>
      <c r="B7951" s="1" t="n">
        <v>44859</v>
      </c>
      <c r="C7951" s="1" t="n">
        <v>45736</v>
      </c>
      <c r="D7951" t="inlineStr">
        <is>
          <t>VÄRMLANDS LÄN</t>
        </is>
      </c>
      <c r="E7951" t="inlineStr">
        <is>
          <t>TORSBY</t>
        </is>
      </c>
      <c r="F7951" t="inlineStr">
        <is>
          <t>Kyrkan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49608-2022</t>
        </is>
      </c>
      <c r="B7952" s="1" t="n">
        <v>44859</v>
      </c>
      <c r="C7952" s="1" t="n">
        <v>45736</v>
      </c>
      <c r="D7952" t="inlineStr">
        <is>
          <t>VÄRMLANDS LÄN</t>
        </is>
      </c>
      <c r="E7952" t="inlineStr">
        <is>
          <t>TORSBY</t>
        </is>
      </c>
      <c r="F7952" t="inlineStr">
        <is>
          <t>Kyrkan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49705-2022</t>
        </is>
      </c>
      <c r="B7953" s="1" t="n">
        <v>44859</v>
      </c>
      <c r="C7953" s="1" t="n">
        <v>45736</v>
      </c>
      <c r="D7953" t="inlineStr">
        <is>
          <t>VÄRMLANDS LÄN</t>
        </is>
      </c>
      <c r="E7953" t="inlineStr">
        <is>
          <t>SUNNE</t>
        </is>
      </c>
      <c r="F7953" t="inlineStr">
        <is>
          <t>Kyrkan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48971-2022</t>
        </is>
      </c>
      <c r="B7954" s="1" t="n">
        <v>44860</v>
      </c>
      <c r="C7954" s="1" t="n">
        <v>45736</v>
      </c>
      <c r="D7954" t="inlineStr">
        <is>
          <t>VÄRMLANDS LÄN</t>
        </is>
      </c>
      <c r="E7954" t="inlineStr">
        <is>
          <t>HAGFORS</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49028-2022</t>
        </is>
      </c>
      <c r="B7955" s="1" t="n">
        <v>44860</v>
      </c>
      <c r="C7955" s="1" t="n">
        <v>45736</v>
      </c>
      <c r="D7955" t="inlineStr">
        <is>
          <t>VÄRMLANDS LÄN</t>
        </is>
      </c>
      <c r="E7955" t="inlineStr">
        <is>
          <t>EDA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48966-2022</t>
        </is>
      </c>
      <c r="B7956" s="1" t="n">
        <v>44860</v>
      </c>
      <c r="C7956" s="1" t="n">
        <v>45736</v>
      </c>
      <c r="D7956" t="inlineStr">
        <is>
          <t>VÄRMLANDS LÄN</t>
        </is>
      </c>
      <c r="E7956" t="inlineStr">
        <is>
          <t>ARVIKA</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48972-2022</t>
        </is>
      </c>
      <c r="B7957" s="1" t="n">
        <v>44860</v>
      </c>
      <c r="C7957" s="1" t="n">
        <v>45736</v>
      </c>
      <c r="D7957" t="inlineStr">
        <is>
          <t>VÄRMLANDS LÄN</t>
        </is>
      </c>
      <c r="E7957" t="inlineStr">
        <is>
          <t>EDA</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49030-2022</t>
        </is>
      </c>
      <c r="B7958" s="1" t="n">
        <v>44860</v>
      </c>
      <c r="C7958" s="1" t="n">
        <v>45736</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48973-2022</t>
        </is>
      </c>
      <c r="B7959" s="1" t="n">
        <v>44860</v>
      </c>
      <c r="C7959" s="1" t="n">
        <v>45736</v>
      </c>
      <c r="D7959" t="inlineStr">
        <is>
          <t>VÄRMLANDS LÄN</t>
        </is>
      </c>
      <c r="E7959" t="inlineStr">
        <is>
          <t>HAGFORS</t>
        </is>
      </c>
      <c r="F7959" t="inlineStr">
        <is>
          <t>Bergvik skog väst AB</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48970-2022</t>
        </is>
      </c>
      <c r="B7960" s="1" t="n">
        <v>44860</v>
      </c>
      <c r="C7960" s="1" t="n">
        <v>45736</v>
      </c>
      <c r="D7960" t="inlineStr">
        <is>
          <t>VÄRMLANDS LÄN</t>
        </is>
      </c>
      <c r="E7960" t="inlineStr">
        <is>
          <t>HAGFORS</t>
        </is>
      </c>
      <c r="F7960" t="inlineStr">
        <is>
          <t>Bergvik skog väst AB</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49046-2022</t>
        </is>
      </c>
      <c r="B7961" s="1" t="n">
        <v>44860</v>
      </c>
      <c r="C7961" s="1" t="n">
        <v>45736</v>
      </c>
      <c r="D7961" t="inlineStr">
        <is>
          <t>VÄRMLANDS LÄN</t>
        </is>
      </c>
      <c r="E7961" t="inlineStr">
        <is>
          <t>FILIPSTAD</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49073-2022</t>
        </is>
      </c>
      <c r="B7962" s="1" t="n">
        <v>44860</v>
      </c>
      <c r="C7962" s="1" t="n">
        <v>45736</v>
      </c>
      <c r="D7962" t="inlineStr">
        <is>
          <t>VÄRMLANDS LÄN</t>
        </is>
      </c>
      <c r="E7962" t="inlineStr">
        <is>
          <t>TORSBY</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49116-2022</t>
        </is>
      </c>
      <c r="B7963" s="1" t="n">
        <v>44860</v>
      </c>
      <c r="C7963" s="1" t="n">
        <v>45736</v>
      </c>
      <c r="D7963" t="inlineStr">
        <is>
          <t>VÄRMLANDS LÄN</t>
        </is>
      </c>
      <c r="E7963" t="inlineStr">
        <is>
          <t>GRUMS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49180-2022</t>
        </is>
      </c>
      <c r="B7964" s="1" t="n">
        <v>44861</v>
      </c>
      <c r="C7964" s="1" t="n">
        <v>45736</v>
      </c>
      <c r="D7964" t="inlineStr">
        <is>
          <t>VÄRMLANDS LÄN</t>
        </is>
      </c>
      <c r="E7964" t="inlineStr">
        <is>
          <t>SUNNE</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49206-2022</t>
        </is>
      </c>
      <c r="B7965" s="1" t="n">
        <v>44861</v>
      </c>
      <c r="C7965" s="1" t="n">
        <v>45736</v>
      </c>
      <c r="D7965" t="inlineStr">
        <is>
          <t>VÄRMLANDS LÄN</t>
        </is>
      </c>
      <c r="E7965" t="inlineStr">
        <is>
          <t>TORSBY</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49244-2022</t>
        </is>
      </c>
      <c r="B7966" s="1" t="n">
        <v>44861</v>
      </c>
      <c r="C7966" s="1" t="n">
        <v>45736</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49258-2022</t>
        </is>
      </c>
      <c r="B7967" s="1" t="n">
        <v>44861</v>
      </c>
      <c r="C7967" s="1" t="n">
        <v>45736</v>
      </c>
      <c r="D7967" t="inlineStr">
        <is>
          <t>VÄRMLANDS LÄN</t>
        </is>
      </c>
      <c r="E7967" t="inlineStr">
        <is>
          <t>ÅRJÄNG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49285-2022</t>
        </is>
      </c>
      <c r="B7968" s="1" t="n">
        <v>44861</v>
      </c>
      <c r="C7968" s="1" t="n">
        <v>45736</v>
      </c>
      <c r="D7968" t="inlineStr">
        <is>
          <t>VÄRMLANDS LÄN</t>
        </is>
      </c>
      <c r="E7968" t="inlineStr">
        <is>
          <t>KARLSTAD</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49346-2022</t>
        </is>
      </c>
      <c r="B7969" s="1" t="n">
        <v>44861</v>
      </c>
      <c r="C7969" s="1" t="n">
        <v>45736</v>
      </c>
      <c r="D7969" t="inlineStr">
        <is>
          <t>VÄRMLANDS LÄN</t>
        </is>
      </c>
      <c r="E7969" t="inlineStr">
        <is>
          <t>TORSBY</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49405-2022</t>
        </is>
      </c>
      <c r="B7970" s="1" t="n">
        <v>44861</v>
      </c>
      <c r="C7970" s="1" t="n">
        <v>45736</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49436-2022</t>
        </is>
      </c>
      <c r="B7971" s="1" t="n">
        <v>44861</v>
      </c>
      <c r="C7971" s="1" t="n">
        <v>45736</v>
      </c>
      <c r="D7971" t="inlineStr">
        <is>
          <t>VÄRMLANDS LÄN</t>
        </is>
      </c>
      <c r="E7971" t="inlineStr">
        <is>
          <t>EDA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50415-2022</t>
        </is>
      </c>
      <c r="B7972" s="1" t="n">
        <v>44861</v>
      </c>
      <c r="C7972" s="1" t="n">
        <v>45736</v>
      </c>
      <c r="D7972" t="inlineStr">
        <is>
          <t>VÄRMLANDS LÄN</t>
        </is>
      </c>
      <c r="E7972" t="inlineStr">
        <is>
          <t>SÄFFLE</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50442-2022</t>
        </is>
      </c>
      <c r="B7973" s="1" t="n">
        <v>44861</v>
      </c>
      <c r="C7973" s="1" t="n">
        <v>45736</v>
      </c>
      <c r="D7973" t="inlineStr">
        <is>
          <t>VÄRMLANDS LÄN</t>
        </is>
      </c>
      <c r="E7973" t="inlineStr">
        <is>
          <t>SÄFFLE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49300-2022</t>
        </is>
      </c>
      <c r="B7974" s="1" t="n">
        <v>44861</v>
      </c>
      <c r="C7974" s="1" t="n">
        <v>45736</v>
      </c>
      <c r="D7974" t="inlineStr">
        <is>
          <t>VÄRMLANDS LÄN</t>
        </is>
      </c>
      <c r="E7974" t="inlineStr">
        <is>
          <t>GRUMS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50390-2022</t>
        </is>
      </c>
      <c r="B7975" s="1" t="n">
        <v>44861</v>
      </c>
      <c r="C7975" s="1" t="n">
        <v>45736</v>
      </c>
      <c r="D7975" t="inlineStr">
        <is>
          <t>VÄRMLANDS LÄN</t>
        </is>
      </c>
      <c r="E7975" t="inlineStr">
        <is>
          <t>TORSBY</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50558-2022</t>
        </is>
      </c>
      <c r="B7976" s="1" t="n">
        <v>44861</v>
      </c>
      <c r="C7976" s="1" t="n">
        <v>45736</v>
      </c>
      <c r="D7976" t="inlineStr">
        <is>
          <t>VÄRMLANDS LÄN</t>
        </is>
      </c>
      <c r="E7976" t="inlineStr">
        <is>
          <t>KRISTINEHAMN</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49673-2022</t>
        </is>
      </c>
      <c r="B7977" s="1" t="n">
        <v>44862</v>
      </c>
      <c r="C7977" s="1" t="n">
        <v>45736</v>
      </c>
      <c r="D7977" t="inlineStr">
        <is>
          <t>VÄRMLANDS LÄN</t>
        </is>
      </c>
      <c r="E7977" t="inlineStr">
        <is>
          <t>ÅRJÄNG</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49701-2022</t>
        </is>
      </c>
      <c r="B7978" s="1" t="n">
        <v>44862</v>
      </c>
      <c r="C7978" s="1" t="n">
        <v>45736</v>
      </c>
      <c r="D7978" t="inlineStr">
        <is>
          <t>VÄRMLANDS LÄN</t>
        </is>
      </c>
      <c r="E7978" t="inlineStr">
        <is>
          <t>ÅRJÄNG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49732-2022</t>
        </is>
      </c>
      <c r="B7979" s="1" t="n">
        <v>44862</v>
      </c>
      <c r="C7979" s="1" t="n">
        <v>45736</v>
      </c>
      <c r="D7979" t="inlineStr">
        <is>
          <t>VÄRMLANDS LÄN</t>
        </is>
      </c>
      <c r="E7979" t="inlineStr">
        <is>
          <t>SUNNE</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49795-2022</t>
        </is>
      </c>
      <c r="B7980" s="1" t="n">
        <v>44862</v>
      </c>
      <c r="C7980" s="1" t="n">
        <v>45736</v>
      </c>
      <c r="D7980" t="inlineStr">
        <is>
          <t>VÄRMLANDS LÄN</t>
        </is>
      </c>
      <c r="E7980" t="inlineStr">
        <is>
          <t>TORSBY</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49810-2022</t>
        </is>
      </c>
      <c r="B7981" s="1" t="n">
        <v>44862</v>
      </c>
      <c r="C7981" s="1" t="n">
        <v>45736</v>
      </c>
      <c r="D7981" t="inlineStr">
        <is>
          <t>VÄRMLANDS LÄN</t>
        </is>
      </c>
      <c r="E7981" t="inlineStr">
        <is>
          <t>TORSBY</t>
        </is>
      </c>
      <c r="F7981" t="inlineStr">
        <is>
          <t>Bergvik skog väst AB</t>
        </is>
      </c>
      <c r="G7981" t="n">
        <v>7</v>
      </c>
      <c r="H7981" t="n">
        <v>0</v>
      </c>
      <c r="I7981" t="n">
        <v>0</v>
      </c>
      <c r="J7981" t="n">
        <v>0</v>
      </c>
      <c r="K7981" t="n">
        <v>0</v>
      </c>
      <c r="L7981" t="n">
        <v>0</v>
      </c>
      <c r="M7981" t="n">
        <v>0</v>
      </c>
      <c r="N7981" t="n">
        <v>0</v>
      </c>
      <c r="O7981" t="n">
        <v>0</v>
      </c>
      <c r="P7981" t="n">
        <v>0</v>
      </c>
      <c r="Q7981" t="n">
        <v>0</v>
      </c>
      <c r="R7981" s="2" t="inlineStr"/>
    </row>
    <row r="7982" ht="15" customHeight="1">
      <c r="A7982" t="inlineStr">
        <is>
          <t>A 50720-2022</t>
        </is>
      </c>
      <c r="B7982" s="1" t="n">
        <v>44862</v>
      </c>
      <c r="C7982" s="1" t="n">
        <v>45736</v>
      </c>
      <c r="D7982" t="inlineStr">
        <is>
          <t>VÄRMLANDS LÄN</t>
        </is>
      </c>
      <c r="E7982" t="inlineStr">
        <is>
          <t>SÄFFLE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49891-2022</t>
        </is>
      </c>
      <c r="B7983" s="1" t="n">
        <v>44864</v>
      </c>
      <c r="C7983" s="1" t="n">
        <v>45736</v>
      </c>
      <c r="D7983" t="inlineStr">
        <is>
          <t>VÄRMLANDS LÄN</t>
        </is>
      </c>
      <c r="E7983" t="inlineStr">
        <is>
          <t>ÅRJÄNG</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49896-2022</t>
        </is>
      </c>
      <c r="B7984" s="1" t="n">
        <v>44864</v>
      </c>
      <c r="C7984" s="1" t="n">
        <v>45736</v>
      </c>
      <c r="D7984" t="inlineStr">
        <is>
          <t>VÄRMLANDS LÄN</t>
        </is>
      </c>
      <c r="E7984" t="inlineStr">
        <is>
          <t>ÅRJÄNG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49888-2022</t>
        </is>
      </c>
      <c r="B7985" s="1" t="n">
        <v>44864</v>
      </c>
      <c r="C7985" s="1" t="n">
        <v>45736</v>
      </c>
      <c r="D7985" t="inlineStr">
        <is>
          <t>VÄRMLANDS LÄN</t>
        </is>
      </c>
      <c r="E7985" t="inlineStr">
        <is>
          <t>SÄFFLE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49957-2022</t>
        </is>
      </c>
      <c r="B7986" s="1" t="n">
        <v>44865</v>
      </c>
      <c r="C7986" s="1" t="n">
        <v>45736</v>
      </c>
      <c r="D7986" t="inlineStr">
        <is>
          <t>VÄRMLANDS LÄN</t>
        </is>
      </c>
      <c r="E7986" t="inlineStr">
        <is>
          <t>TORSBY</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49983-2022</t>
        </is>
      </c>
      <c r="B7987" s="1" t="n">
        <v>44865</v>
      </c>
      <c r="C7987" s="1" t="n">
        <v>45736</v>
      </c>
      <c r="D7987" t="inlineStr">
        <is>
          <t>VÄRMLANDS LÄN</t>
        </is>
      </c>
      <c r="E7987" t="inlineStr">
        <is>
          <t>TORSBY</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50030-2022</t>
        </is>
      </c>
      <c r="B7988" s="1" t="n">
        <v>44865</v>
      </c>
      <c r="C7988" s="1" t="n">
        <v>45736</v>
      </c>
      <c r="D7988" t="inlineStr">
        <is>
          <t>VÄRMLANDS LÄN</t>
        </is>
      </c>
      <c r="E7988" t="inlineStr">
        <is>
          <t>EDA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50098-2022</t>
        </is>
      </c>
      <c r="B7989" s="1" t="n">
        <v>44865</v>
      </c>
      <c r="C7989" s="1" t="n">
        <v>45736</v>
      </c>
      <c r="D7989" t="inlineStr">
        <is>
          <t>VÄRMLANDS LÄN</t>
        </is>
      </c>
      <c r="E7989" t="inlineStr">
        <is>
          <t>ARVIKA</t>
        </is>
      </c>
      <c r="F7989" t="inlineStr">
        <is>
          <t>Bergvik skog väst AB</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50114-2022</t>
        </is>
      </c>
      <c r="B7990" s="1" t="n">
        <v>44865</v>
      </c>
      <c r="C7990" s="1" t="n">
        <v>45736</v>
      </c>
      <c r="D7990" t="inlineStr">
        <is>
          <t>VÄRMLANDS LÄN</t>
        </is>
      </c>
      <c r="E7990" t="inlineStr">
        <is>
          <t>EDA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49970-2022</t>
        </is>
      </c>
      <c r="B7991" s="1" t="n">
        <v>44865</v>
      </c>
      <c r="C7991" s="1" t="n">
        <v>45736</v>
      </c>
      <c r="D7991" t="inlineStr">
        <is>
          <t>VÄRMLANDS LÄN</t>
        </is>
      </c>
      <c r="E7991" t="inlineStr">
        <is>
          <t>TORSBY</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50060-2022</t>
        </is>
      </c>
      <c r="B7992" s="1" t="n">
        <v>44865</v>
      </c>
      <c r="C7992" s="1" t="n">
        <v>45736</v>
      </c>
      <c r="D7992" t="inlineStr">
        <is>
          <t>VÄRMLANDS LÄN</t>
        </is>
      </c>
      <c r="E7992" t="inlineStr">
        <is>
          <t>FORSHAGA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50068-2022</t>
        </is>
      </c>
      <c r="B7993" s="1" t="n">
        <v>44865</v>
      </c>
      <c r="C7993" s="1" t="n">
        <v>45736</v>
      </c>
      <c r="D7993" t="inlineStr">
        <is>
          <t>VÄRMLANDS LÄN</t>
        </is>
      </c>
      <c r="E7993" t="inlineStr">
        <is>
          <t>FORSHAGA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49959-2022</t>
        </is>
      </c>
      <c r="B7994" s="1" t="n">
        <v>44865</v>
      </c>
      <c r="C7994" s="1" t="n">
        <v>45736</v>
      </c>
      <c r="D7994" t="inlineStr">
        <is>
          <t>VÄRMLANDS LÄN</t>
        </is>
      </c>
      <c r="E7994" t="inlineStr">
        <is>
          <t>TORSBY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50025-2022</t>
        </is>
      </c>
      <c r="B7995" s="1" t="n">
        <v>44865</v>
      </c>
      <c r="C7995" s="1" t="n">
        <v>45736</v>
      </c>
      <c r="D7995" t="inlineStr">
        <is>
          <t>VÄRMLANDS LÄN</t>
        </is>
      </c>
      <c r="E7995" t="inlineStr">
        <is>
          <t>ÅRJÄNG</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50044-2022</t>
        </is>
      </c>
      <c r="B7996" s="1" t="n">
        <v>44865</v>
      </c>
      <c r="C7996" s="1" t="n">
        <v>45736</v>
      </c>
      <c r="D7996" t="inlineStr">
        <is>
          <t>VÄRMLANDS LÄN</t>
        </is>
      </c>
      <c r="E7996" t="inlineStr">
        <is>
          <t>ÅRJÄNG</t>
        </is>
      </c>
      <c r="F7996" t="inlineStr">
        <is>
          <t>Bergvik skog väst AB</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50106-2022</t>
        </is>
      </c>
      <c r="B7997" s="1" t="n">
        <v>44865</v>
      </c>
      <c r="C7997" s="1" t="n">
        <v>45736</v>
      </c>
      <c r="D7997" t="inlineStr">
        <is>
          <t>VÄRMLANDS LÄN</t>
        </is>
      </c>
      <c r="E7997" t="inlineStr">
        <is>
          <t>EDA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50199-2022</t>
        </is>
      </c>
      <c r="B7998" s="1" t="n">
        <v>44865</v>
      </c>
      <c r="C7998" s="1" t="n">
        <v>45736</v>
      </c>
      <c r="D7998" t="inlineStr">
        <is>
          <t>VÄRMLANDS LÄN</t>
        </is>
      </c>
      <c r="E7998" t="inlineStr">
        <is>
          <t>HAGFORS</t>
        </is>
      </c>
      <c r="F7998" t="inlineStr">
        <is>
          <t>Bergvik skog väst AB</t>
        </is>
      </c>
      <c r="G7998" t="n">
        <v>33.2</v>
      </c>
      <c r="H7998" t="n">
        <v>0</v>
      </c>
      <c r="I7998" t="n">
        <v>0</v>
      </c>
      <c r="J7998" t="n">
        <v>0</v>
      </c>
      <c r="K7998" t="n">
        <v>0</v>
      </c>
      <c r="L7998" t="n">
        <v>0</v>
      </c>
      <c r="M7998" t="n">
        <v>0</v>
      </c>
      <c r="N7998" t="n">
        <v>0</v>
      </c>
      <c r="O7998" t="n">
        <v>0</v>
      </c>
      <c r="P7998" t="n">
        <v>0</v>
      </c>
      <c r="Q7998" t="n">
        <v>0</v>
      </c>
      <c r="R7998" s="2" t="inlineStr"/>
    </row>
    <row r="7999" ht="15" customHeight="1">
      <c r="A7999" t="inlineStr">
        <is>
          <t>A 49949-2022</t>
        </is>
      </c>
      <c r="B7999" s="1" t="n">
        <v>44865</v>
      </c>
      <c r="C7999" s="1" t="n">
        <v>45736</v>
      </c>
      <c r="D7999" t="inlineStr">
        <is>
          <t>VÄRMLANDS LÄN</t>
        </is>
      </c>
      <c r="E7999" t="inlineStr">
        <is>
          <t>ÅRJÄNG</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50263-2022</t>
        </is>
      </c>
      <c r="B8000" s="1" t="n">
        <v>44865</v>
      </c>
      <c r="C8000" s="1" t="n">
        <v>45736</v>
      </c>
      <c r="D8000" t="inlineStr">
        <is>
          <t>VÄRMLANDS LÄN</t>
        </is>
      </c>
      <c r="E8000" t="inlineStr">
        <is>
          <t>ARVIKA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50280-2022</t>
        </is>
      </c>
      <c r="B8001" s="1" t="n">
        <v>44865</v>
      </c>
      <c r="C8001" s="1" t="n">
        <v>45736</v>
      </c>
      <c r="D8001" t="inlineStr">
        <is>
          <t>VÄRMLANDS LÄN</t>
        </is>
      </c>
      <c r="E8001" t="inlineStr">
        <is>
          <t>TORSBY</t>
        </is>
      </c>
      <c r="F8001" t="inlineStr">
        <is>
          <t>Bergvik skog väst AB</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50417-2022</t>
        </is>
      </c>
      <c r="B8002" s="1" t="n">
        <v>44866</v>
      </c>
      <c r="C8002" s="1" t="n">
        <v>45736</v>
      </c>
      <c r="D8002" t="inlineStr">
        <is>
          <t>VÄRMLANDS LÄN</t>
        </is>
      </c>
      <c r="E8002" t="inlineStr">
        <is>
          <t>TORSBY</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50436-2022</t>
        </is>
      </c>
      <c r="B8003" s="1" t="n">
        <v>44866</v>
      </c>
      <c r="C8003" s="1" t="n">
        <v>45736</v>
      </c>
      <c r="D8003" t="inlineStr">
        <is>
          <t>VÄRMLANDS LÄN</t>
        </is>
      </c>
      <c r="E8003" t="inlineStr">
        <is>
          <t>TORSBY</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50434-2022</t>
        </is>
      </c>
      <c r="B8004" s="1" t="n">
        <v>44866</v>
      </c>
      <c r="C8004" s="1" t="n">
        <v>45736</v>
      </c>
      <c r="D8004" t="inlineStr">
        <is>
          <t>VÄRMLANDS LÄN</t>
        </is>
      </c>
      <c r="E8004" t="inlineStr">
        <is>
          <t>TORSBY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50560-2022</t>
        </is>
      </c>
      <c r="B8005" s="1" t="n">
        <v>44866</v>
      </c>
      <c r="C8005" s="1" t="n">
        <v>45736</v>
      </c>
      <c r="D8005" t="inlineStr">
        <is>
          <t>VÄRMLANDS LÄN</t>
        </is>
      </c>
      <c r="E8005" t="inlineStr">
        <is>
          <t>ARVIKA</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50584-2022</t>
        </is>
      </c>
      <c r="B8006" s="1" t="n">
        <v>44866</v>
      </c>
      <c r="C8006" s="1" t="n">
        <v>45736</v>
      </c>
      <c r="D8006" t="inlineStr">
        <is>
          <t>VÄRMLANDS LÄN</t>
        </is>
      </c>
      <c r="E8006" t="inlineStr">
        <is>
          <t>ARVIKA</t>
        </is>
      </c>
      <c r="F8006" t="inlineStr">
        <is>
          <t>Bergvik skog väst AB</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51350-2022</t>
        </is>
      </c>
      <c r="B8007" s="1" t="n">
        <v>44866</v>
      </c>
      <c r="C8007" s="1" t="n">
        <v>45736</v>
      </c>
      <c r="D8007" t="inlineStr">
        <is>
          <t>VÄRMLANDS LÄN</t>
        </is>
      </c>
      <c r="E8007" t="inlineStr">
        <is>
          <t>SÄFFLE</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50953-2022</t>
        </is>
      </c>
      <c r="B8008" s="1" t="n">
        <v>44866</v>
      </c>
      <c r="C8008" s="1" t="n">
        <v>45736</v>
      </c>
      <c r="D8008" t="inlineStr">
        <is>
          <t>VÄRMLANDS LÄN</t>
        </is>
      </c>
      <c r="E8008" t="inlineStr">
        <is>
          <t>TORSBY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50856-2022</t>
        </is>
      </c>
      <c r="B8009" s="1" t="n">
        <v>44867</v>
      </c>
      <c r="C8009" s="1" t="n">
        <v>45736</v>
      </c>
      <c r="D8009" t="inlineStr">
        <is>
          <t>VÄRMLANDS LÄN</t>
        </is>
      </c>
      <c r="E8009" t="inlineStr">
        <is>
          <t>FILIPSTAD</t>
        </is>
      </c>
      <c r="F8009" t="inlineStr">
        <is>
          <t>Bergvik skog väst AB</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50789-2022</t>
        </is>
      </c>
      <c r="B8010" s="1" t="n">
        <v>44867</v>
      </c>
      <c r="C8010" s="1" t="n">
        <v>45736</v>
      </c>
      <c r="D8010" t="inlineStr">
        <is>
          <t>VÄRMLANDS LÄN</t>
        </is>
      </c>
      <c r="E8010" t="inlineStr">
        <is>
          <t>TORSBY</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50803-2022</t>
        </is>
      </c>
      <c r="B8011" s="1" t="n">
        <v>44867</v>
      </c>
      <c r="C8011" s="1" t="n">
        <v>45736</v>
      </c>
      <c r="D8011" t="inlineStr">
        <is>
          <t>VÄRMLANDS LÄN</t>
        </is>
      </c>
      <c r="E8011" t="inlineStr">
        <is>
          <t>KARLSTAD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50831-2022</t>
        </is>
      </c>
      <c r="B8012" s="1" t="n">
        <v>44867</v>
      </c>
      <c r="C8012" s="1" t="n">
        <v>45736</v>
      </c>
      <c r="D8012" t="inlineStr">
        <is>
          <t>VÄRMLANDS LÄN</t>
        </is>
      </c>
      <c r="E8012" t="inlineStr">
        <is>
          <t>EDA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50764-2022</t>
        </is>
      </c>
      <c r="B8013" s="1" t="n">
        <v>44867</v>
      </c>
      <c r="C8013" s="1" t="n">
        <v>45736</v>
      </c>
      <c r="D8013" t="inlineStr">
        <is>
          <t>VÄRMLANDS LÄN</t>
        </is>
      </c>
      <c r="E8013" t="inlineStr">
        <is>
          <t>ARVIKA</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50956-2022</t>
        </is>
      </c>
      <c r="B8014" s="1" t="n">
        <v>44867</v>
      </c>
      <c r="C8014" s="1" t="n">
        <v>45736</v>
      </c>
      <c r="D8014" t="inlineStr">
        <is>
          <t>VÄRMLANDS LÄN</t>
        </is>
      </c>
      <c r="E8014" t="inlineStr">
        <is>
          <t>SÄFFLE</t>
        </is>
      </c>
      <c r="F8014" t="inlineStr">
        <is>
          <t>Kyrkan</t>
        </is>
      </c>
      <c r="G8014" t="n">
        <v>49.2</v>
      </c>
      <c r="H8014" t="n">
        <v>0</v>
      </c>
      <c r="I8014" t="n">
        <v>0</v>
      </c>
      <c r="J8014" t="n">
        <v>0</v>
      </c>
      <c r="K8014" t="n">
        <v>0</v>
      </c>
      <c r="L8014" t="n">
        <v>0</v>
      </c>
      <c r="M8014" t="n">
        <v>0</v>
      </c>
      <c r="N8014" t="n">
        <v>0</v>
      </c>
      <c r="O8014" t="n">
        <v>0</v>
      </c>
      <c r="P8014" t="n">
        <v>0</v>
      </c>
      <c r="Q8014" t="n">
        <v>0</v>
      </c>
      <c r="R8014" s="2" t="inlineStr"/>
    </row>
    <row r="8015" ht="15" customHeight="1">
      <c r="A8015" t="inlineStr">
        <is>
          <t>A 51124-2022</t>
        </is>
      </c>
      <c r="B8015" s="1" t="n">
        <v>44868</v>
      </c>
      <c r="C8015" s="1" t="n">
        <v>45736</v>
      </c>
      <c r="D8015" t="inlineStr">
        <is>
          <t>VÄRMLANDS LÄN</t>
        </is>
      </c>
      <c r="E8015" t="inlineStr">
        <is>
          <t>TORSBY</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51059-2022</t>
        </is>
      </c>
      <c r="B8016" s="1" t="n">
        <v>44868</v>
      </c>
      <c r="C8016" s="1" t="n">
        <v>45736</v>
      </c>
      <c r="D8016" t="inlineStr">
        <is>
          <t>VÄRMLANDS LÄN</t>
        </is>
      </c>
      <c r="E8016" t="inlineStr">
        <is>
          <t>HAGFORS</t>
        </is>
      </c>
      <c r="F8016" t="inlineStr">
        <is>
          <t>Bergvik skog väst AB</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51052-2022</t>
        </is>
      </c>
      <c r="B8017" s="1" t="n">
        <v>44868</v>
      </c>
      <c r="C8017" s="1" t="n">
        <v>45736</v>
      </c>
      <c r="D8017" t="inlineStr">
        <is>
          <t>VÄRMLANDS LÄN</t>
        </is>
      </c>
      <c r="E8017" t="inlineStr">
        <is>
          <t>SÄFFLE</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51101-2022</t>
        </is>
      </c>
      <c r="B8018" s="1" t="n">
        <v>44868</v>
      </c>
      <c r="C8018" s="1" t="n">
        <v>45736</v>
      </c>
      <c r="D8018" t="inlineStr">
        <is>
          <t>VÄRMLANDS LÄN</t>
        </is>
      </c>
      <c r="E8018" t="inlineStr">
        <is>
          <t>EDA</t>
        </is>
      </c>
      <c r="G8018" t="n">
        <v>9.9</v>
      </c>
      <c r="H8018" t="n">
        <v>0</v>
      </c>
      <c r="I8018" t="n">
        <v>0</v>
      </c>
      <c r="J8018" t="n">
        <v>0</v>
      </c>
      <c r="K8018" t="n">
        <v>0</v>
      </c>
      <c r="L8018" t="n">
        <v>0</v>
      </c>
      <c r="M8018" t="n">
        <v>0</v>
      </c>
      <c r="N8018" t="n">
        <v>0</v>
      </c>
      <c r="O8018" t="n">
        <v>0</v>
      </c>
      <c r="P8018" t="n">
        <v>0</v>
      </c>
      <c r="Q8018" t="n">
        <v>0</v>
      </c>
      <c r="R8018" s="2" t="inlineStr"/>
    </row>
    <row r="8019" ht="15" customHeight="1">
      <c r="A8019" t="inlineStr">
        <is>
          <t>A 51109-2022</t>
        </is>
      </c>
      <c r="B8019" s="1" t="n">
        <v>44868</v>
      </c>
      <c r="C8019" s="1" t="n">
        <v>45736</v>
      </c>
      <c r="D8019" t="inlineStr">
        <is>
          <t>VÄRMLANDS LÄN</t>
        </is>
      </c>
      <c r="E8019" t="inlineStr">
        <is>
          <t>ÅRJÄNG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51105-2022</t>
        </is>
      </c>
      <c r="B8020" s="1" t="n">
        <v>44868</v>
      </c>
      <c r="C8020" s="1" t="n">
        <v>45736</v>
      </c>
      <c r="D8020" t="inlineStr">
        <is>
          <t>VÄRMLANDS LÄN</t>
        </is>
      </c>
      <c r="E8020" t="inlineStr">
        <is>
          <t>HAGFORS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51113-2022</t>
        </is>
      </c>
      <c r="B8021" s="1" t="n">
        <v>44868</v>
      </c>
      <c r="C8021" s="1" t="n">
        <v>45736</v>
      </c>
      <c r="D8021" t="inlineStr">
        <is>
          <t>VÄRMLANDS LÄN</t>
        </is>
      </c>
      <c r="E8021" t="inlineStr">
        <is>
          <t>SÄFFLE</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51188-2022</t>
        </is>
      </c>
      <c r="B8022" s="1" t="n">
        <v>44868</v>
      </c>
      <c r="C8022" s="1" t="n">
        <v>45736</v>
      </c>
      <c r="D8022" t="inlineStr">
        <is>
          <t>VÄRMLANDS LÄN</t>
        </is>
      </c>
      <c r="E8022" t="inlineStr">
        <is>
          <t>FORSHAGA</t>
        </is>
      </c>
      <c r="F8022" t="inlineStr">
        <is>
          <t>Bergvik skog väst AB</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51171-2022</t>
        </is>
      </c>
      <c r="B8023" s="1" t="n">
        <v>44868</v>
      </c>
      <c r="C8023" s="1" t="n">
        <v>45736</v>
      </c>
      <c r="D8023" t="inlineStr">
        <is>
          <t>VÄRMLANDS LÄN</t>
        </is>
      </c>
      <c r="E8023" t="inlineStr">
        <is>
          <t>STORFORS</t>
        </is>
      </c>
      <c r="F8023" t="inlineStr">
        <is>
          <t>Kyrkan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51194-2022</t>
        </is>
      </c>
      <c r="B8024" s="1" t="n">
        <v>44868</v>
      </c>
      <c r="C8024" s="1" t="n">
        <v>45736</v>
      </c>
      <c r="D8024" t="inlineStr">
        <is>
          <t>VÄRMLANDS LÄN</t>
        </is>
      </c>
      <c r="E8024" t="inlineStr">
        <is>
          <t>HAGFORS</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51241-2022</t>
        </is>
      </c>
      <c r="B8025" s="1" t="n">
        <v>44868</v>
      </c>
      <c r="C8025" s="1" t="n">
        <v>45736</v>
      </c>
      <c r="D8025" t="inlineStr">
        <is>
          <t>VÄRMLANDS LÄN</t>
        </is>
      </c>
      <c r="E8025" t="inlineStr">
        <is>
          <t>KARLSTAD</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51258-2022</t>
        </is>
      </c>
      <c r="B8026" s="1" t="n">
        <v>44868</v>
      </c>
      <c r="C8026" s="1" t="n">
        <v>45736</v>
      </c>
      <c r="D8026" t="inlineStr">
        <is>
          <t>VÄRMLANDS LÄN</t>
        </is>
      </c>
      <c r="E8026" t="inlineStr">
        <is>
          <t>ÅRJÄNG</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51271-2022</t>
        </is>
      </c>
      <c r="B8027" s="1" t="n">
        <v>44868</v>
      </c>
      <c r="C8027" s="1" t="n">
        <v>45736</v>
      </c>
      <c r="D8027" t="inlineStr">
        <is>
          <t>VÄRMLANDS LÄN</t>
        </is>
      </c>
      <c r="E8027" t="inlineStr">
        <is>
          <t>ÅRJÄNG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51296-2022</t>
        </is>
      </c>
      <c r="B8028" s="1" t="n">
        <v>44868</v>
      </c>
      <c r="C8028" s="1" t="n">
        <v>45736</v>
      </c>
      <c r="D8028" t="inlineStr">
        <is>
          <t>VÄRMLANDS LÄN</t>
        </is>
      </c>
      <c r="E8028" t="inlineStr">
        <is>
          <t>FORSHAGA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51187-2022</t>
        </is>
      </c>
      <c r="B8029" s="1" t="n">
        <v>44868</v>
      </c>
      <c r="C8029" s="1" t="n">
        <v>45736</v>
      </c>
      <c r="D8029" t="inlineStr">
        <is>
          <t>VÄRMLANDS LÄN</t>
        </is>
      </c>
      <c r="E8029" t="inlineStr">
        <is>
          <t>FORSHAGA</t>
        </is>
      </c>
      <c r="F8029" t="inlineStr">
        <is>
          <t>Bergvik skog väst AB</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51269-2022</t>
        </is>
      </c>
      <c r="B8030" s="1" t="n">
        <v>44868</v>
      </c>
      <c r="C8030" s="1" t="n">
        <v>45736</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52081-2022</t>
        </is>
      </c>
      <c r="B8031" s="1" t="n">
        <v>44868</v>
      </c>
      <c r="C8031" s="1" t="n">
        <v>45736</v>
      </c>
      <c r="D8031" t="inlineStr">
        <is>
          <t>VÄRMLANDS LÄN</t>
        </is>
      </c>
      <c r="E8031" t="inlineStr">
        <is>
          <t>SÄFFLE</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51246-2022</t>
        </is>
      </c>
      <c r="B8032" s="1" t="n">
        <v>44868</v>
      </c>
      <c r="C8032" s="1" t="n">
        <v>45736</v>
      </c>
      <c r="D8032" t="inlineStr">
        <is>
          <t>VÄRMLANDS LÄN</t>
        </is>
      </c>
      <c r="E8032" t="inlineStr">
        <is>
          <t>KARLSTAD</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51400-2022</t>
        </is>
      </c>
      <c r="B8033" s="1" t="n">
        <v>44869</v>
      </c>
      <c r="C8033" s="1" t="n">
        <v>45736</v>
      </c>
      <c r="D8033" t="inlineStr">
        <is>
          <t>VÄRMLANDS LÄN</t>
        </is>
      </c>
      <c r="E8033" t="inlineStr">
        <is>
          <t>ARVIKA</t>
        </is>
      </c>
      <c r="F8033" t="inlineStr">
        <is>
          <t>Bergvik skog väst AB</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51346-2022</t>
        </is>
      </c>
      <c r="B8034" s="1" t="n">
        <v>44869</v>
      </c>
      <c r="C8034" s="1" t="n">
        <v>45736</v>
      </c>
      <c r="D8034" t="inlineStr">
        <is>
          <t>VÄRMLANDS LÄN</t>
        </is>
      </c>
      <c r="E8034" t="inlineStr">
        <is>
          <t>HAGFORS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51384-2022</t>
        </is>
      </c>
      <c r="B8035" s="1" t="n">
        <v>44869</v>
      </c>
      <c r="C8035" s="1" t="n">
        <v>45736</v>
      </c>
      <c r="D8035" t="inlineStr">
        <is>
          <t>VÄRMLANDS LÄN</t>
        </is>
      </c>
      <c r="E8035" t="inlineStr">
        <is>
          <t>HAGFORS</t>
        </is>
      </c>
      <c r="F8035" t="inlineStr">
        <is>
          <t>Bergvik skog väst AB</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51439-2022</t>
        </is>
      </c>
      <c r="B8036" s="1" t="n">
        <v>44869</v>
      </c>
      <c r="C8036" s="1" t="n">
        <v>45736</v>
      </c>
      <c r="D8036" t="inlineStr">
        <is>
          <t>VÄRMLANDS LÄN</t>
        </is>
      </c>
      <c r="E8036" t="inlineStr">
        <is>
          <t>TORSBY</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51490-2022</t>
        </is>
      </c>
      <c r="B8037" s="1" t="n">
        <v>44869</v>
      </c>
      <c r="C8037" s="1" t="n">
        <v>45736</v>
      </c>
      <c r="D8037" t="inlineStr">
        <is>
          <t>VÄRMLANDS LÄN</t>
        </is>
      </c>
      <c r="E8037" t="inlineStr">
        <is>
          <t>TORSBY</t>
        </is>
      </c>
      <c r="F8037" t="inlineStr">
        <is>
          <t>Bergvik skog väst AB</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51492-2022</t>
        </is>
      </c>
      <c r="B8038" s="1" t="n">
        <v>44869</v>
      </c>
      <c r="C8038" s="1" t="n">
        <v>45736</v>
      </c>
      <c r="D8038" t="inlineStr">
        <is>
          <t>VÄRMLANDS LÄN</t>
        </is>
      </c>
      <c r="E8038" t="inlineStr">
        <is>
          <t>FILIPSTAD</t>
        </is>
      </c>
      <c r="F8038" t="inlineStr">
        <is>
          <t>Bergvik skog väst AB</t>
        </is>
      </c>
      <c r="G8038" t="n">
        <v>7.2</v>
      </c>
      <c r="H8038" t="n">
        <v>0</v>
      </c>
      <c r="I8038" t="n">
        <v>0</v>
      </c>
      <c r="J8038" t="n">
        <v>0</v>
      </c>
      <c r="K8038" t="n">
        <v>0</v>
      </c>
      <c r="L8038" t="n">
        <v>0</v>
      </c>
      <c r="M8038" t="n">
        <v>0</v>
      </c>
      <c r="N8038" t="n">
        <v>0</v>
      </c>
      <c r="O8038" t="n">
        <v>0</v>
      </c>
      <c r="P8038" t="n">
        <v>0</v>
      </c>
      <c r="Q8038" t="n">
        <v>0</v>
      </c>
      <c r="R8038" s="2" t="inlineStr"/>
    </row>
    <row r="8039" ht="15" customHeight="1">
      <c r="A8039" t="inlineStr">
        <is>
          <t>A 51511-2022</t>
        </is>
      </c>
      <c r="B8039" s="1" t="n">
        <v>44869</v>
      </c>
      <c r="C8039" s="1" t="n">
        <v>45736</v>
      </c>
      <c r="D8039" t="inlineStr">
        <is>
          <t>VÄRMLANDS LÄN</t>
        </is>
      </c>
      <c r="E8039" t="inlineStr">
        <is>
          <t>ARVIKA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51456-2022</t>
        </is>
      </c>
      <c r="B8040" s="1" t="n">
        <v>44869</v>
      </c>
      <c r="C8040" s="1" t="n">
        <v>45736</v>
      </c>
      <c r="D8040" t="inlineStr">
        <is>
          <t>VÄRMLANDS LÄN</t>
        </is>
      </c>
      <c r="E8040" t="inlineStr">
        <is>
          <t>ÅRJÄNG</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51489-2022</t>
        </is>
      </c>
      <c r="B8041" s="1" t="n">
        <v>44869</v>
      </c>
      <c r="C8041" s="1" t="n">
        <v>45736</v>
      </c>
      <c r="D8041" t="inlineStr">
        <is>
          <t>VÄRMLANDS LÄN</t>
        </is>
      </c>
      <c r="E8041" t="inlineStr">
        <is>
          <t>TORSBY</t>
        </is>
      </c>
      <c r="F8041" t="inlineStr">
        <is>
          <t>Bergvik skog väst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51589-2022</t>
        </is>
      </c>
      <c r="B8042" s="1" t="n">
        <v>44871</v>
      </c>
      <c r="C8042" s="1" t="n">
        <v>45736</v>
      </c>
      <c r="D8042" t="inlineStr">
        <is>
          <t>VÄRMLANDS LÄN</t>
        </is>
      </c>
      <c r="E8042" t="inlineStr">
        <is>
          <t>FILIPSTAD</t>
        </is>
      </c>
      <c r="F8042" t="inlineStr">
        <is>
          <t>Bergvik skog väst AB</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51618-2022</t>
        </is>
      </c>
      <c r="B8043" s="1" t="n">
        <v>44872</v>
      </c>
      <c r="C8043" s="1" t="n">
        <v>45736</v>
      </c>
      <c r="D8043" t="inlineStr">
        <is>
          <t>VÄRMLANDS LÄN</t>
        </is>
      </c>
      <c r="E8043" t="inlineStr">
        <is>
          <t>FILIPSTAD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51640-2022</t>
        </is>
      </c>
      <c r="B8044" s="1" t="n">
        <v>44872</v>
      </c>
      <c r="C8044" s="1" t="n">
        <v>45736</v>
      </c>
      <c r="D8044" t="inlineStr">
        <is>
          <t>VÄRMLANDS LÄN</t>
        </is>
      </c>
      <c r="E8044" t="inlineStr">
        <is>
          <t>SÄFFLE</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51650-2022</t>
        </is>
      </c>
      <c r="B8045" s="1" t="n">
        <v>44872</v>
      </c>
      <c r="C8045" s="1" t="n">
        <v>45736</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51771-2022</t>
        </is>
      </c>
      <c r="B8046" s="1" t="n">
        <v>44872</v>
      </c>
      <c r="C8046" s="1" t="n">
        <v>45736</v>
      </c>
      <c r="D8046" t="inlineStr">
        <is>
          <t>VÄRMLANDS LÄN</t>
        </is>
      </c>
      <c r="E8046" t="inlineStr">
        <is>
          <t>HAGFORS</t>
        </is>
      </c>
      <c r="F8046" t="inlineStr">
        <is>
          <t>Bergvik skog väst AB</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51778-2022</t>
        </is>
      </c>
      <c r="B8047" s="1" t="n">
        <v>44872</v>
      </c>
      <c r="C8047" s="1" t="n">
        <v>45736</v>
      </c>
      <c r="D8047" t="inlineStr">
        <is>
          <t>VÄRMLANDS LÄN</t>
        </is>
      </c>
      <c r="E8047" t="inlineStr">
        <is>
          <t>EDA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51803-2022</t>
        </is>
      </c>
      <c r="B8048" s="1" t="n">
        <v>44872</v>
      </c>
      <c r="C8048" s="1" t="n">
        <v>45736</v>
      </c>
      <c r="D8048" t="inlineStr">
        <is>
          <t>VÄRMLANDS LÄN</t>
        </is>
      </c>
      <c r="E8048" t="inlineStr">
        <is>
          <t>SUNNE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51654-2022</t>
        </is>
      </c>
      <c r="B8049" s="1" t="n">
        <v>44872</v>
      </c>
      <c r="C8049" s="1" t="n">
        <v>45736</v>
      </c>
      <c r="D8049" t="inlineStr">
        <is>
          <t>VÄRMLANDS LÄN</t>
        </is>
      </c>
      <c r="E8049" t="inlineStr">
        <is>
          <t>EDA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51647-2022</t>
        </is>
      </c>
      <c r="B8050" s="1" t="n">
        <v>44872</v>
      </c>
      <c r="C8050" s="1" t="n">
        <v>45736</v>
      </c>
      <c r="D8050" t="inlineStr">
        <is>
          <t>VÄRMLANDS LÄN</t>
        </is>
      </c>
      <c r="E8050" t="inlineStr">
        <is>
          <t>SÄFFLE</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51730-2022</t>
        </is>
      </c>
      <c r="B8051" s="1" t="n">
        <v>44872</v>
      </c>
      <c r="C8051" s="1" t="n">
        <v>45736</v>
      </c>
      <c r="D8051" t="inlineStr">
        <is>
          <t>VÄRMLANDS LÄN</t>
        </is>
      </c>
      <c r="E8051" t="inlineStr">
        <is>
          <t>EDA</t>
        </is>
      </c>
      <c r="G8051" t="n">
        <v>12.2</v>
      </c>
      <c r="H8051" t="n">
        <v>0</v>
      </c>
      <c r="I8051" t="n">
        <v>0</v>
      </c>
      <c r="J8051" t="n">
        <v>0</v>
      </c>
      <c r="K8051" t="n">
        <v>0</v>
      </c>
      <c r="L8051" t="n">
        <v>0</v>
      </c>
      <c r="M8051" t="n">
        <v>0</v>
      </c>
      <c r="N8051" t="n">
        <v>0</v>
      </c>
      <c r="O8051" t="n">
        <v>0</v>
      </c>
      <c r="P8051" t="n">
        <v>0</v>
      </c>
      <c r="Q8051" t="n">
        <v>0</v>
      </c>
      <c r="R8051" s="2" t="inlineStr"/>
    </row>
    <row r="8052" ht="15" customHeight="1">
      <c r="A8052" t="inlineStr">
        <is>
          <t>A 51759-2022</t>
        </is>
      </c>
      <c r="B8052" s="1" t="n">
        <v>44872</v>
      </c>
      <c r="C8052" s="1" t="n">
        <v>45736</v>
      </c>
      <c r="D8052" t="inlineStr">
        <is>
          <t>VÄRMLANDS LÄN</t>
        </is>
      </c>
      <c r="E8052" t="inlineStr">
        <is>
          <t>HAGFORS</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51792-2022</t>
        </is>
      </c>
      <c r="B8053" s="1" t="n">
        <v>44872</v>
      </c>
      <c r="C8053" s="1" t="n">
        <v>45736</v>
      </c>
      <c r="D8053" t="inlineStr">
        <is>
          <t>VÄRMLANDS LÄN</t>
        </is>
      </c>
      <c r="E8053" t="inlineStr">
        <is>
          <t>KARLSTAD</t>
        </is>
      </c>
      <c r="F8053" t="inlineStr">
        <is>
          <t>Bergvik skog väst AB</t>
        </is>
      </c>
      <c r="G8053" t="n">
        <v>21.2</v>
      </c>
      <c r="H8053" t="n">
        <v>0</v>
      </c>
      <c r="I8053" t="n">
        <v>0</v>
      </c>
      <c r="J8053" t="n">
        <v>0</v>
      </c>
      <c r="K8053" t="n">
        <v>0</v>
      </c>
      <c r="L8053" t="n">
        <v>0</v>
      </c>
      <c r="M8053" t="n">
        <v>0</v>
      </c>
      <c r="N8053" t="n">
        <v>0</v>
      </c>
      <c r="O8053" t="n">
        <v>0</v>
      </c>
      <c r="P8053" t="n">
        <v>0</v>
      </c>
      <c r="Q8053" t="n">
        <v>0</v>
      </c>
      <c r="R8053" s="2" t="inlineStr"/>
    </row>
    <row r="8054" ht="15" customHeight="1">
      <c r="A8054" t="inlineStr">
        <is>
          <t>A 51782-2022</t>
        </is>
      </c>
      <c r="B8054" s="1" t="n">
        <v>44872</v>
      </c>
      <c r="C8054" s="1" t="n">
        <v>45736</v>
      </c>
      <c r="D8054" t="inlineStr">
        <is>
          <t>VÄRMLANDS LÄN</t>
        </is>
      </c>
      <c r="E8054" t="inlineStr">
        <is>
          <t>EDA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51895-2022</t>
        </is>
      </c>
      <c r="B8055" s="1" t="n">
        <v>44872</v>
      </c>
      <c r="C8055" s="1" t="n">
        <v>45736</v>
      </c>
      <c r="D8055" t="inlineStr">
        <is>
          <t>VÄRMLANDS LÄN</t>
        </is>
      </c>
      <c r="E8055" t="inlineStr">
        <is>
          <t>ÅRJÄNG</t>
        </is>
      </c>
      <c r="F8055" t="inlineStr">
        <is>
          <t>Kyrkan</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51847-2022</t>
        </is>
      </c>
      <c r="B8056" s="1" t="n">
        <v>44872</v>
      </c>
      <c r="C8056" s="1" t="n">
        <v>45736</v>
      </c>
      <c r="D8056" t="inlineStr">
        <is>
          <t>VÄRMLANDS LÄN</t>
        </is>
      </c>
      <c r="E8056" t="inlineStr">
        <is>
          <t>TORSBY</t>
        </is>
      </c>
      <c r="F8056" t="inlineStr">
        <is>
          <t>Bergvik skog väst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51962-2022</t>
        </is>
      </c>
      <c r="B8057" s="1" t="n">
        <v>44872</v>
      </c>
      <c r="C8057" s="1" t="n">
        <v>45736</v>
      </c>
      <c r="D8057" t="inlineStr">
        <is>
          <t>VÄRMLANDS LÄN</t>
        </is>
      </c>
      <c r="E8057" t="inlineStr">
        <is>
          <t>ÅRJÄNG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51957-2022</t>
        </is>
      </c>
      <c r="B8058" s="1" t="n">
        <v>44872</v>
      </c>
      <c r="C8058" s="1" t="n">
        <v>45736</v>
      </c>
      <c r="D8058" t="inlineStr">
        <is>
          <t>VÄRMLANDS LÄN</t>
        </is>
      </c>
      <c r="E8058" t="inlineStr">
        <is>
          <t>ARVIKA</t>
        </is>
      </c>
      <c r="F8058" t="inlineStr">
        <is>
          <t>Bergvik skog väst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51965-2022</t>
        </is>
      </c>
      <c r="B8059" s="1" t="n">
        <v>44872</v>
      </c>
      <c r="C8059" s="1" t="n">
        <v>45736</v>
      </c>
      <c r="D8059" t="inlineStr">
        <is>
          <t>VÄRMLANDS LÄN</t>
        </is>
      </c>
      <c r="E8059" t="inlineStr">
        <is>
          <t>ÅRJÄNG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51843-2022</t>
        </is>
      </c>
      <c r="B8060" s="1" t="n">
        <v>44872</v>
      </c>
      <c r="C8060" s="1" t="n">
        <v>45736</v>
      </c>
      <c r="D8060" t="inlineStr">
        <is>
          <t>VÄRMLANDS LÄN</t>
        </is>
      </c>
      <c r="E8060" t="inlineStr">
        <is>
          <t>TORSBY</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51911-2022</t>
        </is>
      </c>
      <c r="B8061" s="1" t="n">
        <v>44872</v>
      </c>
      <c r="C8061" s="1" t="n">
        <v>45736</v>
      </c>
      <c r="D8061" t="inlineStr">
        <is>
          <t>VÄRMLANDS LÄN</t>
        </is>
      </c>
      <c r="E8061" t="inlineStr">
        <is>
          <t>TORSBY</t>
        </is>
      </c>
      <c r="F8061" t="inlineStr">
        <is>
          <t>Bergvik skog väst AB</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51914-2022</t>
        </is>
      </c>
      <c r="B8062" s="1" t="n">
        <v>44872</v>
      </c>
      <c r="C8062" s="1" t="n">
        <v>45736</v>
      </c>
      <c r="D8062" t="inlineStr">
        <is>
          <t>VÄRMLANDS LÄN</t>
        </is>
      </c>
      <c r="E8062" t="inlineStr">
        <is>
          <t>KARLSTAD</t>
        </is>
      </c>
      <c r="F8062" t="inlineStr">
        <is>
          <t>Bergvik skog väst AB</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51975-2022</t>
        </is>
      </c>
      <c r="B8063" s="1" t="n">
        <v>44872</v>
      </c>
      <c r="C8063" s="1" t="n">
        <v>45736</v>
      </c>
      <c r="D8063" t="inlineStr">
        <is>
          <t>VÄRMLANDS LÄN</t>
        </is>
      </c>
      <c r="E8063" t="inlineStr">
        <is>
          <t>ÅRJÄNG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51988-2022</t>
        </is>
      </c>
      <c r="B8064" s="1" t="n">
        <v>44872</v>
      </c>
      <c r="C8064" s="1" t="n">
        <v>45736</v>
      </c>
      <c r="D8064" t="inlineStr">
        <is>
          <t>VÄRMLANDS LÄN</t>
        </is>
      </c>
      <c r="E8064" t="inlineStr">
        <is>
          <t>SUNNE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52921-2022</t>
        </is>
      </c>
      <c r="B8065" s="1" t="n">
        <v>44872</v>
      </c>
      <c r="C8065" s="1" t="n">
        <v>45736</v>
      </c>
      <c r="D8065" t="inlineStr">
        <is>
          <t>VÄRMLANDS LÄN</t>
        </is>
      </c>
      <c r="E8065" t="inlineStr">
        <is>
          <t>TORSBY</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52901-2022</t>
        </is>
      </c>
      <c r="B8066" s="1" t="n">
        <v>44872</v>
      </c>
      <c r="C8066" s="1" t="n">
        <v>45736</v>
      </c>
      <c r="D8066" t="inlineStr">
        <is>
          <t>VÄRMLANDS LÄN</t>
        </is>
      </c>
      <c r="E8066" t="inlineStr">
        <is>
          <t>TORSBY</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52203-2022</t>
        </is>
      </c>
      <c r="B8067" s="1" t="n">
        <v>44873</v>
      </c>
      <c r="C8067" s="1" t="n">
        <v>45736</v>
      </c>
      <c r="D8067" t="inlineStr">
        <is>
          <t>VÄRMLANDS LÄN</t>
        </is>
      </c>
      <c r="E8067" t="inlineStr">
        <is>
          <t>ÅRJÄNG</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52286-2022</t>
        </is>
      </c>
      <c r="B8068" s="1" t="n">
        <v>44873</v>
      </c>
      <c r="C8068" s="1" t="n">
        <v>45736</v>
      </c>
      <c r="D8068" t="inlineStr">
        <is>
          <t>VÄRMLANDS LÄN</t>
        </is>
      </c>
      <c r="E8068" t="inlineStr">
        <is>
          <t>TORSBY</t>
        </is>
      </c>
      <c r="F8068" t="inlineStr">
        <is>
          <t>Bergvik skog väst AB</t>
        </is>
      </c>
      <c r="G8068" t="n">
        <v>51.4</v>
      </c>
      <c r="H8068" t="n">
        <v>0</v>
      </c>
      <c r="I8068" t="n">
        <v>0</v>
      </c>
      <c r="J8068" t="n">
        <v>0</v>
      </c>
      <c r="K8068" t="n">
        <v>0</v>
      </c>
      <c r="L8068" t="n">
        <v>0</v>
      </c>
      <c r="M8068" t="n">
        <v>0</v>
      </c>
      <c r="N8068" t="n">
        <v>0</v>
      </c>
      <c r="O8068" t="n">
        <v>0</v>
      </c>
      <c r="P8068" t="n">
        <v>0</v>
      </c>
      <c r="Q8068" t="n">
        <v>0</v>
      </c>
      <c r="R8068" s="2" t="inlineStr"/>
    </row>
    <row r="8069" ht="15" customHeight="1">
      <c r="A8069" t="inlineStr">
        <is>
          <t>A 53038-2022</t>
        </is>
      </c>
      <c r="B8069" s="1" t="n">
        <v>44873</v>
      </c>
      <c r="C8069" s="1" t="n">
        <v>45736</v>
      </c>
      <c r="D8069" t="inlineStr">
        <is>
          <t>VÄRMLANDS LÄN</t>
        </is>
      </c>
      <c r="E8069" t="inlineStr">
        <is>
          <t>KARLSTAD</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52184-2022</t>
        </is>
      </c>
      <c r="B8070" s="1" t="n">
        <v>44873</v>
      </c>
      <c r="C8070" s="1" t="n">
        <v>45736</v>
      </c>
      <c r="D8070" t="inlineStr">
        <is>
          <t>VÄRMLANDS LÄN</t>
        </is>
      </c>
      <c r="E8070" t="inlineStr">
        <is>
          <t>ÅRJÄNG</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52371-2022</t>
        </is>
      </c>
      <c r="B8071" s="1" t="n">
        <v>44874</v>
      </c>
      <c r="C8071" s="1" t="n">
        <v>45736</v>
      </c>
      <c r="D8071" t="inlineStr">
        <is>
          <t>VÄRMLANDS LÄN</t>
        </is>
      </c>
      <c r="E8071" t="inlineStr">
        <is>
          <t>KRISTINEHAMN</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52393-2022</t>
        </is>
      </c>
      <c r="B8072" s="1" t="n">
        <v>44874</v>
      </c>
      <c r="C8072" s="1" t="n">
        <v>45736</v>
      </c>
      <c r="D8072" t="inlineStr">
        <is>
          <t>VÄRMLANDS LÄN</t>
        </is>
      </c>
      <c r="E8072" t="inlineStr">
        <is>
          <t>TORSBY</t>
        </is>
      </c>
      <c r="G8072" t="n">
        <v>9.800000000000001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52449-2022</t>
        </is>
      </c>
      <c r="B8073" s="1" t="n">
        <v>44874</v>
      </c>
      <c r="C8073" s="1" t="n">
        <v>45736</v>
      </c>
      <c r="D8073" t="inlineStr">
        <is>
          <t>VÄRMLANDS LÄN</t>
        </is>
      </c>
      <c r="E8073" t="inlineStr">
        <is>
          <t>ARVIKA</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52530-2022</t>
        </is>
      </c>
      <c r="B8074" s="1" t="n">
        <v>44874</v>
      </c>
      <c r="C8074" s="1" t="n">
        <v>45736</v>
      </c>
      <c r="D8074" t="inlineStr">
        <is>
          <t>VÄRMLANDS LÄN</t>
        </is>
      </c>
      <c r="E8074" t="inlineStr">
        <is>
          <t>EDA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52546-2022</t>
        </is>
      </c>
      <c r="B8075" s="1" t="n">
        <v>44874</v>
      </c>
      <c r="C8075" s="1" t="n">
        <v>45736</v>
      </c>
      <c r="D8075" t="inlineStr">
        <is>
          <t>VÄRMLANDS LÄN</t>
        </is>
      </c>
      <c r="E8075" t="inlineStr">
        <is>
          <t>TORSBY</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52529-2022</t>
        </is>
      </c>
      <c r="B8076" s="1" t="n">
        <v>44874</v>
      </c>
      <c r="C8076" s="1" t="n">
        <v>45736</v>
      </c>
      <c r="D8076" t="inlineStr">
        <is>
          <t>VÄRMLANDS LÄN</t>
        </is>
      </c>
      <c r="E8076" t="inlineStr">
        <is>
          <t>ARVIKA</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52582-2022</t>
        </is>
      </c>
      <c r="B8077" s="1" t="n">
        <v>44874</v>
      </c>
      <c r="C8077" s="1" t="n">
        <v>45736</v>
      </c>
      <c r="D8077" t="inlineStr">
        <is>
          <t>VÄRMLANDS LÄN</t>
        </is>
      </c>
      <c r="E8077" t="inlineStr">
        <is>
          <t>ARVIKA</t>
        </is>
      </c>
      <c r="F8077" t="inlineStr">
        <is>
          <t>Bergvik skog väst AB</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52368-2022</t>
        </is>
      </c>
      <c r="B8078" s="1" t="n">
        <v>44874</v>
      </c>
      <c r="C8078" s="1" t="n">
        <v>45736</v>
      </c>
      <c r="D8078" t="inlineStr">
        <is>
          <t>VÄRMLANDS LÄN</t>
        </is>
      </c>
      <c r="E8078" t="inlineStr">
        <is>
          <t>EDA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52376-2022</t>
        </is>
      </c>
      <c r="B8079" s="1" t="n">
        <v>44874</v>
      </c>
      <c r="C8079" s="1" t="n">
        <v>45736</v>
      </c>
      <c r="D8079" t="inlineStr">
        <is>
          <t>VÄRMLANDS LÄN</t>
        </is>
      </c>
      <c r="E8079" t="inlineStr">
        <is>
          <t>EDA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52386-2022</t>
        </is>
      </c>
      <c r="B8080" s="1" t="n">
        <v>44874</v>
      </c>
      <c r="C8080" s="1" t="n">
        <v>45736</v>
      </c>
      <c r="D8080" t="inlineStr">
        <is>
          <t>VÄRMLANDS LÄN</t>
        </is>
      </c>
      <c r="E8080" t="inlineStr">
        <is>
          <t>TORSBY</t>
        </is>
      </c>
      <c r="G8080" t="n">
        <v>6.7</v>
      </c>
      <c r="H8080" t="n">
        <v>0</v>
      </c>
      <c r="I8080" t="n">
        <v>0</v>
      </c>
      <c r="J8080" t="n">
        <v>0</v>
      </c>
      <c r="K8080" t="n">
        <v>0</v>
      </c>
      <c r="L8080" t="n">
        <v>0</v>
      </c>
      <c r="M8080" t="n">
        <v>0</v>
      </c>
      <c r="N8080" t="n">
        <v>0</v>
      </c>
      <c r="O8080" t="n">
        <v>0</v>
      </c>
      <c r="P8080" t="n">
        <v>0</v>
      </c>
      <c r="Q8080" t="n">
        <v>0</v>
      </c>
      <c r="R8080" s="2" t="inlineStr"/>
    </row>
    <row r="8081" ht="15" customHeight="1">
      <c r="A8081" t="inlineStr">
        <is>
          <t>A 52391-2022</t>
        </is>
      </c>
      <c r="B8081" s="1" t="n">
        <v>44874</v>
      </c>
      <c r="C8081" s="1" t="n">
        <v>45736</v>
      </c>
      <c r="D8081" t="inlineStr">
        <is>
          <t>VÄRMLANDS LÄN</t>
        </is>
      </c>
      <c r="E8081" t="inlineStr">
        <is>
          <t>EDA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52410-2022</t>
        </is>
      </c>
      <c r="B8082" s="1" t="n">
        <v>44874</v>
      </c>
      <c r="C8082" s="1" t="n">
        <v>45736</v>
      </c>
      <c r="D8082" t="inlineStr">
        <is>
          <t>VÄRMLANDS LÄN</t>
        </is>
      </c>
      <c r="E8082" t="inlineStr">
        <is>
          <t>EDA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52438-2022</t>
        </is>
      </c>
      <c r="B8083" s="1" t="n">
        <v>44874</v>
      </c>
      <c r="C8083" s="1" t="n">
        <v>45736</v>
      </c>
      <c r="D8083" t="inlineStr">
        <is>
          <t>VÄRMLANDS LÄN</t>
        </is>
      </c>
      <c r="E8083" t="inlineStr">
        <is>
          <t>KIL</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52528-2022</t>
        </is>
      </c>
      <c r="B8084" s="1" t="n">
        <v>44874</v>
      </c>
      <c r="C8084" s="1" t="n">
        <v>45736</v>
      </c>
      <c r="D8084" t="inlineStr">
        <is>
          <t>VÄRMLANDS LÄN</t>
        </is>
      </c>
      <c r="E8084" t="inlineStr">
        <is>
          <t>SUNNE</t>
        </is>
      </c>
      <c r="F8084" t="inlineStr">
        <is>
          <t>Bergvik skog väst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52543-2022</t>
        </is>
      </c>
      <c r="B8085" s="1" t="n">
        <v>44874</v>
      </c>
      <c r="C8085" s="1" t="n">
        <v>45736</v>
      </c>
      <c r="D8085" t="inlineStr">
        <is>
          <t>VÄRMLANDS LÄN</t>
        </is>
      </c>
      <c r="E8085" t="inlineStr">
        <is>
          <t>TORSBY</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52374-2022</t>
        </is>
      </c>
      <c r="B8086" s="1" t="n">
        <v>44874</v>
      </c>
      <c r="C8086" s="1" t="n">
        <v>45736</v>
      </c>
      <c r="D8086" t="inlineStr">
        <is>
          <t>VÄRMLANDS LÄN</t>
        </is>
      </c>
      <c r="E8086" t="inlineStr">
        <is>
          <t>HAGFORS</t>
        </is>
      </c>
      <c r="G8086" t="n">
        <v>15.5</v>
      </c>
      <c r="H8086" t="n">
        <v>0</v>
      </c>
      <c r="I8086" t="n">
        <v>0</v>
      </c>
      <c r="J8086" t="n">
        <v>0</v>
      </c>
      <c r="K8086" t="n">
        <v>0</v>
      </c>
      <c r="L8086" t="n">
        <v>0</v>
      </c>
      <c r="M8086" t="n">
        <v>0</v>
      </c>
      <c r="N8086" t="n">
        <v>0</v>
      </c>
      <c r="O8086" t="n">
        <v>0</v>
      </c>
      <c r="P8086" t="n">
        <v>0</v>
      </c>
      <c r="Q8086" t="n">
        <v>0</v>
      </c>
      <c r="R8086" s="2" t="inlineStr"/>
    </row>
    <row r="8087" ht="15" customHeight="1">
      <c r="A8087" t="inlineStr">
        <is>
          <t>A 52437-2022</t>
        </is>
      </c>
      <c r="B8087" s="1" t="n">
        <v>44874</v>
      </c>
      <c r="C8087" s="1" t="n">
        <v>45736</v>
      </c>
      <c r="D8087" t="inlineStr">
        <is>
          <t>VÄRMLANDS LÄN</t>
        </is>
      </c>
      <c r="E8087" t="inlineStr">
        <is>
          <t>KIL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52447-2022</t>
        </is>
      </c>
      <c r="B8088" s="1" t="n">
        <v>44874</v>
      </c>
      <c r="C8088" s="1" t="n">
        <v>45736</v>
      </c>
      <c r="D8088" t="inlineStr">
        <is>
          <t>VÄRMLANDS LÄN</t>
        </is>
      </c>
      <c r="E8088" t="inlineStr">
        <is>
          <t>TORSBY</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52483-2022</t>
        </is>
      </c>
      <c r="B8089" s="1" t="n">
        <v>44874</v>
      </c>
      <c r="C8089" s="1" t="n">
        <v>45736</v>
      </c>
      <c r="D8089" t="inlineStr">
        <is>
          <t>VÄRMLANDS LÄN</t>
        </is>
      </c>
      <c r="E8089" t="inlineStr">
        <is>
          <t>TORSBY</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52494-2022</t>
        </is>
      </c>
      <c r="B8090" s="1" t="n">
        <v>44874</v>
      </c>
      <c r="C8090" s="1" t="n">
        <v>45736</v>
      </c>
      <c r="D8090" t="inlineStr">
        <is>
          <t>VÄRMLANDS LÄN</t>
        </is>
      </c>
      <c r="E8090" t="inlineStr">
        <is>
          <t>SUNNE</t>
        </is>
      </c>
      <c r="F8090" t="inlineStr">
        <is>
          <t>Bergvik skog väst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52526-2022</t>
        </is>
      </c>
      <c r="B8091" s="1" t="n">
        <v>44874</v>
      </c>
      <c r="C8091" s="1" t="n">
        <v>45736</v>
      </c>
      <c r="D8091" t="inlineStr">
        <is>
          <t>VÄRMLANDS LÄN</t>
        </is>
      </c>
      <c r="E8091" t="inlineStr">
        <is>
          <t>KIL</t>
        </is>
      </c>
      <c r="F8091" t="inlineStr">
        <is>
          <t>Bergvik skog väst AB</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53365-2022</t>
        </is>
      </c>
      <c r="B8092" s="1" t="n">
        <v>44874</v>
      </c>
      <c r="C8092" s="1" t="n">
        <v>45736</v>
      </c>
      <c r="D8092" t="inlineStr">
        <is>
          <t>VÄRMLANDS LÄN</t>
        </is>
      </c>
      <c r="E8092" t="inlineStr">
        <is>
          <t>ARVIKA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52638-2022</t>
        </is>
      </c>
      <c r="B8093" s="1" t="n">
        <v>44874</v>
      </c>
      <c r="C8093" s="1" t="n">
        <v>45736</v>
      </c>
      <c r="D8093" t="inlineStr">
        <is>
          <t>VÄRMLANDS LÄN</t>
        </is>
      </c>
      <c r="E8093" t="inlineStr">
        <is>
          <t>EDA</t>
        </is>
      </c>
      <c r="F8093" t="inlineStr">
        <is>
          <t>Kommuner</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53392-2022</t>
        </is>
      </c>
      <c r="B8094" s="1" t="n">
        <v>44874</v>
      </c>
      <c r="C8094" s="1" t="n">
        <v>45736</v>
      </c>
      <c r="D8094" t="inlineStr">
        <is>
          <t>VÄRMLANDS LÄN</t>
        </is>
      </c>
      <c r="E8094" t="inlineStr">
        <is>
          <t>ARVIKA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53376-2022</t>
        </is>
      </c>
      <c r="B8095" s="1" t="n">
        <v>44874</v>
      </c>
      <c r="C8095" s="1" t="n">
        <v>45736</v>
      </c>
      <c r="D8095" t="inlineStr">
        <is>
          <t>VÄRMLANDS LÄN</t>
        </is>
      </c>
      <c r="E8095" t="inlineStr">
        <is>
          <t>ARVIKA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53398-2022</t>
        </is>
      </c>
      <c r="B8096" s="1" t="n">
        <v>44874</v>
      </c>
      <c r="C8096" s="1" t="n">
        <v>45736</v>
      </c>
      <c r="D8096" t="inlineStr">
        <is>
          <t>VÄRMLANDS LÄN</t>
        </is>
      </c>
      <c r="E8096" t="inlineStr">
        <is>
          <t>ARVIKA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52761-2022</t>
        </is>
      </c>
      <c r="B8097" s="1" t="n">
        <v>44875</v>
      </c>
      <c r="C8097" s="1" t="n">
        <v>45736</v>
      </c>
      <c r="D8097" t="inlineStr">
        <is>
          <t>VÄRMLANDS LÄN</t>
        </is>
      </c>
      <c r="E8097" t="inlineStr">
        <is>
          <t>ÅRJÄNG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52773-2022</t>
        </is>
      </c>
      <c r="B8098" s="1" t="n">
        <v>44875</v>
      </c>
      <c r="C8098" s="1" t="n">
        <v>45736</v>
      </c>
      <c r="D8098" t="inlineStr">
        <is>
          <t>VÄRMLANDS LÄN</t>
        </is>
      </c>
      <c r="E8098" t="inlineStr">
        <is>
          <t>ÅRJÄNG</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52807-2022</t>
        </is>
      </c>
      <c r="B8099" s="1" t="n">
        <v>44875</v>
      </c>
      <c r="C8099" s="1" t="n">
        <v>45736</v>
      </c>
      <c r="D8099" t="inlineStr">
        <is>
          <t>VÄRMLANDS LÄN</t>
        </is>
      </c>
      <c r="E8099" t="inlineStr">
        <is>
          <t>ARVIKA</t>
        </is>
      </c>
      <c r="G8099" t="n">
        <v>14.5</v>
      </c>
      <c r="H8099" t="n">
        <v>0</v>
      </c>
      <c r="I8099" t="n">
        <v>0</v>
      </c>
      <c r="J8099" t="n">
        <v>0</v>
      </c>
      <c r="K8099" t="n">
        <v>0</v>
      </c>
      <c r="L8099" t="n">
        <v>0</v>
      </c>
      <c r="M8099" t="n">
        <v>0</v>
      </c>
      <c r="N8099" t="n">
        <v>0</v>
      </c>
      <c r="O8099" t="n">
        <v>0</v>
      </c>
      <c r="P8099" t="n">
        <v>0</v>
      </c>
      <c r="Q8099" t="n">
        <v>0</v>
      </c>
      <c r="R8099" s="2" t="inlineStr"/>
    </row>
    <row r="8100" ht="15" customHeight="1">
      <c r="A8100" t="inlineStr">
        <is>
          <t>A 52830-2022</t>
        </is>
      </c>
      <c r="B8100" s="1" t="n">
        <v>44875</v>
      </c>
      <c r="C8100" s="1" t="n">
        <v>45736</v>
      </c>
      <c r="D8100" t="inlineStr">
        <is>
          <t>VÄRMLANDS LÄN</t>
        </is>
      </c>
      <c r="E8100" t="inlineStr">
        <is>
          <t>ÅRJÄNG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52913-2022</t>
        </is>
      </c>
      <c r="B8101" s="1" t="n">
        <v>44875</v>
      </c>
      <c r="C8101" s="1" t="n">
        <v>45736</v>
      </c>
      <c r="D8101" t="inlineStr">
        <is>
          <t>VÄRMLANDS LÄN</t>
        </is>
      </c>
      <c r="E8101" t="inlineStr">
        <is>
          <t>TORSBY</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52949-2022</t>
        </is>
      </c>
      <c r="B8102" s="1" t="n">
        <v>44875</v>
      </c>
      <c r="C8102" s="1" t="n">
        <v>45736</v>
      </c>
      <c r="D8102" t="inlineStr">
        <is>
          <t>VÄRMLANDS LÄN</t>
        </is>
      </c>
      <c r="E8102" t="inlineStr">
        <is>
          <t>SUNNE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52936-2022</t>
        </is>
      </c>
      <c r="B8103" s="1" t="n">
        <v>44875</v>
      </c>
      <c r="C8103" s="1" t="n">
        <v>45736</v>
      </c>
      <c r="D8103" t="inlineStr">
        <is>
          <t>VÄRMLANDS LÄN</t>
        </is>
      </c>
      <c r="E8103" t="inlineStr">
        <is>
          <t>SÄFFLE</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52826-2022</t>
        </is>
      </c>
      <c r="B8104" s="1" t="n">
        <v>44875</v>
      </c>
      <c r="C8104" s="1" t="n">
        <v>45736</v>
      </c>
      <c r="D8104" t="inlineStr">
        <is>
          <t>VÄRMLANDS LÄN</t>
        </is>
      </c>
      <c r="E8104" t="inlineStr">
        <is>
          <t>ÅRJÄNG</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52919-2022</t>
        </is>
      </c>
      <c r="B8105" s="1" t="n">
        <v>44875</v>
      </c>
      <c r="C8105" s="1" t="n">
        <v>45736</v>
      </c>
      <c r="D8105" t="inlineStr">
        <is>
          <t>VÄRMLANDS LÄN</t>
        </is>
      </c>
      <c r="E8105" t="inlineStr">
        <is>
          <t>TORSBY</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53117-2022</t>
        </is>
      </c>
      <c r="B8106" s="1" t="n">
        <v>44876</v>
      </c>
      <c r="C8106" s="1" t="n">
        <v>45736</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53135-2022</t>
        </is>
      </c>
      <c r="B8107" s="1" t="n">
        <v>44876</v>
      </c>
      <c r="C8107" s="1" t="n">
        <v>45736</v>
      </c>
      <c r="D8107" t="inlineStr">
        <is>
          <t>VÄRMLANDS LÄN</t>
        </is>
      </c>
      <c r="E8107" t="inlineStr">
        <is>
          <t>HAGFORS</t>
        </is>
      </c>
      <c r="F8107" t="inlineStr">
        <is>
          <t>Bergvik skog väst AB</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53141-2022</t>
        </is>
      </c>
      <c r="B8108" s="1" t="n">
        <v>44876</v>
      </c>
      <c r="C8108" s="1" t="n">
        <v>45736</v>
      </c>
      <c r="D8108" t="inlineStr">
        <is>
          <t>VÄRMLANDS LÄN</t>
        </is>
      </c>
      <c r="E8108" t="inlineStr">
        <is>
          <t>KARLSTAD</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53074-2022</t>
        </is>
      </c>
      <c r="B8109" s="1" t="n">
        <v>44876</v>
      </c>
      <c r="C8109" s="1" t="n">
        <v>45736</v>
      </c>
      <c r="D8109" t="inlineStr">
        <is>
          <t>VÄRMLANDS LÄN</t>
        </is>
      </c>
      <c r="E8109" t="inlineStr">
        <is>
          <t>FORSHAGA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53044-2022</t>
        </is>
      </c>
      <c r="B8110" s="1" t="n">
        <v>44876</v>
      </c>
      <c r="C8110" s="1" t="n">
        <v>45736</v>
      </c>
      <c r="D8110" t="inlineStr">
        <is>
          <t>VÄRMLANDS LÄN</t>
        </is>
      </c>
      <c r="E8110" t="inlineStr">
        <is>
          <t>TORSBY</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53102-2022</t>
        </is>
      </c>
      <c r="B8111" s="1" t="n">
        <v>44876</v>
      </c>
      <c r="C8111" s="1" t="n">
        <v>45736</v>
      </c>
      <c r="D8111" t="inlineStr">
        <is>
          <t>VÄRMLANDS LÄN</t>
        </is>
      </c>
      <c r="E8111" t="inlineStr">
        <is>
          <t>SÄFFLE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53103-2022</t>
        </is>
      </c>
      <c r="B8112" s="1" t="n">
        <v>44876</v>
      </c>
      <c r="C8112" s="1" t="n">
        <v>45736</v>
      </c>
      <c r="D8112" t="inlineStr">
        <is>
          <t>VÄRMLANDS LÄN</t>
        </is>
      </c>
      <c r="E8112" t="inlineStr">
        <is>
          <t>SÄFFLE</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53116-2022</t>
        </is>
      </c>
      <c r="B8113" s="1" t="n">
        <v>44876</v>
      </c>
      <c r="C8113" s="1" t="n">
        <v>45736</v>
      </c>
      <c r="D8113" t="inlineStr">
        <is>
          <t>VÄRMLANDS LÄN</t>
        </is>
      </c>
      <c r="E8113" t="inlineStr">
        <is>
          <t>KIL</t>
        </is>
      </c>
      <c r="F8113" t="inlineStr">
        <is>
          <t>Bergvik skog väst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53112-2022</t>
        </is>
      </c>
      <c r="B8114" s="1" t="n">
        <v>44876</v>
      </c>
      <c r="C8114" s="1" t="n">
        <v>45736</v>
      </c>
      <c r="D8114" t="inlineStr">
        <is>
          <t>VÄRMLANDS LÄN</t>
        </is>
      </c>
      <c r="E8114" t="inlineStr">
        <is>
          <t>SÄFFLE</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53034-2022</t>
        </is>
      </c>
      <c r="B8115" s="1" t="n">
        <v>44876</v>
      </c>
      <c r="C8115" s="1" t="n">
        <v>45736</v>
      </c>
      <c r="D8115" t="inlineStr">
        <is>
          <t>VÄRMLANDS LÄN</t>
        </is>
      </c>
      <c r="E8115" t="inlineStr">
        <is>
          <t>FILIPSTAD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53048-2022</t>
        </is>
      </c>
      <c r="B8116" s="1" t="n">
        <v>44876</v>
      </c>
      <c r="C8116" s="1" t="n">
        <v>45736</v>
      </c>
      <c r="D8116" t="inlineStr">
        <is>
          <t>VÄRMLANDS LÄN</t>
        </is>
      </c>
      <c r="E8116" t="inlineStr">
        <is>
          <t>KARLSTAD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53076-2022</t>
        </is>
      </c>
      <c r="B8117" s="1" t="n">
        <v>44876</v>
      </c>
      <c r="C8117" s="1" t="n">
        <v>45736</v>
      </c>
      <c r="D8117" t="inlineStr">
        <is>
          <t>VÄRMLANDS LÄN</t>
        </is>
      </c>
      <c r="E8117" t="inlineStr">
        <is>
          <t>TORSBY</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53181-2022</t>
        </is>
      </c>
      <c r="B8118" s="1" t="n">
        <v>44876</v>
      </c>
      <c r="C8118" s="1" t="n">
        <v>45736</v>
      </c>
      <c r="D8118" t="inlineStr">
        <is>
          <t>VÄRMLANDS LÄN</t>
        </is>
      </c>
      <c r="E8118" t="inlineStr">
        <is>
          <t>FORSHAGA</t>
        </is>
      </c>
      <c r="F8118" t="inlineStr">
        <is>
          <t>Bergvik skog väst AB</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53192-2022</t>
        </is>
      </c>
      <c r="B8119" s="1" t="n">
        <v>44876</v>
      </c>
      <c r="C8119" s="1" t="n">
        <v>45736</v>
      </c>
      <c r="D8119" t="inlineStr">
        <is>
          <t>VÄRMLANDS LÄN</t>
        </is>
      </c>
      <c r="E8119" t="inlineStr">
        <is>
          <t>HAGFORS</t>
        </is>
      </c>
      <c r="F8119" t="inlineStr">
        <is>
          <t>Bergvik skog väst AB</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53208-2022</t>
        </is>
      </c>
      <c r="B8120" s="1" t="n">
        <v>44876</v>
      </c>
      <c r="C8120" s="1" t="n">
        <v>45736</v>
      </c>
      <c r="D8120" t="inlineStr">
        <is>
          <t>VÄRMLANDS LÄN</t>
        </is>
      </c>
      <c r="E8120" t="inlineStr">
        <is>
          <t>FILIPSTAD</t>
        </is>
      </c>
      <c r="F8120" t="inlineStr">
        <is>
          <t>Bergvik skog väst AB</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53262-2022</t>
        </is>
      </c>
      <c r="B8121" s="1" t="n">
        <v>44876</v>
      </c>
      <c r="C8121" s="1" t="n">
        <v>45736</v>
      </c>
      <c r="D8121" t="inlineStr">
        <is>
          <t>VÄRMLANDS LÄN</t>
        </is>
      </c>
      <c r="E8121" t="inlineStr">
        <is>
          <t>ÅRJÄNG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53778-2022</t>
        </is>
      </c>
      <c r="B8122" s="1" t="n">
        <v>44876</v>
      </c>
      <c r="C8122" s="1" t="n">
        <v>45736</v>
      </c>
      <c r="D8122" t="inlineStr">
        <is>
          <t>VÄRMLANDS LÄN</t>
        </is>
      </c>
      <c r="E8122" t="inlineStr">
        <is>
          <t>SUNNE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53988-2022</t>
        </is>
      </c>
      <c r="B8123" s="1" t="n">
        <v>44876</v>
      </c>
      <c r="C8123" s="1" t="n">
        <v>45736</v>
      </c>
      <c r="D8123" t="inlineStr">
        <is>
          <t>VÄRMLANDS LÄN</t>
        </is>
      </c>
      <c r="E8123" t="inlineStr">
        <is>
          <t>TORSBY</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53291-2022</t>
        </is>
      </c>
      <c r="B8124" s="1" t="n">
        <v>44877</v>
      </c>
      <c r="C8124" s="1" t="n">
        <v>45736</v>
      </c>
      <c r="D8124" t="inlineStr">
        <is>
          <t>VÄRMLANDS LÄN</t>
        </is>
      </c>
      <c r="E8124" t="inlineStr">
        <is>
          <t>FILIPSTAD</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53294-2022</t>
        </is>
      </c>
      <c r="B8125" s="1" t="n">
        <v>44877</v>
      </c>
      <c r="C8125" s="1" t="n">
        <v>45736</v>
      </c>
      <c r="D8125" t="inlineStr">
        <is>
          <t>VÄRMLANDS LÄN</t>
        </is>
      </c>
      <c r="E8125" t="inlineStr">
        <is>
          <t>EDA</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53419-2022</t>
        </is>
      </c>
      <c r="B8126" s="1" t="n">
        <v>44879</v>
      </c>
      <c r="C8126" s="1" t="n">
        <v>45736</v>
      </c>
      <c r="D8126" t="inlineStr">
        <is>
          <t>VÄRMLANDS LÄN</t>
        </is>
      </c>
      <c r="E8126" t="inlineStr">
        <is>
          <t>HAGFORS</t>
        </is>
      </c>
      <c r="F8126" t="inlineStr">
        <is>
          <t>Bergvik skog väst AB</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53381-2022</t>
        </is>
      </c>
      <c r="B8127" s="1" t="n">
        <v>44879</v>
      </c>
      <c r="C8127" s="1" t="n">
        <v>45736</v>
      </c>
      <c r="D8127" t="inlineStr">
        <is>
          <t>VÄRMLANDS LÄN</t>
        </is>
      </c>
      <c r="E8127" t="inlineStr">
        <is>
          <t>TORSBY</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53436-2022</t>
        </is>
      </c>
      <c r="B8128" s="1" t="n">
        <v>44879</v>
      </c>
      <c r="C8128" s="1" t="n">
        <v>45736</v>
      </c>
      <c r="D8128" t="inlineStr">
        <is>
          <t>VÄRMLANDS LÄN</t>
        </is>
      </c>
      <c r="E8128" t="inlineStr">
        <is>
          <t>SUNNE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53447-2022</t>
        </is>
      </c>
      <c r="B8129" s="1" t="n">
        <v>44879</v>
      </c>
      <c r="C8129" s="1" t="n">
        <v>45736</v>
      </c>
      <c r="D8129" t="inlineStr">
        <is>
          <t>VÄRMLANDS LÄN</t>
        </is>
      </c>
      <c r="E8129" t="inlineStr">
        <is>
          <t>ARVIKA</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53492-2022</t>
        </is>
      </c>
      <c r="B8130" s="1" t="n">
        <v>44879</v>
      </c>
      <c r="C8130" s="1" t="n">
        <v>45736</v>
      </c>
      <c r="D8130" t="inlineStr">
        <is>
          <t>VÄRMLANDS LÄN</t>
        </is>
      </c>
      <c r="E8130" t="inlineStr">
        <is>
          <t>TORSBY</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53422-2022</t>
        </is>
      </c>
      <c r="B8131" s="1" t="n">
        <v>44879</v>
      </c>
      <c r="C8131" s="1" t="n">
        <v>45736</v>
      </c>
      <c r="D8131" t="inlineStr">
        <is>
          <t>VÄRMLANDS LÄN</t>
        </is>
      </c>
      <c r="E8131" t="inlineStr">
        <is>
          <t>FILIPSTAD</t>
        </is>
      </c>
      <c r="F8131" t="inlineStr">
        <is>
          <t>Bergvik skog väst AB</t>
        </is>
      </c>
      <c r="G8131" t="n">
        <v>17.8</v>
      </c>
      <c r="H8131" t="n">
        <v>0</v>
      </c>
      <c r="I8131" t="n">
        <v>0</v>
      </c>
      <c r="J8131" t="n">
        <v>0</v>
      </c>
      <c r="K8131" t="n">
        <v>0</v>
      </c>
      <c r="L8131" t="n">
        <v>0</v>
      </c>
      <c r="M8131" t="n">
        <v>0</v>
      </c>
      <c r="N8131" t="n">
        <v>0</v>
      </c>
      <c r="O8131" t="n">
        <v>0</v>
      </c>
      <c r="P8131" t="n">
        <v>0</v>
      </c>
      <c r="Q8131" t="n">
        <v>0</v>
      </c>
      <c r="R8131" s="2" t="inlineStr"/>
    </row>
    <row r="8132" ht="15" customHeight="1">
      <c r="A8132" t="inlineStr">
        <is>
          <t>A 54426-2022</t>
        </is>
      </c>
      <c r="B8132" s="1" t="n">
        <v>44879</v>
      </c>
      <c r="C8132" s="1" t="n">
        <v>45736</v>
      </c>
      <c r="D8132" t="inlineStr">
        <is>
          <t>VÄRMLANDS LÄN</t>
        </is>
      </c>
      <c r="E8132" t="inlineStr">
        <is>
          <t>EDA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53679-2022</t>
        </is>
      </c>
      <c r="B8133" s="1" t="n">
        <v>44879</v>
      </c>
      <c r="C8133" s="1" t="n">
        <v>45736</v>
      </c>
      <c r="D8133" t="inlineStr">
        <is>
          <t>VÄRMLANDS LÄN</t>
        </is>
      </c>
      <c r="E8133" t="inlineStr">
        <is>
          <t>ÅRJÄNG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54367-2022</t>
        </is>
      </c>
      <c r="B8134" s="1" t="n">
        <v>44879</v>
      </c>
      <c r="C8134" s="1" t="n">
        <v>45736</v>
      </c>
      <c r="D8134" t="inlineStr">
        <is>
          <t>VÄRMLANDS LÄN</t>
        </is>
      </c>
      <c r="E8134" t="inlineStr">
        <is>
          <t>SÄFFLE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53706-2022</t>
        </is>
      </c>
      <c r="B8135" s="1" t="n">
        <v>44880</v>
      </c>
      <c r="C8135" s="1" t="n">
        <v>45736</v>
      </c>
      <c r="D8135" t="inlineStr">
        <is>
          <t>VÄRMLANDS LÄN</t>
        </is>
      </c>
      <c r="E8135" t="inlineStr">
        <is>
          <t>FORSHAGA</t>
        </is>
      </c>
      <c r="F8135" t="inlineStr">
        <is>
          <t>Bergvik skog väst AB</t>
        </is>
      </c>
      <c r="G8135" t="n">
        <v>17.7</v>
      </c>
      <c r="H8135" t="n">
        <v>0</v>
      </c>
      <c r="I8135" t="n">
        <v>0</v>
      </c>
      <c r="J8135" t="n">
        <v>0</v>
      </c>
      <c r="K8135" t="n">
        <v>0</v>
      </c>
      <c r="L8135" t="n">
        <v>0</v>
      </c>
      <c r="M8135" t="n">
        <v>0</v>
      </c>
      <c r="N8135" t="n">
        <v>0</v>
      </c>
      <c r="O8135" t="n">
        <v>0</v>
      </c>
      <c r="P8135" t="n">
        <v>0</v>
      </c>
      <c r="Q8135" t="n">
        <v>0</v>
      </c>
      <c r="R8135" s="2" t="inlineStr"/>
    </row>
    <row r="8136" ht="15" customHeight="1">
      <c r="A8136" t="inlineStr">
        <is>
          <t>A 53913-2022</t>
        </is>
      </c>
      <c r="B8136" s="1" t="n">
        <v>44880</v>
      </c>
      <c r="C8136" s="1" t="n">
        <v>45736</v>
      </c>
      <c r="D8136" t="inlineStr">
        <is>
          <t>VÄRMLANDS LÄN</t>
        </is>
      </c>
      <c r="E8136" t="inlineStr">
        <is>
          <t>FORSHAGA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53690-2022</t>
        </is>
      </c>
      <c r="B8137" s="1" t="n">
        <v>44880</v>
      </c>
      <c r="C8137" s="1" t="n">
        <v>45736</v>
      </c>
      <c r="D8137" t="inlineStr">
        <is>
          <t>VÄRMLANDS LÄN</t>
        </is>
      </c>
      <c r="E8137" t="inlineStr">
        <is>
          <t>FILIPSTAD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53721-2022</t>
        </is>
      </c>
      <c r="B8138" s="1" t="n">
        <v>44880</v>
      </c>
      <c r="C8138" s="1" t="n">
        <v>45736</v>
      </c>
      <c r="D8138" t="inlineStr">
        <is>
          <t>VÄRMLANDS LÄN</t>
        </is>
      </c>
      <c r="E8138" t="inlineStr">
        <is>
          <t>KRISTINEHAMN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53781-2022</t>
        </is>
      </c>
      <c r="B8139" s="1" t="n">
        <v>44880</v>
      </c>
      <c r="C8139" s="1" t="n">
        <v>45736</v>
      </c>
      <c r="D8139" t="inlineStr">
        <is>
          <t>VÄRMLANDS LÄN</t>
        </is>
      </c>
      <c r="E8139" t="inlineStr">
        <is>
          <t>TORSBY</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53832-2022</t>
        </is>
      </c>
      <c r="B8140" s="1" t="n">
        <v>44880</v>
      </c>
      <c r="C8140" s="1" t="n">
        <v>45736</v>
      </c>
      <c r="D8140" t="inlineStr">
        <is>
          <t>VÄRMLANDS LÄN</t>
        </is>
      </c>
      <c r="E8140" t="inlineStr">
        <is>
          <t>SÄFFLE</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53755-2022</t>
        </is>
      </c>
      <c r="B8141" s="1" t="n">
        <v>44880</v>
      </c>
      <c r="C8141" s="1" t="n">
        <v>45736</v>
      </c>
      <c r="D8141" t="inlineStr">
        <is>
          <t>VÄRMLANDS LÄN</t>
        </is>
      </c>
      <c r="E8141" t="inlineStr">
        <is>
          <t>SUNNE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53788-2022</t>
        </is>
      </c>
      <c r="B8142" s="1" t="n">
        <v>44880</v>
      </c>
      <c r="C8142" s="1" t="n">
        <v>45736</v>
      </c>
      <c r="D8142" t="inlineStr">
        <is>
          <t>VÄRMLANDS LÄN</t>
        </is>
      </c>
      <c r="E8142" t="inlineStr">
        <is>
          <t>SÄFFLE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53892-2022</t>
        </is>
      </c>
      <c r="B8143" s="1" t="n">
        <v>44880</v>
      </c>
      <c r="C8143" s="1" t="n">
        <v>45736</v>
      </c>
      <c r="D8143" t="inlineStr">
        <is>
          <t>VÄRMLANDS LÄN</t>
        </is>
      </c>
      <c r="E8143" t="inlineStr">
        <is>
          <t>ARVIKA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53906-2022</t>
        </is>
      </c>
      <c r="B8144" s="1" t="n">
        <v>44880</v>
      </c>
      <c r="C8144" s="1" t="n">
        <v>45736</v>
      </c>
      <c r="D8144" t="inlineStr">
        <is>
          <t>VÄRMLANDS LÄN</t>
        </is>
      </c>
      <c r="E8144" t="inlineStr">
        <is>
          <t>TORSBY</t>
        </is>
      </c>
      <c r="F8144" t="inlineStr">
        <is>
          <t>Bergvik skog väst AB</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53877-2022</t>
        </is>
      </c>
      <c r="B8145" s="1" t="n">
        <v>44880</v>
      </c>
      <c r="C8145" s="1" t="n">
        <v>45736</v>
      </c>
      <c r="D8145" t="inlineStr">
        <is>
          <t>VÄRMLANDS LÄN</t>
        </is>
      </c>
      <c r="E8145" t="inlineStr">
        <is>
          <t>HAGFORS</t>
        </is>
      </c>
      <c r="F8145" t="inlineStr">
        <is>
          <t>Bergvik skog väst AB</t>
        </is>
      </c>
      <c r="G8145" t="n">
        <v>19.2</v>
      </c>
      <c r="H8145" t="n">
        <v>0</v>
      </c>
      <c r="I8145" t="n">
        <v>0</v>
      </c>
      <c r="J8145" t="n">
        <v>0</v>
      </c>
      <c r="K8145" t="n">
        <v>0</v>
      </c>
      <c r="L8145" t="n">
        <v>0</v>
      </c>
      <c r="M8145" t="n">
        <v>0</v>
      </c>
      <c r="N8145" t="n">
        <v>0</v>
      </c>
      <c r="O8145" t="n">
        <v>0</v>
      </c>
      <c r="P8145" t="n">
        <v>0</v>
      </c>
      <c r="Q8145" t="n">
        <v>0</v>
      </c>
      <c r="R8145" s="2" t="inlineStr"/>
    </row>
    <row r="8146" ht="15" customHeight="1">
      <c r="A8146" t="inlineStr">
        <is>
          <t>A 53910-2022</t>
        </is>
      </c>
      <c r="B8146" s="1" t="n">
        <v>44880</v>
      </c>
      <c r="C8146" s="1" t="n">
        <v>45736</v>
      </c>
      <c r="D8146" t="inlineStr">
        <is>
          <t>VÄRMLANDS LÄN</t>
        </is>
      </c>
      <c r="E8146" t="inlineStr">
        <is>
          <t>FORSHAGA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53912-2022</t>
        </is>
      </c>
      <c r="B8147" s="1" t="n">
        <v>44880</v>
      </c>
      <c r="C8147" s="1" t="n">
        <v>45736</v>
      </c>
      <c r="D8147" t="inlineStr">
        <is>
          <t>VÄRMLANDS LÄN</t>
        </is>
      </c>
      <c r="E8147" t="inlineStr">
        <is>
          <t>FORSHAGA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54452-2022</t>
        </is>
      </c>
      <c r="B8148" s="1" t="n">
        <v>44880</v>
      </c>
      <c r="C8148" s="1" t="n">
        <v>45736</v>
      </c>
      <c r="D8148" t="inlineStr">
        <is>
          <t>VÄRMLANDS LÄN</t>
        </is>
      </c>
      <c r="E8148" t="inlineStr">
        <is>
          <t>TORSBY</t>
        </is>
      </c>
      <c r="F8148" t="inlineStr">
        <is>
          <t>Kyrkan</t>
        </is>
      </c>
      <c r="G8148" t="n">
        <v>10.6</v>
      </c>
      <c r="H8148" t="n">
        <v>0</v>
      </c>
      <c r="I8148" t="n">
        <v>0</v>
      </c>
      <c r="J8148" t="n">
        <v>0</v>
      </c>
      <c r="K8148" t="n">
        <v>0</v>
      </c>
      <c r="L8148" t="n">
        <v>0</v>
      </c>
      <c r="M8148" t="n">
        <v>0</v>
      </c>
      <c r="N8148" t="n">
        <v>0</v>
      </c>
      <c r="O8148" t="n">
        <v>0</v>
      </c>
      <c r="P8148" t="n">
        <v>0</v>
      </c>
      <c r="Q8148" t="n">
        <v>0</v>
      </c>
      <c r="R8148" s="2" t="inlineStr"/>
    </row>
    <row r="8149" ht="15" customHeight="1">
      <c r="A8149" t="inlineStr">
        <is>
          <t>A 54028-2022</t>
        </is>
      </c>
      <c r="B8149" s="1" t="n">
        <v>44881</v>
      </c>
      <c r="C8149" s="1" t="n">
        <v>45736</v>
      </c>
      <c r="D8149" t="inlineStr">
        <is>
          <t>VÄRMLANDS LÄN</t>
        </is>
      </c>
      <c r="E8149" t="inlineStr">
        <is>
          <t>TORSBY</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54111-2022</t>
        </is>
      </c>
      <c r="B8150" s="1" t="n">
        <v>44881</v>
      </c>
      <c r="C8150" s="1" t="n">
        <v>45736</v>
      </c>
      <c r="D8150" t="inlineStr">
        <is>
          <t>VÄRMLANDS LÄN</t>
        </is>
      </c>
      <c r="E8150" t="inlineStr">
        <is>
          <t>STORFORS</t>
        </is>
      </c>
      <c r="F8150" t="inlineStr">
        <is>
          <t>Bergvik skog väst AB</t>
        </is>
      </c>
      <c r="G8150" t="n">
        <v>13.9</v>
      </c>
      <c r="H8150" t="n">
        <v>0</v>
      </c>
      <c r="I8150" t="n">
        <v>0</v>
      </c>
      <c r="J8150" t="n">
        <v>0</v>
      </c>
      <c r="K8150" t="n">
        <v>0</v>
      </c>
      <c r="L8150" t="n">
        <v>0</v>
      </c>
      <c r="M8150" t="n">
        <v>0</v>
      </c>
      <c r="N8150" t="n">
        <v>0</v>
      </c>
      <c r="O8150" t="n">
        <v>0</v>
      </c>
      <c r="P8150" t="n">
        <v>0</v>
      </c>
      <c r="Q8150" t="n">
        <v>0</v>
      </c>
      <c r="R8150" s="2" t="inlineStr"/>
    </row>
    <row r="8151" ht="15" customHeight="1">
      <c r="A8151" t="inlineStr">
        <is>
          <t>A 54137-2022</t>
        </is>
      </c>
      <c r="B8151" s="1" t="n">
        <v>44881</v>
      </c>
      <c r="C8151" s="1" t="n">
        <v>45736</v>
      </c>
      <c r="D8151" t="inlineStr">
        <is>
          <t>VÄRMLANDS LÄN</t>
        </is>
      </c>
      <c r="E8151" t="inlineStr">
        <is>
          <t>EDA</t>
        </is>
      </c>
      <c r="G8151" t="n">
        <v>0.1</v>
      </c>
      <c r="H8151" t="n">
        <v>0</v>
      </c>
      <c r="I8151" t="n">
        <v>0</v>
      </c>
      <c r="J8151" t="n">
        <v>0</v>
      </c>
      <c r="K8151" t="n">
        <v>0</v>
      </c>
      <c r="L8151" t="n">
        <v>0</v>
      </c>
      <c r="M8151" t="n">
        <v>0</v>
      </c>
      <c r="N8151" t="n">
        <v>0</v>
      </c>
      <c r="O8151" t="n">
        <v>0</v>
      </c>
      <c r="P8151" t="n">
        <v>0</v>
      </c>
      <c r="Q8151" t="n">
        <v>0</v>
      </c>
      <c r="R8151" s="2" t="inlineStr"/>
    </row>
    <row r="8152" ht="15" customHeight="1">
      <c r="A8152" t="inlineStr">
        <is>
          <t>A 54146-2022</t>
        </is>
      </c>
      <c r="B8152" s="1" t="n">
        <v>44881</v>
      </c>
      <c r="C8152" s="1" t="n">
        <v>45736</v>
      </c>
      <c r="D8152" t="inlineStr">
        <is>
          <t>VÄRMLANDS LÄN</t>
        </is>
      </c>
      <c r="E8152" t="inlineStr">
        <is>
          <t>SUNNE</t>
        </is>
      </c>
      <c r="F8152" t="inlineStr">
        <is>
          <t>Bergvik skog väst AB</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54168-2022</t>
        </is>
      </c>
      <c r="B8153" s="1" t="n">
        <v>44881</v>
      </c>
      <c r="C8153" s="1" t="n">
        <v>45736</v>
      </c>
      <c r="D8153" t="inlineStr">
        <is>
          <t>VÄRMLANDS LÄN</t>
        </is>
      </c>
      <c r="E8153" t="inlineStr">
        <is>
          <t>EDA</t>
        </is>
      </c>
      <c r="F8153" t="inlineStr">
        <is>
          <t>Övriga Aktiebolag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54222-2022</t>
        </is>
      </c>
      <c r="B8154" s="1" t="n">
        <v>44881</v>
      </c>
      <c r="C8154" s="1" t="n">
        <v>45736</v>
      </c>
      <c r="D8154" t="inlineStr">
        <is>
          <t>VÄRMLANDS LÄN</t>
        </is>
      </c>
      <c r="E8154" t="inlineStr">
        <is>
          <t>EDA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54133-2022</t>
        </is>
      </c>
      <c r="B8155" s="1" t="n">
        <v>44881</v>
      </c>
      <c r="C8155" s="1" t="n">
        <v>45736</v>
      </c>
      <c r="D8155" t="inlineStr">
        <is>
          <t>VÄRMLANDS LÄN</t>
        </is>
      </c>
      <c r="E8155" t="inlineStr">
        <is>
          <t>EDA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53987-2022</t>
        </is>
      </c>
      <c r="B8156" s="1" t="n">
        <v>44881</v>
      </c>
      <c r="C8156" s="1" t="n">
        <v>45736</v>
      </c>
      <c r="D8156" t="inlineStr">
        <is>
          <t>VÄRMLANDS LÄN</t>
        </is>
      </c>
      <c r="E8156" t="inlineStr">
        <is>
          <t>EDA</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53993-2022</t>
        </is>
      </c>
      <c r="B8157" s="1" t="n">
        <v>44881</v>
      </c>
      <c r="C8157" s="1" t="n">
        <v>45736</v>
      </c>
      <c r="D8157" t="inlineStr">
        <is>
          <t>VÄRMLANDS LÄN</t>
        </is>
      </c>
      <c r="E8157" t="inlineStr">
        <is>
          <t>ARVIKA</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54036-2022</t>
        </is>
      </c>
      <c r="B8158" s="1" t="n">
        <v>44881</v>
      </c>
      <c r="C8158" s="1" t="n">
        <v>45736</v>
      </c>
      <c r="D8158" t="inlineStr">
        <is>
          <t>VÄRMLANDS LÄN</t>
        </is>
      </c>
      <c r="E8158" t="inlineStr">
        <is>
          <t>SUNNE</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54126-2022</t>
        </is>
      </c>
      <c r="B8159" s="1" t="n">
        <v>44881</v>
      </c>
      <c r="C8159" s="1" t="n">
        <v>45736</v>
      </c>
      <c r="D8159" t="inlineStr">
        <is>
          <t>VÄRMLANDS LÄN</t>
        </is>
      </c>
      <c r="E8159" t="inlineStr">
        <is>
          <t>SÄFFLE</t>
        </is>
      </c>
      <c r="F8159" t="inlineStr">
        <is>
          <t>Kyrkan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54143-2022</t>
        </is>
      </c>
      <c r="B8160" s="1" t="n">
        <v>44881</v>
      </c>
      <c r="C8160" s="1" t="n">
        <v>45736</v>
      </c>
      <c r="D8160" t="inlineStr">
        <is>
          <t>VÄRMLANDS LÄN</t>
        </is>
      </c>
      <c r="E8160" t="inlineStr">
        <is>
          <t>TORSBY</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54160-2022</t>
        </is>
      </c>
      <c r="B8161" s="1" t="n">
        <v>44881</v>
      </c>
      <c r="C8161" s="1" t="n">
        <v>45736</v>
      </c>
      <c r="D8161" t="inlineStr">
        <is>
          <t>VÄRMLANDS LÄN</t>
        </is>
      </c>
      <c r="E8161" t="inlineStr">
        <is>
          <t>TORSBY</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54179-2022</t>
        </is>
      </c>
      <c r="B8162" s="1" t="n">
        <v>44881</v>
      </c>
      <c r="C8162" s="1" t="n">
        <v>45736</v>
      </c>
      <c r="D8162" t="inlineStr">
        <is>
          <t>VÄRMLANDS LÄN</t>
        </is>
      </c>
      <c r="E8162" t="inlineStr">
        <is>
          <t>SUNNE</t>
        </is>
      </c>
      <c r="F8162" t="inlineStr">
        <is>
          <t>Bergvik skog väst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54170-2022</t>
        </is>
      </c>
      <c r="B8163" s="1" t="n">
        <v>44881</v>
      </c>
      <c r="C8163" s="1" t="n">
        <v>45736</v>
      </c>
      <c r="D8163" t="inlineStr">
        <is>
          <t>VÄRMLANDS LÄN</t>
        </is>
      </c>
      <c r="E8163" t="inlineStr">
        <is>
          <t>FORSHAGA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54185-2022</t>
        </is>
      </c>
      <c r="B8164" s="1" t="n">
        <v>44881</v>
      </c>
      <c r="C8164" s="1" t="n">
        <v>45736</v>
      </c>
      <c r="D8164" t="inlineStr">
        <is>
          <t>VÄRMLANDS LÄN</t>
        </is>
      </c>
      <c r="E8164" t="inlineStr">
        <is>
          <t>EDA</t>
        </is>
      </c>
      <c r="F8164" t="inlineStr">
        <is>
          <t>Övriga Aktiebolag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55056-2022</t>
        </is>
      </c>
      <c r="B8165" s="1" t="n">
        <v>44881</v>
      </c>
      <c r="C8165" s="1" t="n">
        <v>45736</v>
      </c>
      <c r="D8165" t="inlineStr">
        <is>
          <t>VÄRMLANDS LÄN</t>
        </is>
      </c>
      <c r="E8165" t="inlineStr">
        <is>
          <t>SÄFFLE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55090-2022</t>
        </is>
      </c>
      <c r="B8166" s="1" t="n">
        <v>44881</v>
      </c>
      <c r="C8166" s="1" t="n">
        <v>45736</v>
      </c>
      <c r="D8166" t="inlineStr">
        <is>
          <t>VÄRMLANDS LÄN</t>
        </is>
      </c>
      <c r="E8166" t="inlineStr">
        <is>
          <t>SÄFFLE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55083-2022</t>
        </is>
      </c>
      <c r="B8167" s="1" t="n">
        <v>44881</v>
      </c>
      <c r="C8167" s="1" t="n">
        <v>45736</v>
      </c>
      <c r="D8167" t="inlineStr">
        <is>
          <t>VÄRMLANDS LÄN</t>
        </is>
      </c>
      <c r="E8167" t="inlineStr">
        <is>
          <t>SÄFFLE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55088-2022</t>
        </is>
      </c>
      <c r="B8168" s="1" t="n">
        <v>44881</v>
      </c>
      <c r="C8168" s="1" t="n">
        <v>45736</v>
      </c>
      <c r="D8168" t="inlineStr">
        <is>
          <t>VÄRMLANDS LÄN</t>
        </is>
      </c>
      <c r="E8168" t="inlineStr">
        <is>
          <t>SÄFFLE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55093-2022</t>
        </is>
      </c>
      <c r="B8169" s="1" t="n">
        <v>44881</v>
      </c>
      <c r="C8169" s="1" t="n">
        <v>45736</v>
      </c>
      <c r="D8169" t="inlineStr">
        <is>
          <t>VÄRMLANDS LÄN</t>
        </is>
      </c>
      <c r="E8169" t="inlineStr">
        <is>
          <t>SÄFFLE</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54339-2022</t>
        </is>
      </c>
      <c r="B8170" s="1" t="n">
        <v>44882</v>
      </c>
      <c r="C8170" s="1" t="n">
        <v>45736</v>
      </c>
      <c r="D8170" t="inlineStr">
        <is>
          <t>VÄRMLANDS LÄN</t>
        </is>
      </c>
      <c r="E8170" t="inlineStr">
        <is>
          <t>SUNNE</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54439-2022</t>
        </is>
      </c>
      <c r="B8171" s="1" t="n">
        <v>44882</v>
      </c>
      <c r="C8171" s="1" t="n">
        <v>45736</v>
      </c>
      <c r="D8171" t="inlineStr">
        <is>
          <t>VÄRMLANDS LÄN</t>
        </is>
      </c>
      <c r="E8171" t="inlineStr">
        <is>
          <t>KARLSTAD</t>
        </is>
      </c>
      <c r="F8171" t="inlineStr">
        <is>
          <t>Kommuner</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54415-2022</t>
        </is>
      </c>
      <c r="B8172" s="1" t="n">
        <v>44882</v>
      </c>
      <c r="C8172" s="1" t="n">
        <v>45736</v>
      </c>
      <c r="D8172" t="inlineStr">
        <is>
          <t>VÄRMLANDS LÄN</t>
        </is>
      </c>
      <c r="E8172" t="inlineStr">
        <is>
          <t>KARLSTAD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54444-2022</t>
        </is>
      </c>
      <c r="B8173" s="1" t="n">
        <v>44882</v>
      </c>
      <c r="C8173" s="1" t="n">
        <v>45736</v>
      </c>
      <c r="D8173" t="inlineStr">
        <is>
          <t>VÄRMLANDS LÄN</t>
        </is>
      </c>
      <c r="E8173" t="inlineStr">
        <is>
          <t>GRUMS</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54487-2022</t>
        </is>
      </c>
      <c r="B8174" s="1" t="n">
        <v>44882</v>
      </c>
      <c r="C8174" s="1" t="n">
        <v>45736</v>
      </c>
      <c r="D8174" t="inlineStr">
        <is>
          <t>VÄRMLANDS LÄN</t>
        </is>
      </c>
      <c r="E8174" t="inlineStr">
        <is>
          <t>SUNNE</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54338-2022</t>
        </is>
      </c>
      <c r="B8175" s="1" t="n">
        <v>44882</v>
      </c>
      <c r="C8175" s="1" t="n">
        <v>45736</v>
      </c>
      <c r="D8175" t="inlineStr">
        <is>
          <t>VÄRMLANDS LÄN</t>
        </is>
      </c>
      <c r="E8175" t="inlineStr">
        <is>
          <t>ARVIKA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54365-2022</t>
        </is>
      </c>
      <c r="B8176" s="1" t="n">
        <v>44882</v>
      </c>
      <c r="C8176" s="1" t="n">
        <v>45736</v>
      </c>
      <c r="D8176" t="inlineStr">
        <is>
          <t>VÄRMLANDS LÄN</t>
        </is>
      </c>
      <c r="E8176" t="inlineStr">
        <is>
          <t>KARLSTAD</t>
        </is>
      </c>
      <c r="F8176" t="inlineStr">
        <is>
          <t>Kommuner</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54442-2022</t>
        </is>
      </c>
      <c r="B8177" s="1" t="n">
        <v>44882</v>
      </c>
      <c r="C8177" s="1" t="n">
        <v>45736</v>
      </c>
      <c r="D8177" t="inlineStr">
        <is>
          <t>VÄRMLANDS LÄN</t>
        </is>
      </c>
      <c r="E8177" t="inlineStr">
        <is>
          <t>KARLSTAD</t>
        </is>
      </c>
      <c r="F8177" t="inlineStr">
        <is>
          <t>Kommuner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54430-2022</t>
        </is>
      </c>
      <c r="B8178" s="1" t="n">
        <v>44882</v>
      </c>
      <c r="C8178" s="1" t="n">
        <v>45736</v>
      </c>
      <c r="D8178" t="inlineStr">
        <is>
          <t>VÄRMLANDS LÄN</t>
        </is>
      </c>
      <c r="E8178" t="inlineStr">
        <is>
          <t>KARLSTAD</t>
        </is>
      </c>
      <c r="F8178" t="inlineStr">
        <is>
          <t>Kommuner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54441-2022</t>
        </is>
      </c>
      <c r="B8179" s="1" t="n">
        <v>44882</v>
      </c>
      <c r="C8179" s="1" t="n">
        <v>45736</v>
      </c>
      <c r="D8179" t="inlineStr">
        <is>
          <t>VÄRMLANDS LÄN</t>
        </is>
      </c>
      <c r="E8179" t="inlineStr">
        <is>
          <t>KARLSTAD</t>
        </is>
      </c>
      <c r="F8179" t="inlineStr">
        <is>
          <t>Kommuner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54468-2022</t>
        </is>
      </c>
      <c r="B8180" s="1" t="n">
        <v>44882</v>
      </c>
      <c r="C8180" s="1" t="n">
        <v>45736</v>
      </c>
      <c r="D8180" t="inlineStr">
        <is>
          <t>VÄRMLANDS LÄN</t>
        </is>
      </c>
      <c r="E8180" t="inlineStr">
        <is>
          <t>KARLSTAD</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54554-2022</t>
        </is>
      </c>
      <c r="B8181" s="1" t="n">
        <v>44882</v>
      </c>
      <c r="C8181" s="1" t="n">
        <v>45736</v>
      </c>
      <c r="D8181" t="inlineStr">
        <is>
          <t>VÄRMLANDS LÄN</t>
        </is>
      </c>
      <c r="E8181" t="inlineStr">
        <is>
          <t>SUNNE</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54658-2022</t>
        </is>
      </c>
      <c r="B8182" s="1" t="n">
        <v>44883</v>
      </c>
      <c r="C8182" s="1" t="n">
        <v>45736</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54757-2022</t>
        </is>
      </c>
      <c r="B8183" s="1" t="n">
        <v>44883</v>
      </c>
      <c r="C8183" s="1" t="n">
        <v>45736</v>
      </c>
      <c r="D8183" t="inlineStr">
        <is>
          <t>VÄRMLANDS LÄN</t>
        </is>
      </c>
      <c r="E8183" t="inlineStr">
        <is>
          <t>HAGFORS</t>
        </is>
      </c>
      <c r="F8183" t="inlineStr">
        <is>
          <t>Bergvik skog väst AB</t>
        </is>
      </c>
      <c r="G8183" t="n">
        <v>17.9</v>
      </c>
      <c r="H8183" t="n">
        <v>0</v>
      </c>
      <c r="I8183" t="n">
        <v>0</v>
      </c>
      <c r="J8183" t="n">
        <v>0</v>
      </c>
      <c r="K8183" t="n">
        <v>0</v>
      </c>
      <c r="L8183" t="n">
        <v>0</v>
      </c>
      <c r="M8183" t="n">
        <v>0</v>
      </c>
      <c r="N8183" t="n">
        <v>0</v>
      </c>
      <c r="O8183" t="n">
        <v>0</v>
      </c>
      <c r="P8183" t="n">
        <v>0</v>
      </c>
      <c r="Q8183" t="n">
        <v>0</v>
      </c>
      <c r="R8183" s="2" t="inlineStr"/>
    </row>
    <row r="8184" ht="15" customHeight="1">
      <c r="A8184" t="inlineStr">
        <is>
          <t>A 54678-2022</t>
        </is>
      </c>
      <c r="B8184" s="1" t="n">
        <v>44883</v>
      </c>
      <c r="C8184" s="1" t="n">
        <v>45736</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54690-2022</t>
        </is>
      </c>
      <c r="B8185" s="1" t="n">
        <v>44883</v>
      </c>
      <c r="C8185" s="1" t="n">
        <v>45736</v>
      </c>
      <c r="D8185" t="inlineStr">
        <is>
          <t>VÄRMLANDS LÄN</t>
        </is>
      </c>
      <c r="E8185" t="inlineStr">
        <is>
          <t>KRISTINEHAMN</t>
        </is>
      </c>
      <c r="G8185" t="n">
        <v>11.1</v>
      </c>
      <c r="H8185" t="n">
        <v>0</v>
      </c>
      <c r="I8185" t="n">
        <v>0</v>
      </c>
      <c r="J8185" t="n">
        <v>0</v>
      </c>
      <c r="K8185" t="n">
        <v>0</v>
      </c>
      <c r="L8185" t="n">
        <v>0</v>
      </c>
      <c r="M8185" t="n">
        <v>0</v>
      </c>
      <c r="N8185" t="n">
        <v>0</v>
      </c>
      <c r="O8185" t="n">
        <v>0</v>
      </c>
      <c r="P8185" t="n">
        <v>0</v>
      </c>
      <c r="Q8185" t="n">
        <v>0</v>
      </c>
      <c r="R8185" s="2" t="inlineStr"/>
    </row>
    <row r="8186" ht="15" customHeight="1">
      <c r="A8186" t="inlineStr">
        <is>
          <t>A 54756-2022</t>
        </is>
      </c>
      <c r="B8186" s="1" t="n">
        <v>44883</v>
      </c>
      <c r="C8186" s="1" t="n">
        <v>45736</v>
      </c>
      <c r="D8186" t="inlineStr">
        <is>
          <t>VÄRMLANDS LÄN</t>
        </is>
      </c>
      <c r="E8186" t="inlineStr">
        <is>
          <t>ARVIKA</t>
        </is>
      </c>
      <c r="F8186" t="inlineStr">
        <is>
          <t>Bergvik skog väst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54811-2022</t>
        </is>
      </c>
      <c r="B8187" s="1" t="n">
        <v>44883</v>
      </c>
      <c r="C8187" s="1" t="n">
        <v>45736</v>
      </c>
      <c r="D8187" t="inlineStr">
        <is>
          <t>VÄRMLANDS LÄN</t>
        </is>
      </c>
      <c r="E8187" t="inlineStr">
        <is>
          <t>TORSBY</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54643-2022</t>
        </is>
      </c>
      <c r="B8188" s="1" t="n">
        <v>44883</v>
      </c>
      <c r="C8188" s="1" t="n">
        <v>45736</v>
      </c>
      <c r="D8188" t="inlineStr">
        <is>
          <t>VÄRMLANDS LÄN</t>
        </is>
      </c>
      <c r="E8188" t="inlineStr">
        <is>
          <t>EDA</t>
        </is>
      </c>
      <c r="F8188" t="inlineStr">
        <is>
          <t>Bergvik skog väst AB</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54726-2022</t>
        </is>
      </c>
      <c r="B8189" s="1" t="n">
        <v>44883</v>
      </c>
      <c r="C8189" s="1" t="n">
        <v>45736</v>
      </c>
      <c r="D8189" t="inlineStr">
        <is>
          <t>VÄRMLANDS LÄN</t>
        </is>
      </c>
      <c r="E8189" t="inlineStr">
        <is>
          <t>HAGFORS</t>
        </is>
      </c>
      <c r="F8189" t="inlineStr">
        <is>
          <t>Bergvik skog väst AB</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54751-2022</t>
        </is>
      </c>
      <c r="B8190" s="1" t="n">
        <v>44883</v>
      </c>
      <c r="C8190" s="1" t="n">
        <v>45736</v>
      </c>
      <c r="D8190" t="inlineStr">
        <is>
          <t>VÄRMLANDS LÄN</t>
        </is>
      </c>
      <c r="E8190" t="inlineStr">
        <is>
          <t>HAGFORS</t>
        </is>
      </c>
      <c r="F8190" t="inlineStr">
        <is>
          <t>Bergvik skog väst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54760-2022</t>
        </is>
      </c>
      <c r="B8191" s="1" t="n">
        <v>44883</v>
      </c>
      <c r="C8191" s="1" t="n">
        <v>45736</v>
      </c>
      <c r="D8191" t="inlineStr">
        <is>
          <t>VÄRMLANDS LÄN</t>
        </is>
      </c>
      <c r="E8191" t="inlineStr">
        <is>
          <t>ARVIKA</t>
        </is>
      </c>
      <c r="F8191" t="inlineStr">
        <is>
          <t>Bergvik skog väst AB</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54780-2022</t>
        </is>
      </c>
      <c r="B8192" s="1" t="n">
        <v>44883</v>
      </c>
      <c r="C8192" s="1" t="n">
        <v>45736</v>
      </c>
      <c r="D8192" t="inlineStr">
        <is>
          <t>VÄRMLANDS LÄN</t>
        </is>
      </c>
      <c r="E8192" t="inlineStr">
        <is>
          <t>HAGFORS</t>
        </is>
      </c>
      <c r="F8192" t="inlineStr">
        <is>
          <t>Bergvik skog väst AB</t>
        </is>
      </c>
      <c r="G8192" t="n">
        <v>15.4</v>
      </c>
      <c r="H8192" t="n">
        <v>0</v>
      </c>
      <c r="I8192" t="n">
        <v>0</v>
      </c>
      <c r="J8192" t="n">
        <v>0</v>
      </c>
      <c r="K8192" t="n">
        <v>0</v>
      </c>
      <c r="L8192" t="n">
        <v>0</v>
      </c>
      <c r="M8192" t="n">
        <v>0</v>
      </c>
      <c r="N8192" t="n">
        <v>0</v>
      </c>
      <c r="O8192" t="n">
        <v>0</v>
      </c>
      <c r="P8192" t="n">
        <v>0</v>
      </c>
      <c r="Q8192" t="n">
        <v>0</v>
      </c>
      <c r="R8192" s="2" t="inlineStr"/>
    </row>
    <row r="8193" ht="15" customHeight="1">
      <c r="A8193" t="inlineStr">
        <is>
          <t>A 54617-2022</t>
        </is>
      </c>
      <c r="B8193" s="1" t="n">
        <v>44883</v>
      </c>
      <c r="C8193" s="1" t="n">
        <v>45736</v>
      </c>
      <c r="D8193" t="inlineStr">
        <is>
          <t>VÄRMLANDS LÄN</t>
        </is>
      </c>
      <c r="E8193" t="inlineStr">
        <is>
          <t>EDA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54721-2022</t>
        </is>
      </c>
      <c r="B8194" s="1" t="n">
        <v>44883</v>
      </c>
      <c r="C8194" s="1" t="n">
        <v>45736</v>
      </c>
      <c r="D8194" t="inlineStr">
        <is>
          <t>VÄRMLANDS LÄN</t>
        </is>
      </c>
      <c r="E8194" t="inlineStr">
        <is>
          <t>EDA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54771-2022</t>
        </is>
      </c>
      <c r="B8195" s="1" t="n">
        <v>44883</v>
      </c>
      <c r="C8195" s="1" t="n">
        <v>45736</v>
      </c>
      <c r="D8195" t="inlineStr">
        <is>
          <t>VÄRMLANDS LÄN</t>
        </is>
      </c>
      <c r="E8195" t="inlineStr">
        <is>
          <t>KRISTINEHAMN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55607-2022</t>
        </is>
      </c>
      <c r="B8196" s="1" t="n">
        <v>44883</v>
      </c>
      <c r="C8196" s="1" t="n">
        <v>45736</v>
      </c>
      <c r="D8196" t="inlineStr">
        <is>
          <t>VÄRMLANDS LÄN</t>
        </is>
      </c>
      <c r="E8196" t="inlineStr">
        <is>
          <t>ÅRJÄNG</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55609-2022</t>
        </is>
      </c>
      <c r="B8197" s="1" t="n">
        <v>44883</v>
      </c>
      <c r="C8197" s="1" t="n">
        <v>45736</v>
      </c>
      <c r="D8197" t="inlineStr">
        <is>
          <t>VÄRMLANDS LÄN</t>
        </is>
      </c>
      <c r="E8197" t="inlineStr">
        <is>
          <t>ARVIKA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54865-2022</t>
        </is>
      </c>
      <c r="B8198" s="1" t="n">
        <v>44884</v>
      </c>
      <c r="C8198" s="1" t="n">
        <v>45736</v>
      </c>
      <c r="D8198" t="inlineStr">
        <is>
          <t>VÄRMLANDS LÄN</t>
        </is>
      </c>
      <c r="E8198" t="inlineStr">
        <is>
          <t>TORSBY</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55721-2022</t>
        </is>
      </c>
      <c r="B8199" s="1" t="n">
        <v>44885</v>
      </c>
      <c r="C8199" s="1" t="n">
        <v>45736</v>
      </c>
      <c r="D8199" t="inlineStr">
        <is>
          <t>VÄRMLANDS LÄN</t>
        </is>
      </c>
      <c r="E8199" t="inlineStr">
        <is>
          <t>SÄFFLE</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54978-2022</t>
        </is>
      </c>
      <c r="B8200" s="1" t="n">
        <v>44886</v>
      </c>
      <c r="C8200" s="1" t="n">
        <v>45736</v>
      </c>
      <c r="D8200" t="inlineStr">
        <is>
          <t>VÄRMLANDS LÄN</t>
        </is>
      </c>
      <c r="E8200" t="inlineStr">
        <is>
          <t>SÄFFLE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54991-2022</t>
        </is>
      </c>
      <c r="B8201" s="1" t="n">
        <v>44886</v>
      </c>
      <c r="C8201" s="1" t="n">
        <v>45736</v>
      </c>
      <c r="D8201" t="inlineStr">
        <is>
          <t>VÄRMLANDS LÄN</t>
        </is>
      </c>
      <c r="E8201" t="inlineStr">
        <is>
          <t>EDA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54999-2022</t>
        </is>
      </c>
      <c r="B8202" s="1" t="n">
        <v>44886</v>
      </c>
      <c r="C8202" s="1" t="n">
        <v>45736</v>
      </c>
      <c r="D8202" t="inlineStr">
        <is>
          <t>VÄRMLANDS LÄN</t>
        </is>
      </c>
      <c r="E8202" t="inlineStr">
        <is>
          <t>HAGFORS</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55053-2022</t>
        </is>
      </c>
      <c r="B8203" s="1" t="n">
        <v>44886</v>
      </c>
      <c r="C8203" s="1" t="n">
        <v>45736</v>
      </c>
      <c r="D8203" t="inlineStr">
        <is>
          <t>VÄRMLANDS LÄN</t>
        </is>
      </c>
      <c r="E8203" t="inlineStr">
        <is>
          <t>ARVIKA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54885-2022</t>
        </is>
      </c>
      <c r="B8204" s="1" t="n">
        <v>44886</v>
      </c>
      <c r="C8204" s="1" t="n">
        <v>45736</v>
      </c>
      <c r="D8204" t="inlineStr">
        <is>
          <t>VÄRMLANDS LÄN</t>
        </is>
      </c>
      <c r="E8204" t="inlineStr">
        <is>
          <t>TORSBY</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54917-2022</t>
        </is>
      </c>
      <c r="B8205" s="1" t="n">
        <v>44886</v>
      </c>
      <c r="C8205" s="1" t="n">
        <v>45736</v>
      </c>
      <c r="D8205" t="inlineStr">
        <is>
          <t>VÄRMLANDS LÄN</t>
        </is>
      </c>
      <c r="E8205" t="inlineStr">
        <is>
          <t>ARVIKA</t>
        </is>
      </c>
      <c r="F8205" t="inlineStr">
        <is>
          <t>Bergvik skog väst AB</t>
        </is>
      </c>
      <c r="G8205" t="n">
        <v>15.4</v>
      </c>
      <c r="H8205" t="n">
        <v>0</v>
      </c>
      <c r="I8205" t="n">
        <v>0</v>
      </c>
      <c r="J8205" t="n">
        <v>0</v>
      </c>
      <c r="K8205" t="n">
        <v>0</v>
      </c>
      <c r="L8205" t="n">
        <v>0</v>
      </c>
      <c r="M8205" t="n">
        <v>0</v>
      </c>
      <c r="N8205" t="n">
        <v>0</v>
      </c>
      <c r="O8205" t="n">
        <v>0</v>
      </c>
      <c r="P8205" t="n">
        <v>0</v>
      </c>
      <c r="Q8205" t="n">
        <v>0</v>
      </c>
      <c r="R8205" s="2" t="inlineStr"/>
    </row>
    <row r="8206" ht="15" customHeight="1">
      <c r="A8206" t="inlineStr">
        <is>
          <t>A 54977-2022</t>
        </is>
      </c>
      <c r="B8206" s="1" t="n">
        <v>44886</v>
      </c>
      <c r="C8206" s="1" t="n">
        <v>45736</v>
      </c>
      <c r="D8206" t="inlineStr">
        <is>
          <t>VÄRMLANDS LÄN</t>
        </is>
      </c>
      <c r="E8206" t="inlineStr">
        <is>
          <t>SUNNE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55068-2022</t>
        </is>
      </c>
      <c r="B8207" s="1" t="n">
        <v>44886</v>
      </c>
      <c r="C8207" s="1" t="n">
        <v>45736</v>
      </c>
      <c r="D8207" t="inlineStr">
        <is>
          <t>VÄRMLANDS LÄN</t>
        </is>
      </c>
      <c r="E8207" t="inlineStr">
        <is>
          <t>TORSBY</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55092-2022</t>
        </is>
      </c>
      <c r="B8208" s="1" t="n">
        <v>44886</v>
      </c>
      <c r="C8208" s="1" t="n">
        <v>45736</v>
      </c>
      <c r="D8208" t="inlineStr">
        <is>
          <t>VÄRMLANDS LÄN</t>
        </is>
      </c>
      <c r="E8208" t="inlineStr">
        <is>
          <t>TORSBY</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54950-2022</t>
        </is>
      </c>
      <c r="B8209" s="1" t="n">
        <v>44886</v>
      </c>
      <c r="C8209" s="1" t="n">
        <v>45736</v>
      </c>
      <c r="D8209" t="inlineStr">
        <is>
          <t>VÄRMLANDS LÄN</t>
        </is>
      </c>
      <c r="E8209" t="inlineStr">
        <is>
          <t>ÅRJÄNG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55104-2022</t>
        </is>
      </c>
      <c r="B8210" s="1" t="n">
        <v>44886</v>
      </c>
      <c r="C8210" s="1" t="n">
        <v>45736</v>
      </c>
      <c r="D8210" t="inlineStr">
        <is>
          <t>VÄRMLANDS LÄN</t>
        </is>
      </c>
      <c r="E8210" t="inlineStr">
        <is>
          <t>TORSBY</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55079-2022</t>
        </is>
      </c>
      <c r="B8211" s="1" t="n">
        <v>44886</v>
      </c>
      <c r="C8211" s="1" t="n">
        <v>45736</v>
      </c>
      <c r="D8211" t="inlineStr">
        <is>
          <t>VÄRMLANDS LÄN</t>
        </is>
      </c>
      <c r="E8211" t="inlineStr">
        <is>
          <t>SUNNE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55085-2022</t>
        </is>
      </c>
      <c r="B8212" s="1" t="n">
        <v>44886</v>
      </c>
      <c r="C8212" s="1" t="n">
        <v>45736</v>
      </c>
      <c r="D8212" t="inlineStr">
        <is>
          <t>VÄRMLANDS LÄN</t>
        </is>
      </c>
      <c r="E8212" t="inlineStr">
        <is>
          <t>ARVIKA</t>
        </is>
      </c>
      <c r="F8212" t="inlineStr">
        <is>
          <t>Bergvik skog väst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55094-2022</t>
        </is>
      </c>
      <c r="B8213" s="1" t="n">
        <v>44886</v>
      </c>
      <c r="C8213" s="1" t="n">
        <v>45736</v>
      </c>
      <c r="D8213" t="inlineStr">
        <is>
          <t>VÄRMLANDS LÄN</t>
        </is>
      </c>
      <c r="E8213" t="inlineStr">
        <is>
          <t>SÄFFLE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55147-2022</t>
        </is>
      </c>
      <c r="B8214" s="1" t="n">
        <v>44886</v>
      </c>
      <c r="C8214" s="1" t="n">
        <v>45736</v>
      </c>
      <c r="D8214" t="inlineStr">
        <is>
          <t>VÄRMLANDS LÄN</t>
        </is>
      </c>
      <c r="E8214" t="inlineStr">
        <is>
          <t>SUNNE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55372-2022</t>
        </is>
      </c>
      <c r="B8215" s="1" t="n">
        <v>44887</v>
      </c>
      <c r="C8215" s="1" t="n">
        <v>45736</v>
      </c>
      <c r="D8215" t="inlineStr">
        <is>
          <t>VÄRMLANDS LÄN</t>
        </is>
      </c>
      <c r="E8215" t="inlineStr">
        <is>
          <t>ARVIKA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55268-2022</t>
        </is>
      </c>
      <c r="B8216" s="1" t="n">
        <v>44887</v>
      </c>
      <c r="C8216" s="1" t="n">
        <v>45736</v>
      </c>
      <c r="D8216" t="inlineStr">
        <is>
          <t>VÄRMLANDS LÄN</t>
        </is>
      </c>
      <c r="E8216" t="inlineStr">
        <is>
          <t>FILIPSTAD</t>
        </is>
      </c>
      <c r="F8216" t="inlineStr">
        <is>
          <t>Bergvik skog väst AB</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55339-2022</t>
        </is>
      </c>
      <c r="B8217" s="1" t="n">
        <v>44887</v>
      </c>
      <c r="C8217" s="1" t="n">
        <v>45736</v>
      </c>
      <c r="D8217" t="inlineStr">
        <is>
          <t>VÄRMLANDS LÄN</t>
        </is>
      </c>
      <c r="E8217" t="inlineStr">
        <is>
          <t>EDA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55397-2022</t>
        </is>
      </c>
      <c r="B8218" s="1" t="n">
        <v>44887</v>
      </c>
      <c r="C8218" s="1" t="n">
        <v>45736</v>
      </c>
      <c r="D8218" t="inlineStr">
        <is>
          <t>VÄRMLANDS LÄN</t>
        </is>
      </c>
      <c r="E8218" t="inlineStr">
        <is>
          <t>FILIPSTAD</t>
        </is>
      </c>
      <c r="F8218" t="inlineStr">
        <is>
          <t>Bergvik skog väst AB</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56552-2022</t>
        </is>
      </c>
      <c r="B8219" s="1" t="n">
        <v>44887</v>
      </c>
      <c r="C8219" s="1" t="n">
        <v>45736</v>
      </c>
      <c r="D8219" t="inlineStr">
        <is>
          <t>VÄRMLANDS LÄN</t>
        </is>
      </c>
      <c r="E8219" t="inlineStr">
        <is>
          <t>GRUMS</t>
        </is>
      </c>
      <c r="F8219" t="inlineStr">
        <is>
          <t>Bergvik skog väst AB</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55428-2022</t>
        </is>
      </c>
      <c r="B8220" s="1" t="n">
        <v>44887</v>
      </c>
      <c r="C8220" s="1" t="n">
        <v>45736</v>
      </c>
      <c r="D8220" t="inlineStr">
        <is>
          <t>VÄRMLANDS LÄN</t>
        </is>
      </c>
      <c r="E8220" t="inlineStr">
        <is>
          <t>TORSBY</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55475-2022</t>
        </is>
      </c>
      <c r="B8221" s="1" t="n">
        <v>44887</v>
      </c>
      <c r="C8221" s="1" t="n">
        <v>45736</v>
      </c>
      <c r="D8221" t="inlineStr">
        <is>
          <t>VÄRMLANDS LÄN</t>
        </is>
      </c>
      <c r="E8221" t="inlineStr">
        <is>
          <t>TORSBY</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55447-2022</t>
        </is>
      </c>
      <c r="B8222" s="1" t="n">
        <v>44887</v>
      </c>
      <c r="C8222" s="1" t="n">
        <v>45736</v>
      </c>
      <c r="D8222" t="inlineStr">
        <is>
          <t>VÄRMLANDS LÄN</t>
        </is>
      </c>
      <c r="E8222" t="inlineStr">
        <is>
          <t>HAGFORS</t>
        </is>
      </c>
      <c r="F8222" t="inlineStr">
        <is>
          <t>Bergvik skog väst AB</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55465-2022</t>
        </is>
      </c>
      <c r="B8223" s="1" t="n">
        <v>44887</v>
      </c>
      <c r="C8223" s="1" t="n">
        <v>45736</v>
      </c>
      <c r="D8223" t="inlineStr">
        <is>
          <t>VÄRMLANDS LÄN</t>
        </is>
      </c>
      <c r="E8223" t="inlineStr">
        <is>
          <t>EDA</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55436-2022</t>
        </is>
      </c>
      <c r="B8224" s="1" t="n">
        <v>44887</v>
      </c>
      <c r="C8224" s="1" t="n">
        <v>45736</v>
      </c>
      <c r="D8224" t="inlineStr">
        <is>
          <t>VÄRMLANDS LÄN</t>
        </is>
      </c>
      <c r="E8224" t="inlineStr">
        <is>
          <t>TORSBY</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55250-2022</t>
        </is>
      </c>
      <c r="B8225" s="1" t="n">
        <v>44887</v>
      </c>
      <c r="C8225" s="1" t="n">
        <v>45736</v>
      </c>
      <c r="D8225" t="inlineStr">
        <is>
          <t>VÄRMLANDS LÄN</t>
        </is>
      </c>
      <c r="E8225" t="inlineStr">
        <is>
          <t>KARLSTAD</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55575-2022</t>
        </is>
      </c>
      <c r="B8226" s="1" t="n">
        <v>44888</v>
      </c>
      <c r="C8226" s="1" t="n">
        <v>45736</v>
      </c>
      <c r="D8226" t="inlineStr">
        <is>
          <t>VÄRMLANDS LÄN</t>
        </is>
      </c>
      <c r="E8226" t="inlineStr">
        <is>
          <t>TORSBY</t>
        </is>
      </c>
      <c r="F8226" t="inlineStr">
        <is>
          <t>Bergvik skog väst AB</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55654-2022</t>
        </is>
      </c>
      <c r="B8227" s="1" t="n">
        <v>44888</v>
      </c>
      <c r="C8227" s="1" t="n">
        <v>45736</v>
      </c>
      <c r="D8227" t="inlineStr">
        <is>
          <t>VÄRMLANDS LÄN</t>
        </is>
      </c>
      <c r="E8227" t="inlineStr">
        <is>
          <t>ÅRJÄNG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55787-2022</t>
        </is>
      </c>
      <c r="B8228" s="1" t="n">
        <v>44888</v>
      </c>
      <c r="C8228" s="1" t="n">
        <v>45736</v>
      </c>
      <c r="D8228" t="inlineStr">
        <is>
          <t>VÄRMLANDS LÄN</t>
        </is>
      </c>
      <c r="E8228" t="inlineStr">
        <is>
          <t>ARVIKA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55722-2022</t>
        </is>
      </c>
      <c r="B8229" s="1" t="n">
        <v>44888</v>
      </c>
      <c r="C8229" s="1" t="n">
        <v>45736</v>
      </c>
      <c r="D8229" t="inlineStr">
        <is>
          <t>VÄRMLANDS LÄN</t>
        </is>
      </c>
      <c r="E8229" t="inlineStr">
        <is>
          <t>FORSHAGA</t>
        </is>
      </c>
      <c r="F8229" t="inlineStr">
        <is>
          <t>Bergvik skog väst AB</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55782-2022</t>
        </is>
      </c>
      <c r="B8230" s="1" t="n">
        <v>44888</v>
      </c>
      <c r="C8230" s="1" t="n">
        <v>45736</v>
      </c>
      <c r="D8230" t="inlineStr">
        <is>
          <t>VÄRMLANDS LÄN</t>
        </is>
      </c>
      <c r="E8230" t="inlineStr">
        <is>
          <t>FILIPSTAD</t>
        </is>
      </c>
      <c r="F8230" t="inlineStr">
        <is>
          <t>Bergvik skog väst AB</t>
        </is>
      </c>
      <c r="G8230" t="n">
        <v>14.7</v>
      </c>
      <c r="H8230" t="n">
        <v>0</v>
      </c>
      <c r="I8230" t="n">
        <v>0</v>
      </c>
      <c r="J8230" t="n">
        <v>0</v>
      </c>
      <c r="K8230" t="n">
        <v>0</v>
      </c>
      <c r="L8230" t="n">
        <v>0</v>
      </c>
      <c r="M8230" t="n">
        <v>0</v>
      </c>
      <c r="N8230" t="n">
        <v>0</v>
      </c>
      <c r="O8230" t="n">
        <v>0</v>
      </c>
      <c r="P8230" t="n">
        <v>0</v>
      </c>
      <c r="Q8230" t="n">
        <v>0</v>
      </c>
      <c r="R8230" s="2" t="inlineStr"/>
    </row>
    <row r="8231" ht="15" customHeight="1">
      <c r="A8231" t="inlineStr">
        <is>
          <t>A 55792-2022</t>
        </is>
      </c>
      <c r="B8231" s="1" t="n">
        <v>44888</v>
      </c>
      <c r="C8231" s="1" t="n">
        <v>45736</v>
      </c>
      <c r="D8231" t="inlineStr">
        <is>
          <t>VÄRMLANDS LÄN</t>
        </is>
      </c>
      <c r="E8231" t="inlineStr">
        <is>
          <t>ARVIKA</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55621-2022</t>
        </is>
      </c>
      <c r="B8232" s="1" t="n">
        <v>44888</v>
      </c>
      <c r="C8232" s="1" t="n">
        <v>45736</v>
      </c>
      <c r="D8232" t="inlineStr">
        <is>
          <t>VÄRMLANDS LÄN</t>
        </is>
      </c>
      <c r="E8232" t="inlineStr">
        <is>
          <t>KARLSTAD</t>
        </is>
      </c>
      <c r="F8232" t="inlineStr">
        <is>
          <t>Bergvik skog väst AB</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55764-2022</t>
        </is>
      </c>
      <c r="B8233" s="1" t="n">
        <v>44888</v>
      </c>
      <c r="C8233" s="1" t="n">
        <v>45736</v>
      </c>
      <c r="D8233" t="inlineStr">
        <is>
          <t>VÄRMLANDS LÄN</t>
        </is>
      </c>
      <c r="E8233" t="inlineStr">
        <is>
          <t>KARLSTAD</t>
        </is>
      </c>
      <c r="G8233" t="n">
        <v>3.1</v>
      </c>
      <c r="H8233" t="n">
        <v>0</v>
      </c>
      <c r="I8233" t="n">
        <v>0</v>
      </c>
      <c r="J8233" t="n">
        <v>0</v>
      </c>
      <c r="K8233" t="n">
        <v>0</v>
      </c>
      <c r="L8233" t="n">
        <v>0</v>
      </c>
      <c r="M8233" t="n">
        <v>0</v>
      </c>
      <c r="N8233" t="n">
        <v>0</v>
      </c>
      <c r="O8233" t="n">
        <v>0</v>
      </c>
      <c r="P8233" t="n">
        <v>0</v>
      </c>
      <c r="Q8233" t="n">
        <v>0</v>
      </c>
      <c r="R8233" s="2" t="inlineStr"/>
      <c r="U8233">
        <f>HYPERLINK("https://klasma.github.io/Logging_1780/knärot/A 55764-2022 karta knärot.png", "A 55764-2022")</f>
        <v/>
      </c>
      <c r="V8233">
        <f>HYPERLINK("https://klasma.github.io/Logging_1780/klagomål/A 55764-2022 FSC-klagomål.docx", "A 55764-2022")</f>
        <v/>
      </c>
      <c r="W8233">
        <f>HYPERLINK("https://klasma.github.io/Logging_1780/klagomålsmail/A 55764-2022 FSC-klagomål mail.docx", "A 55764-2022")</f>
        <v/>
      </c>
      <c r="X8233">
        <f>HYPERLINK("https://klasma.github.io/Logging_1780/tillsyn/A 55764-2022 tillsynsbegäran.docx", "A 55764-2022")</f>
        <v/>
      </c>
      <c r="Y8233">
        <f>HYPERLINK("https://klasma.github.io/Logging_1780/tillsynsmail/A 55764-2022 tillsynsbegäran mail.docx", "A 55764-2022")</f>
        <v/>
      </c>
    </row>
    <row r="8234" ht="15" customHeight="1">
      <c r="A8234" t="inlineStr">
        <is>
          <t>A 55797-2022</t>
        </is>
      </c>
      <c r="B8234" s="1" t="n">
        <v>44888</v>
      </c>
      <c r="C8234" s="1" t="n">
        <v>45736</v>
      </c>
      <c r="D8234" t="inlineStr">
        <is>
          <t>VÄRMLANDS LÄN</t>
        </is>
      </c>
      <c r="E8234" t="inlineStr">
        <is>
          <t>EDA</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55835-2022</t>
        </is>
      </c>
      <c r="B8235" s="1" t="n">
        <v>44888</v>
      </c>
      <c r="C8235" s="1" t="n">
        <v>45736</v>
      </c>
      <c r="D8235" t="inlineStr">
        <is>
          <t>VÄRMLANDS LÄN</t>
        </is>
      </c>
      <c r="E8235" t="inlineStr">
        <is>
          <t>FILIPSTAD</t>
        </is>
      </c>
      <c r="F8235" t="inlineStr">
        <is>
          <t>Bergvik skog väst AB</t>
        </is>
      </c>
      <c r="G8235" t="n">
        <v>15.6</v>
      </c>
      <c r="H8235" t="n">
        <v>0</v>
      </c>
      <c r="I8235" t="n">
        <v>0</v>
      </c>
      <c r="J8235" t="n">
        <v>0</v>
      </c>
      <c r="K8235" t="n">
        <v>0</v>
      </c>
      <c r="L8235" t="n">
        <v>0</v>
      </c>
      <c r="M8235" t="n">
        <v>0</v>
      </c>
      <c r="N8235" t="n">
        <v>0</v>
      </c>
      <c r="O8235" t="n">
        <v>0</v>
      </c>
      <c r="P8235" t="n">
        <v>0</v>
      </c>
      <c r="Q8235" t="n">
        <v>0</v>
      </c>
      <c r="R8235" s="2" t="inlineStr"/>
    </row>
    <row r="8236" ht="15" customHeight="1">
      <c r="A8236" t="inlineStr">
        <is>
          <t>A 55819-2022</t>
        </is>
      </c>
      <c r="B8236" s="1" t="n">
        <v>44888</v>
      </c>
      <c r="C8236" s="1" t="n">
        <v>45736</v>
      </c>
      <c r="D8236" t="inlineStr">
        <is>
          <t>VÄRMLANDS LÄN</t>
        </is>
      </c>
      <c r="E8236" t="inlineStr">
        <is>
          <t>KARLSTAD</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56697-2022</t>
        </is>
      </c>
      <c r="B8237" s="1" t="n">
        <v>44888</v>
      </c>
      <c r="C8237" s="1" t="n">
        <v>45736</v>
      </c>
      <c r="D8237" t="inlineStr">
        <is>
          <t>VÄRMLANDS LÄN</t>
        </is>
      </c>
      <c r="E8237" t="inlineStr">
        <is>
          <t>KRISTINEHAMN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55978-2022</t>
        </is>
      </c>
      <c r="B8238" s="1" t="n">
        <v>44889</v>
      </c>
      <c r="C8238" s="1" t="n">
        <v>45736</v>
      </c>
      <c r="D8238" t="inlineStr">
        <is>
          <t>VÄRMLANDS LÄN</t>
        </is>
      </c>
      <c r="E8238" t="inlineStr">
        <is>
          <t>FILIPSTAD</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56086-2022</t>
        </is>
      </c>
      <c r="B8239" s="1" t="n">
        <v>44889</v>
      </c>
      <c r="C8239" s="1" t="n">
        <v>45736</v>
      </c>
      <c r="D8239" t="inlineStr">
        <is>
          <t>VÄRMLANDS LÄN</t>
        </is>
      </c>
      <c r="E8239" t="inlineStr">
        <is>
          <t>ARVIKA</t>
        </is>
      </c>
      <c r="F8239" t="inlineStr">
        <is>
          <t>Bergvik skog väst AB</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55981-2022</t>
        </is>
      </c>
      <c r="B8240" s="1" t="n">
        <v>44889</v>
      </c>
      <c r="C8240" s="1" t="n">
        <v>45736</v>
      </c>
      <c r="D8240" t="inlineStr">
        <is>
          <t>VÄRMLANDS LÄN</t>
        </is>
      </c>
      <c r="E8240" t="inlineStr">
        <is>
          <t>TORSBY</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56124-2022</t>
        </is>
      </c>
      <c r="B8241" s="1" t="n">
        <v>44889</v>
      </c>
      <c r="C8241" s="1" t="n">
        <v>45736</v>
      </c>
      <c r="D8241" t="inlineStr">
        <is>
          <t>VÄRMLANDS LÄN</t>
        </is>
      </c>
      <c r="E8241" t="inlineStr">
        <is>
          <t>EDA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56120-2022</t>
        </is>
      </c>
      <c r="B8242" s="1" t="n">
        <v>44889</v>
      </c>
      <c r="C8242" s="1" t="n">
        <v>45736</v>
      </c>
      <c r="D8242" t="inlineStr">
        <is>
          <t>VÄRMLANDS LÄN</t>
        </is>
      </c>
      <c r="E8242" t="inlineStr">
        <is>
          <t>EDA</t>
        </is>
      </c>
      <c r="G8242" t="n">
        <v>10.2</v>
      </c>
      <c r="H8242" t="n">
        <v>0</v>
      </c>
      <c r="I8242" t="n">
        <v>0</v>
      </c>
      <c r="J8242" t="n">
        <v>0</v>
      </c>
      <c r="K8242" t="n">
        <v>0</v>
      </c>
      <c r="L8242" t="n">
        <v>0</v>
      </c>
      <c r="M8242" t="n">
        <v>0</v>
      </c>
      <c r="N8242" t="n">
        <v>0</v>
      </c>
      <c r="O8242" t="n">
        <v>0</v>
      </c>
      <c r="P8242" t="n">
        <v>0</v>
      </c>
      <c r="Q8242" t="n">
        <v>0</v>
      </c>
      <c r="R8242" s="2" t="inlineStr"/>
    </row>
    <row r="8243" ht="15" customHeight="1">
      <c r="A8243" t="inlineStr">
        <is>
          <t>A 55914-2022</t>
        </is>
      </c>
      <c r="B8243" s="1" t="n">
        <v>44889</v>
      </c>
      <c r="C8243" s="1" t="n">
        <v>45736</v>
      </c>
      <c r="D8243" t="inlineStr">
        <is>
          <t>VÄRMLANDS LÄN</t>
        </is>
      </c>
      <c r="E8243" t="inlineStr">
        <is>
          <t>HAGFORS</t>
        </is>
      </c>
      <c r="F8243" t="inlineStr">
        <is>
          <t>Bergvik skog väst AB</t>
        </is>
      </c>
      <c r="G8243" t="n">
        <v>10.1</v>
      </c>
      <c r="H8243" t="n">
        <v>0</v>
      </c>
      <c r="I8243" t="n">
        <v>0</v>
      </c>
      <c r="J8243" t="n">
        <v>0</v>
      </c>
      <c r="K8243" t="n">
        <v>0</v>
      </c>
      <c r="L8243" t="n">
        <v>0</v>
      </c>
      <c r="M8243" t="n">
        <v>0</v>
      </c>
      <c r="N8243" t="n">
        <v>0</v>
      </c>
      <c r="O8243" t="n">
        <v>0</v>
      </c>
      <c r="P8243" t="n">
        <v>0</v>
      </c>
      <c r="Q8243" t="n">
        <v>0</v>
      </c>
      <c r="R8243" s="2" t="inlineStr"/>
    </row>
    <row r="8244" ht="15" customHeight="1">
      <c r="A8244" t="inlineStr">
        <is>
          <t>A 55939-2022</t>
        </is>
      </c>
      <c r="B8244" s="1" t="n">
        <v>44889</v>
      </c>
      <c r="C8244" s="1" t="n">
        <v>45736</v>
      </c>
      <c r="D8244" t="inlineStr">
        <is>
          <t>VÄRMLANDS LÄN</t>
        </is>
      </c>
      <c r="E8244" t="inlineStr">
        <is>
          <t>TORSBY</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55946-2022</t>
        </is>
      </c>
      <c r="B8245" s="1" t="n">
        <v>44889</v>
      </c>
      <c r="C8245" s="1" t="n">
        <v>45736</v>
      </c>
      <c r="D8245" t="inlineStr">
        <is>
          <t>VÄRMLANDS LÄN</t>
        </is>
      </c>
      <c r="E8245" t="inlineStr">
        <is>
          <t>FILIPSTAD</t>
        </is>
      </c>
      <c r="F8245" t="inlineStr">
        <is>
          <t>Bergvik skog väst AB</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55956-2022</t>
        </is>
      </c>
      <c r="B8246" s="1" t="n">
        <v>44889</v>
      </c>
      <c r="C8246" s="1" t="n">
        <v>45736</v>
      </c>
      <c r="D8246" t="inlineStr">
        <is>
          <t>VÄRMLANDS LÄN</t>
        </is>
      </c>
      <c r="E8246" t="inlineStr">
        <is>
          <t>EDA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55960-2022</t>
        </is>
      </c>
      <c r="B8247" s="1" t="n">
        <v>44889</v>
      </c>
      <c r="C8247" s="1" t="n">
        <v>45736</v>
      </c>
      <c r="D8247" t="inlineStr">
        <is>
          <t>VÄRMLANDS LÄN</t>
        </is>
      </c>
      <c r="E8247" t="inlineStr">
        <is>
          <t>FILIPSTAD</t>
        </is>
      </c>
      <c r="F8247" t="inlineStr">
        <is>
          <t>Bergvik skog väst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55947-2022</t>
        </is>
      </c>
      <c r="B8248" s="1" t="n">
        <v>44889</v>
      </c>
      <c r="C8248" s="1" t="n">
        <v>45736</v>
      </c>
      <c r="D8248" t="inlineStr">
        <is>
          <t>VÄRMLANDS LÄN</t>
        </is>
      </c>
      <c r="E8248" t="inlineStr">
        <is>
          <t>TORSBY</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56222-2022</t>
        </is>
      </c>
      <c r="B8249" s="1" t="n">
        <v>44890</v>
      </c>
      <c r="C8249" s="1" t="n">
        <v>45736</v>
      </c>
      <c r="D8249" t="inlineStr">
        <is>
          <t>VÄRMLANDS LÄN</t>
        </is>
      </c>
      <c r="E8249" t="inlineStr">
        <is>
          <t>FILIPSTAD</t>
        </is>
      </c>
      <c r="F8249" t="inlineStr">
        <is>
          <t>Bergvik skog väst AB</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56248-2022</t>
        </is>
      </c>
      <c r="B8250" s="1" t="n">
        <v>44890</v>
      </c>
      <c r="C8250" s="1" t="n">
        <v>45736</v>
      </c>
      <c r="D8250" t="inlineStr">
        <is>
          <t>VÄRMLANDS LÄN</t>
        </is>
      </c>
      <c r="E8250" t="inlineStr">
        <is>
          <t>HAGFORS</t>
        </is>
      </c>
      <c r="F8250" t="inlineStr">
        <is>
          <t>Bergvik skog väst AB</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56281-2022</t>
        </is>
      </c>
      <c r="B8251" s="1" t="n">
        <v>44890</v>
      </c>
      <c r="C8251" s="1" t="n">
        <v>45736</v>
      </c>
      <c r="D8251" t="inlineStr">
        <is>
          <t>VÄRMLANDS LÄN</t>
        </is>
      </c>
      <c r="E8251" t="inlineStr">
        <is>
          <t>TORSBY</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56334-2022</t>
        </is>
      </c>
      <c r="B8252" s="1" t="n">
        <v>44890</v>
      </c>
      <c r="C8252" s="1" t="n">
        <v>45736</v>
      </c>
      <c r="D8252" t="inlineStr">
        <is>
          <t>VÄRMLANDS LÄN</t>
        </is>
      </c>
      <c r="E8252" t="inlineStr">
        <is>
          <t>FILIPSTAD</t>
        </is>
      </c>
      <c r="F8252" t="inlineStr">
        <is>
          <t>Bergvik skog väst AB</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56302-2022</t>
        </is>
      </c>
      <c r="B8253" s="1" t="n">
        <v>44890</v>
      </c>
      <c r="C8253" s="1" t="n">
        <v>45736</v>
      </c>
      <c r="D8253" t="inlineStr">
        <is>
          <t>VÄRMLANDS LÄN</t>
        </is>
      </c>
      <c r="E8253" t="inlineStr">
        <is>
          <t>FORSHAGA</t>
        </is>
      </c>
      <c r="F8253" t="inlineStr">
        <is>
          <t>Bergvik skog väst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56389-2022</t>
        </is>
      </c>
      <c r="B8254" s="1" t="n">
        <v>44890</v>
      </c>
      <c r="C8254" s="1" t="n">
        <v>45736</v>
      </c>
      <c r="D8254" t="inlineStr">
        <is>
          <t>VÄRMLANDS LÄN</t>
        </is>
      </c>
      <c r="E8254" t="inlineStr">
        <is>
          <t>KIL</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56386-2022</t>
        </is>
      </c>
      <c r="B8255" s="1" t="n">
        <v>44890</v>
      </c>
      <c r="C8255" s="1" t="n">
        <v>45736</v>
      </c>
      <c r="D8255" t="inlineStr">
        <is>
          <t>VÄRMLANDS LÄN</t>
        </is>
      </c>
      <c r="E8255" t="inlineStr">
        <is>
          <t>GRUMS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57627-2022</t>
        </is>
      </c>
      <c r="B8256" s="1" t="n">
        <v>44890</v>
      </c>
      <c r="C8256" s="1" t="n">
        <v>45736</v>
      </c>
      <c r="D8256" t="inlineStr">
        <is>
          <t>VÄRMLANDS LÄN</t>
        </is>
      </c>
      <c r="E8256" t="inlineStr">
        <is>
          <t>ARVIKA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57677-2022</t>
        </is>
      </c>
      <c r="B8257" s="1" t="n">
        <v>44890</v>
      </c>
      <c r="C8257" s="1" t="n">
        <v>45736</v>
      </c>
      <c r="D8257" t="inlineStr">
        <is>
          <t>VÄRMLANDS LÄN</t>
        </is>
      </c>
      <c r="E8257" t="inlineStr">
        <is>
          <t>ARVIKA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56361-2022</t>
        </is>
      </c>
      <c r="B8258" s="1" t="n">
        <v>44890</v>
      </c>
      <c r="C8258" s="1" t="n">
        <v>45736</v>
      </c>
      <c r="D8258" t="inlineStr">
        <is>
          <t>VÄRMLANDS LÄN</t>
        </is>
      </c>
      <c r="E8258" t="inlineStr">
        <is>
          <t>TORSBY</t>
        </is>
      </c>
      <c r="F8258" t="inlineStr">
        <is>
          <t>Bergvik skog väst AB</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57631-2022</t>
        </is>
      </c>
      <c r="B8259" s="1" t="n">
        <v>44890</v>
      </c>
      <c r="C8259" s="1" t="n">
        <v>45736</v>
      </c>
      <c r="D8259" t="inlineStr">
        <is>
          <t>VÄRMLANDS LÄN</t>
        </is>
      </c>
      <c r="E8259" t="inlineStr">
        <is>
          <t>ARVIKA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57632-2022</t>
        </is>
      </c>
      <c r="B8260" s="1" t="n">
        <v>44890</v>
      </c>
      <c r="C8260" s="1" t="n">
        <v>45736</v>
      </c>
      <c r="D8260" t="inlineStr">
        <is>
          <t>VÄRMLANDS LÄN</t>
        </is>
      </c>
      <c r="E8260" t="inlineStr">
        <is>
          <t>HAGFORS</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56432-2022</t>
        </is>
      </c>
      <c r="B8261" s="1" t="n">
        <v>44891</v>
      </c>
      <c r="C8261" s="1" t="n">
        <v>45736</v>
      </c>
      <c r="D8261" t="inlineStr">
        <is>
          <t>VÄRMLANDS LÄN</t>
        </is>
      </c>
      <c r="E8261" t="inlineStr">
        <is>
          <t>TORSBY</t>
        </is>
      </c>
      <c r="F8261" t="inlineStr">
        <is>
          <t>Bergvik skog väst AB</t>
        </is>
      </c>
      <c r="G8261" t="n">
        <v>37.4</v>
      </c>
      <c r="H8261" t="n">
        <v>0</v>
      </c>
      <c r="I8261" t="n">
        <v>0</v>
      </c>
      <c r="J8261" t="n">
        <v>0</v>
      </c>
      <c r="K8261" t="n">
        <v>0</v>
      </c>
      <c r="L8261" t="n">
        <v>0</v>
      </c>
      <c r="M8261" t="n">
        <v>0</v>
      </c>
      <c r="N8261" t="n">
        <v>0</v>
      </c>
      <c r="O8261" t="n">
        <v>0</v>
      </c>
      <c r="P8261" t="n">
        <v>0</v>
      </c>
      <c r="Q8261" t="n">
        <v>0</v>
      </c>
      <c r="R8261" s="2" t="inlineStr"/>
    </row>
    <row r="8262" ht="15" customHeight="1">
      <c r="A8262" t="inlineStr">
        <is>
          <t>A 56434-2022</t>
        </is>
      </c>
      <c r="B8262" s="1" t="n">
        <v>44891</v>
      </c>
      <c r="C8262" s="1" t="n">
        <v>45736</v>
      </c>
      <c r="D8262" t="inlineStr">
        <is>
          <t>VÄRMLANDS LÄN</t>
        </is>
      </c>
      <c r="E8262" t="inlineStr">
        <is>
          <t>TORSBY</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56433-2022</t>
        </is>
      </c>
      <c r="B8263" s="1" t="n">
        <v>44891</v>
      </c>
      <c r="C8263" s="1" t="n">
        <v>45736</v>
      </c>
      <c r="D8263" t="inlineStr">
        <is>
          <t>VÄRMLANDS LÄN</t>
        </is>
      </c>
      <c r="E8263" t="inlineStr">
        <is>
          <t>SUNNE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56520-2022</t>
        </is>
      </c>
      <c r="B8264" s="1" t="n">
        <v>44893</v>
      </c>
      <c r="C8264" s="1" t="n">
        <v>45736</v>
      </c>
      <c r="D8264" t="inlineStr">
        <is>
          <t>VÄRMLANDS LÄN</t>
        </is>
      </c>
      <c r="E8264" t="inlineStr">
        <is>
          <t>STORFORS</t>
        </is>
      </c>
      <c r="F8264" t="inlineStr">
        <is>
          <t>Naturvårdsverket</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56643-2022</t>
        </is>
      </c>
      <c r="B8265" s="1" t="n">
        <v>44893</v>
      </c>
      <c r="C8265" s="1" t="n">
        <v>45736</v>
      </c>
      <c r="D8265" t="inlineStr">
        <is>
          <t>VÄRMLANDS LÄN</t>
        </is>
      </c>
      <c r="E8265" t="inlineStr">
        <is>
          <t>KARLSTAD</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56652-2022</t>
        </is>
      </c>
      <c r="B8266" s="1" t="n">
        <v>44893</v>
      </c>
      <c r="C8266" s="1" t="n">
        <v>45736</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56473-2022</t>
        </is>
      </c>
      <c r="B8267" s="1" t="n">
        <v>44893</v>
      </c>
      <c r="C8267" s="1" t="n">
        <v>45736</v>
      </c>
      <c r="D8267" t="inlineStr">
        <is>
          <t>VÄRMLANDS LÄN</t>
        </is>
      </c>
      <c r="E8267" t="inlineStr">
        <is>
          <t>TORSBY</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56566-2022</t>
        </is>
      </c>
      <c r="B8268" s="1" t="n">
        <v>44893</v>
      </c>
      <c r="C8268" s="1" t="n">
        <v>45736</v>
      </c>
      <c r="D8268" t="inlineStr">
        <is>
          <t>VÄRMLANDS LÄN</t>
        </is>
      </c>
      <c r="E8268" t="inlineStr">
        <is>
          <t>ÅRJÄNG</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56649-2022</t>
        </is>
      </c>
      <c r="B8269" s="1" t="n">
        <v>44893</v>
      </c>
      <c r="C8269" s="1" t="n">
        <v>45736</v>
      </c>
      <c r="D8269" t="inlineStr">
        <is>
          <t>VÄRMLANDS LÄN</t>
        </is>
      </c>
      <c r="E8269" t="inlineStr">
        <is>
          <t>SUNNE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56594-2022</t>
        </is>
      </c>
      <c r="B8270" s="1" t="n">
        <v>44893</v>
      </c>
      <c r="C8270" s="1" t="n">
        <v>45736</v>
      </c>
      <c r="D8270" t="inlineStr">
        <is>
          <t>VÄRMLANDS LÄN</t>
        </is>
      </c>
      <c r="E8270" t="inlineStr">
        <is>
          <t>FILIPSTAD</t>
        </is>
      </c>
      <c r="F8270" t="inlineStr">
        <is>
          <t>Bergvik skog väst AB</t>
        </is>
      </c>
      <c r="G8270" t="n">
        <v>14.1</v>
      </c>
      <c r="H8270" t="n">
        <v>0</v>
      </c>
      <c r="I8270" t="n">
        <v>0</v>
      </c>
      <c r="J8270" t="n">
        <v>0</v>
      </c>
      <c r="K8270" t="n">
        <v>0</v>
      </c>
      <c r="L8270" t="n">
        <v>0</v>
      </c>
      <c r="M8270" t="n">
        <v>0</v>
      </c>
      <c r="N8270" t="n">
        <v>0</v>
      </c>
      <c r="O8270" t="n">
        <v>0</v>
      </c>
      <c r="P8270" t="n">
        <v>0</v>
      </c>
      <c r="Q8270" t="n">
        <v>0</v>
      </c>
      <c r="R8270" s="2" t="inlineStr"/>
    </row>
    <row r="8271" ht="15" customHeight="1">
      <c r="A8271" t="inlineStr">
        <is>
          <t>A 56693-2022</t>
        </is>
      </c>
      <c r="B8271" s="1" t="n">
        <v>44893</v>
      </c>
      <c r="C8271" s="1" t="n">
        <v>45736</v>
      </c>
      <c r="D8271" t="inlineStr">
        <is>
          <t>VÄRMLANDS LÄN</t>
        </is>
      </c>
      <c r="E8271" t="inlineStr">
        <is>
          <t>FILIPSTAD</t>
        </is>
      </c>
      <c r="F8271" t="inlineStr">
        <is>
          <t>Bergvik skog väst AB</t>
        </is>
      </c>
      <c r="G8271" t="n">
        <v>40.1</v>
      </c>
      <c r="H8271" t="n">
        <v>0</v>
      </c>
      <c r="I8271" t="n">
        <v>0</v>
      </c>
      <c r="J8271" t="n">
        <v>0</v>
      </c>
      <c r="K8271" t="n">
        <v>0</v>
      </c>
      <c r="L8271" t="n">
        <v>0</v>
      </c>
      <c r="M8271" t="n">
        <v>0</v>
      </c>
      <c r="N8271" t="n">
        <v>0</v>
      </c>
      <c r="O8271" t="n">
        <v>0</v>
      </c>
      <c r="P8271" t="n">
        <v>0</v>
      </c>
      <c r="Q8271" t="n">
        <v>0</v>
      </c>
      <c r="R8271" s="2" t="inlineStr"/>
    </row>
    <row r="8272" ht="15" customHeight="1">
      <c r="A8272" t="inlineStr">
        <is>
          <t>A 56515-2022</t>
        </is>
      </c>
      <c r="B8272" s="1" t="n">
        <v>44893</v>
      </c>
      <c r="C8272" s="1" t="n">
        <v>45736</v>
      </c>
      <c r="D8272" t="inlineStr">
        <is>
          <t>VÄRMLANDS LÄN</t>
        </is>
      </c>
      <c r="E8272" t="inlineStr">
        <is>
          <t>EDA</t>
        </is>
      </c>
      <c r="F8272" t="inlineStr">
        <is>
          <t>Övriga Aktiebolag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56710-2022</t>
        </is>
      </c>
      <c r="B8273" s="1" t="n">
        <v>44893</v>
      </c>
      <c r="C8273" s="1" t="n">
        <v>45736</v>
      </c>
      <c r="D8273" t="inlineStr">
        <is>
          <t>VÄRMLANDS LÄN</t>
        </is>
      </c>
      <c r="E8273" t="inlineStr">
        <is>
          <t>ARVIKA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56714-2022</t>
        </is>
      </c>
      <c r="B8274" s="1" t="n">
        <v>44893</v>
      </c>
      <c r="C8274" s="1" t="n">
        <v>45736</v>
      </c>
      <c r="D8274" t="inlineStr">
        <is>
          <t>VÄRMLANDS LÄN</t>
        </is>
      </c>
      <c r="E8274" t="inlineStr">
        <is>
          <t>ARVIKA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56713-2022</t>
        </is>
      </c>
      <c r="B8275" s="1" t="n">
        <v>44893</v>
      </c>
      <c r="C8275" s="1" t="n">
        <v>45736</v>
      </c>
      <c r="D8275" t="inlineStr">
        <is>
          <t>VÄRMLANDS LÄN</t>
        </is>
      </c>
      <c r="E8275" t="inlineStr">
        <is>
          <t>ARVIKA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56598-2022</t>
        </is>
      </c>
      <c r="B8276" s="1" t="n">
        <v>44893</v>
      </c>
      <c r="C8276" s="1" t="n">
        <v>45736</v>
      </c>
      <c r="D8276" t="inlineStr">
        <is>
          <t>VÄRMLANDS LÄN</t>
        </is>
      </c>
      <c r="E8276" t="inlineStr">
        <is>
          <t>EDA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56648-2022</t>
        </is>
      </c>
      <c r="B8277" s="1" t="n">
        <v>44893</v>
      </c>
      <c r="C8277" s="1" t="n">
        <v>45736</v>
      </c>
      <c r="D8277" t="inlineStr">
        <is>
          <t>VÄRMLANDS LÄN</t>
        </is>
      </c>
      <c r="E8277" t="inlineStr">
        <is>
          <t>HAGFORS</t>
        </is>
      </c>
      <c r="F8277" t="inlineStr">
        <is>
          <t>Bergvik skog väst AB</t>
        </is>
      </c>
      <c r="G8277" t="n">
        <v>20.2</v>
      </c>
      <c r="H8277" t="n">
        <v>0</v>
      </c>
      <c r="I8277" t="n">
        <v>0</v>
      </c>
      <c r="J8277" t="n">
        <v>0</v>
      </c>
      <c r="K8277" t="n">
        <v>0</v>
      </c>
      <c r="L8277" t="n">
        <v>0</v>
      </c>
      <c r="M8277" t="n">
        <v>0</v>
      </c>
      <c r="N8277" t="n">
        <v>0</v>
      </c>
      <c r="O8277" t="n">
        <v>0</v>
      </c>
      <c r="P8277" t="n">
        <v>0</v>
      </c>
      <c r="Q8277" t="n">
        <v>0</v>
      </c>
      <c r="R8277" s="2" t="inlineStr"/>
    </row>
    <row r="8278" ht="15" customHeight="1">
      <c r="A8278" t="inlineStr">
        <is>
          <t>A 56690-2022</t>
        </is>
      </c>
      <c r="B8278" s="1" t="n">
        <v>44893</v>
      </c>
      <c r="C8278" s="1" t="n">
        <v>45736</v>
      </c>
      <c r="D8278" t="inlineStr">
        <is>
          <t>VÄRMLANDS LÄN</t>
        </is>
      </c>
      <c r="E8278" t="inlineStr">
        <is>
          <t>ÅRJÄNG</t>
        </is>
      </c>
      <c r="F8278" t="inlineStr">
        <is>
          <t>Övriga Aktiebolag</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58014-2022</t>
        </is>
      </c>
      <c r="B8279" s="1" t="n">
        <v>44893</v>
      </c>
      <c r="C8279" s="1" t="n">
        <v>45736</v>
      </c>
      <c r="D8279" t="inlineStr">
        <is>
          <t>VÄRMLANDS LÄN</t>
        </is>
      </c>
      <c r="E8279" t="inlineStr">
        <is>
          <t>ÅRJÄNG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58017-2022</t>
        </is>
      </c>
      <c r="B8280" s="1" t="n">
        <v>44893</v>
      </c>
      <c r="C8280" s="1" t="n">
        <v>45736</v>
      </c>
      <c r="D8280" t="inlineStr">
        <is>
          <t>VÄRMLANDS LÄN</t>
        </is>
      </c>
      <c r="E8280" t="inlineStr">
        <is>
          <t>GRUMS</t>
        </is>
      </c>
      <c r="F8280" t="inlineStr">
        <is>
          <t>Bergvik skog väst AB</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56763-2022</t>
        </is>
      </c>
      <c r="B8281" s="1" t="n">
        <v>44894</v>
      </c>
      <c r="C8281" s="1" t="n">
        <v>45736</v>
      </c>
      <c r="D8281" t="inlineStr">
        <is>
          <t>VÄRMLANDS LÄN</t>
        </is>
      </c>
      <c r="E8281" t="inlineStr">
        <is>
          <t>EDA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56783-2022</t>
        </is>
      </c>
      <c r="B8282" s="1" t="n">
        <v>44894</v>
      </c>
      <c r="C8282" s="1" t="n">
        <v>45736</v>
      </c>
      <c r="D8282" t="inlineStr">
        <is>
          <t>VÄRMLANDS LÄN</t>
        </is>
      </c>
      <c r="E8282" t="inlineStr">
        <is>
          <t>SÄFFLE</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56799-2022</t>
        </is>
      </c>
      <c r="B8283" s="1" t="n">
        <v>44894</v>
      </c>
      <c r="C8283" s="1" t="n">
        <v>45736</v>
      </c>
      <c r="D8283" t="inlineStr">
        <is>
          <t>VÄRMLANDS LÄN</t>
        </is>
      </c>
      <c r="E8283" t="inlineStr">
        <is>
          <t>HAMMARÖ</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56819-2022</t>
        </is>
      </c>
      <c r="B8284" s="1" t="n">
        <v>44894</v>
      </c>
      <c r="C8284" s="1" t="n">
        <v>45736</v>
      </c>
      <c r="D8284" t="inlineStr">
        <is>
          <t>VÄRMLANDS LÄN</t>
        </is>
      </c>
      <c r="E8284" t="inlineStr">
        <is>
          <t>SÄFFLE</t>
        </is>
      </c>
      <c r="F8284" t="inlineStr">
        <is>
          <t>Bergvik skog väst AB</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56875-2022</t>
        </is>
      </c>
      <c r="B8285" s="1" t="n">
        <v>44894</v>
      </c>
      <c r="C8285" s="1" t="n">
        <v>45736</v>
      </c>
      <c r="D8285" t="inlineStr">
        <is>
          <t>VÄRMLANDS LÄN</t>
        </is>
      </c>
      <c r="E8285" t="inlineStr">
        <is>
          <t>KRISTINEHAMN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56748-2022</t>
        </is>
      </c>
      <c r="B8286" s="1" t="n">
        <v>44894</v>
      </c>
      <c r="C8286" s="1" t="n">
        <v>45736</v>
      </c>
      <c r="D8286" t="inlineStr">
        <is>
          <t>VÄRMLANDS LÄN</t>
        </is>
      </c>
      <c r="E8286" t="inlineStr">
        <is>
          <t>FORSHAGA</t>
        </is>
      </c>
      <c r="F8286" t="inlineStr">
        <is>
          <t>Bergvik skog väst AB</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56759-2022</t>
        </is>
      </c>
      <c r="B8287" s="1" t="n">
        <v>44894</v>
      </c>
      <c r="C8287" s="1" t="n">
        <v>45736</v>
      </c>
      <c r="D8287" t="inlineStr">
        <is>
          <t>VÄRMLANDS LÄN</t>
        </is>
      </c>
      <c r="E8287" t="inlineStr">
        <is>
          <t>SÄFFLE</t>
        </is>
      </c>
      <c r="F8287" t="inlineStr">
        <is>
          <t>Bergvik skog väst AB</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56810-2022</t>
        </is>
      </c>
      <c r="B8288" s="1" t="n">
        <v>44894</v>
      </c>
      <c r="C8288" s="1" t="n">
        <v>45736</v>
      </c>
      <c r="D8288" t="inlineStr">
        <is>
          <t>VÄRMLANDS LÄN</t>
        </is>
      </c>
      <c r="E8288" t="inlineStr">
        <is>
          <t>ÅRJÄNG</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56879-2022</t>
        </is>
      </c>
      <c r="B8289" s="1" t="n">
        <v>44894</v>
      </c>
      <c r="C8289" s="1" t="n">
        <v>45736</v>
      </c>
      <c r="D8289" t="inlineStr">
        <is>
          <t>VÄRMLANDS LÄN</t>
        </is>
      </c>
      <c r="E8289" t="inlineStr">
        <is>
          <t>KRISTINEHAMN</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56959-2022</t>
        </is>
      </c>
      <c r="B8290" s="1" t="n">
        <v>44894</v>
      </c>
      <c r="C8290" s="1" t="n">
        <v>45736</v>
      </c>
      <c r="D8290" t="inlineStr">
        <is>
          <t>VÄRMLANDS LÄN</t>
        </is>
      </c>
      <c r="E8290" t="inlineStr">
        <is>
          <t>HAGFORS</t>
        </is>
      </c>
      <c r="F8290" t="inlineStr">
        <is>
          <t>Bergvik skog väst AB</t>
        </is>
      </c>
      <c r="G8290" t="n">
        <v>25.9</v>
      </c>
      <c r="H8290" t="n">
        <v>0</v>
      </c>
      <c r="I8290" t="n">
        <v>0</v>
      </c>
      <c r="J8290" t="n">
        <v>0</v>
      </c>
      <c r="K8290" t="n">
        <v>0</v>
      </c>
      <c r="L8290" t="n">
        <v>0</v>
      </c>
      <c r="M8290" t="n">
        <v>0</v>
      </c>
      <c r="N8290" t="n">
        <v>0</v>
      </c>
      <c r="O8290" t="n">
        <v>0</v>
      </c>
      <c r="P8290" t="n">
        <v>0</v>
      </c>
      <c r="Q8290" t="n">
        <v>0</v>
      </c>
      <c r="R8290" s="2" t="inlineStr"/>
    </row>
    <row r="8291" ht="15" customHeight="1">
      <c r="A8291" t="inlineStr">
        <is>
          <t>A 56988-2022</t>
        </is>
      </c>
      <c r="B8291" s="1" t="n">
        <v>44894</v>
      </c>
      <c r="C8291" s="1" t="n">
        <v>45736</v>
      </c>
      <c r="D8291" t="inlineStr">
        <is>
          <t>VÄRMLANDS LÄN</t>
        </is>
      </c>
      <c r="E8291" t="inlineStr">
        <is>
          <t>ARVIKA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58538-2022</t>
        </is>
      </c>
      <c r="B8292" s="1" t="n">
        <v>44894</v>
      </c>
      <c r="C8292" s="1" t="n">
        <v>45736</v>
      </c>
      <c r="D8292" t="inlineStr">
        <is>
          <t>VÄRMLANDS LÄN</t>
        </is>
      </c>
      <c r="E8292" t="inlineStr">
        <is>
          <t>KARLSTAD</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57078-2022</t>
        </is>
      </c>
      <c r="B8293" s="1" t="n">
        <v>44895</v>
      </c>
      <c r="C8293" s="1" t="n">
        <v>45736</v>
      </c>
      <c r="D8293" t="inlineStr">
        <is>
          <t>VÄRMLANDS LÄN</t>
        </is>
      </c>
      <c r="E8293" t="inlineStr">
        <is>
          <t>SÄFFLE</t>
        </is>
      </c>
      <c r="F8293" t="inlineStr">
        <is>
          <t>Bergvik skog väst AB</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57072-2022</t>
        </is>
      </c>
      <c r="B8294" s="1" t="n">
        <v>44895</v>
      </c>
      <c r="C8294" s="1" t="n">
        <v>45736</v>
      </c>
      <c r="D8294" t="inlineStr">
        <is>
          <t>VÄRMLANDS LÄN</t>
        </is>
      </c>
      <c r="E8294" t="inlineStr">
        <is>
          <t>TORSBY</t>
        </is>
      </c>
      <c r="F8294" t="inlineStr">
        <is>
          <t>Övriga statliga verk och myndigheter</t>
        </is>
      </c>
      <c r="G8294" t="n">
        <v>7.8</v>
      </c>
      <c r="H8294" t="n">
        <v>0</v>
      </c>
      <c r="I8294" t="n">
        <v>0</v>
      </c>
      <c r="J8294" t="n">
        <v>0</v>
      </c>
      <c r="K8294" t="n">
        <v>0</v>
      </c>
      <c r="L8294" t="n">
        <v>0</v>
      </c>
      <c r="M8294" t="n">
        <v>0</v>
      </c>
      <c r="N8294" t="n">
        <v>0</v>
      </c>
      <c r="O8294" t="n">
        <v>0</v>
      </c>
      <c r="P8294" t="n">
        <v>0</v>
      </c>
      <c r="Q8294" t="n">
        <v>0</v>
      </c>
      <c r="R8294" s="2" t="inlineStr"/>
    </row>
    <row r="8295" ht="15" customHeight="1">
      <c r="A8295" t="inlineStr">
        <is>
          <t>A 57080-2022</t>
        </is>
      </c>
      <c r="B8295" s="1" t="n">
        <v>44895</v>
      </c>
      <c r="C8295" s="1" t="n">
        <v>45736</v>
      </c>
      <c r="D8295" t="inlineStr">
        <is>
          <t>VÄRMLANDS LÄN</t>
        </is>
      </c>
      <c r="E8295" t="inlineStr">
        <is>
          <t>FORSHAGA</t>
        </is>
      </c>
      <c r="F8295" t="inlineStr">
        <is>
          <t>Bergvik skog väst AB</t>
        </is>
      </c>
      <c r="G8295" t="n">
        <v>14.6</v>
      </c>
      <c r="H8295" t="n">
        <v>0</v>
      </c>
      <c r="I8295" t="n">
        <v>0</v>
      </c>
      <c r="J8295" t="n">
        <v>0</v>
      </c>
      <c r="K8295" t="n">
        <v>0</v>
      </c>
      <c r="L8295" t="n">
        <v>0</v>
      </c>
      <c r="M8295" t="n">
        <v>0</v>
      </c>
      <c r="N8295" t="n">
        <v>0</v>
      </c>
      <c r="O8295" t="n">
        <v>0</v>
      </c>
      <c r="P8295" t="n">
        <v>0</v>
      </c>
      <c r="Q8295" t="n">
        <v>0</v>
      </c>
      <c r="R8295" s="2" t="inlineStr"/>
    </row>
    <row r="8296" ht="15" customHeight="1">
      <c r="A8296" t="inlineStr">
        <is>
          <t>A 57100-2022</t>
        </is>
      </c>
      <c r="B8296" s="1" t="n">
        <v>44895</v>
      </c>
      <c r="C8296" s="1" t="n">
        <v>45736</v>
      </c>
      <c r="D8296" t="inlineStr">
        <is>
          <t>VÄRMLANDS LÄN</t>
        </is>
      </c>
      <c r="E8296" t="inlineStr">
        <is>
          <t>KARLSTAD</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57176-2022</t>
        </is>
      </c>
      <c r="B8297" s="1" t="n">
        <v>44895</v>
      </c>
      <c r="C8297" s="1" t="n">
        <v>45736</v>
      </c>
      <c r="D8297" t="inlineStr">
        <is>
          <t>VÄRMLANDS LÄN</t>
        </is>
      </c>
      <c r="E8297" t="inlineStr">
        <is>
          <t>TORSBY</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57062-2022</t>
        </is>
      </c>
      <c r="B8298" s="1" t="n">
        <v>44895</v>
      </c>
      <c r="C8298" s="1" t="n">
        <v>45736</v>
      </c>
      <c r="D8298" t="inlineStr">
        <is>
          <t>VÄRMLANDS LÄN</t>
        </is>
      </c>
      <c r="E8298" t="inlineStr">
        <is>
          <t>ÅRJÄNG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57071-2022</t>
        </is>
      </c>
      <c r="B8299" s="1" t="n">
        <v>44895</v>
      </c>
      <c r="C8299" s="1" t="n">
        <v>45736</v>
      </c>
      <c r="D8299" t="inlineStr">
        <is>
          <t>VÄRMLANDS LÄN</t>
        </is>
      </c>
      <c r="E8299" t="inlineStr">
        <is>
          <t>TORSBY</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57172-2022</t>
        </is>
      </c>
      <c r="B8300" s="1" t="n">
        <v>44895</v>
      </c>
      <c r="C8300" s="1" t="n">
        <v>45736</v>
      </c>
      <c r="D8300" t="inlineStr">
        <is>
          <t>VÄRMLANDS LÄN</t>
        </is>
      </c>
      <c r="E8300" t="inlineStr">
        <is>
          <t>TORSBY</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57209-2022</t>
        </is>
      </c>
      <c r="B8301" s="1" t="n">
        <v>44895</v>
      </c>
      <c r="C8301" s="1" t="n">
        <v>45736</v>
      </c>
      <c r="D8301" t="inlineStr">
        <is>
          <t>VÄRMLANDS LÄN</t>
        </is>
      </c>
      <c r="E8301" t="inlineStr">
        <is>
          <t>STORFORS</t>
        </is>
      </c>
      <c r="F8301" t="inlineStr">
        <is>
          <t>Kyrkan</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57342-2022</t>
        </is>
      </c>
      <c r="B8302" s="1" t="n">
        <v>44896</v>
      </c>
      <c r="C8302" s="1" t="n">
        <v>45736</v>
      </c>
      <c r="D8302" t="inlineStr">
        <is>
          <t>VÄRMLANDS LÄN</t>
        </is>
      </c>
      <c r="E8302" t="inlineStr">
        <is>
          <t>ARVIKA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57355-2022</t>
        </is>
      </c>
      <c r="B8303" s="1" t="n">
        <v>44896</v>
      </c>
      <c r="C8303" s="1" t="n">
        <v>45736</v>
      </c>
      <c r="D8303" t="inlineStr">
        <is>
          <t>VÄRMLANDS LÄN</t>
        </is>
      </c>
      <c r="E8303" t="inlineStr">
        <is>
          <t>EDA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57392-2022</t>
        </is>
      </c>
      <c r="B8304" s="1" t="n">
        <v>44896</v>
      </c>
      <c r="C8304" s="1" t="n">
        <v>45736</v>
      </c>
      <c r="D8304" t="inlineStr">
        <is>
          <t>VÄRMLANDS LÄN</t>
        </is>
      </c>
      <c r="E8304" t="inlineStr">
        <is>
          <t>KARLSTAD</t>
        </is>
      </c>
      <c r="F8304" t="inlineStr">
        <is>
          <t>Bergvik skog väst AB</t>
        </is>
      </c>
      <c r="G8304" t="n">
        <v>23.9</v>
      </c>
      <c r="H8304" t="n">
        <v>0</v>
      </c>
      <c r="I8304" t="n">
        <v>0</v>
      </c>
      <c r="J8304" t="n">
        <v>0</v>
      </c>
      <c r="K8304" t="n">
        <v>0</v>
      </c>
      <c r="L8304" t="n">
        <v>0</v>
      </c>
      <c r="M8304" t="n">
        <v>0</v>
      </c>
      <c r="N8304" t="n">
        <v>0</v>
      </c>
      <c r="O8304" t="n">
        <v>0</v>
      </c>
      <c r="P8304" t="n">
        <v>0</v>
      </c>
      <c r="Q8304" t="n">
        <v>0</v>
      </c>
      <c r="R8304" s="2" t="inlineStr"/>
    </row>
    <row r="8305" ht="15" customHeight="1">
      <c r="A8305" t="inlineStr">
        <is>
          <t>A 57346-2022</t>
        </is>
      </c>
      <c r="B8305" s="1" t="n">
        <v>44896</v>
      </c>
      <c r="C8305" s="1" t="n">
        <v>45736</v>
      </c>
      <c r="D8305" t="inlineStr">
        <is>
          <t>VÄRMLANDS LÄN</t>
        </is>
      </c>
      <c r="E8305" t="inlineStr">
        <is>
          <t>ARVIKA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57354-2022</t>
        </is>
      </c>
      <c r="B8306" s="1" t="n">
        <v>44896</v>
      </c>
      <c r="C8306" s="1" t="n">
        <v>45736</v>
      </c>
      <c r="D8306" t="inlineStr">
        <is>
          <t>VÄRMLANDS LÄN</t>
        </is>
      </c>
      <c r="E8306" t="inlineStr">
        <is>
          <t>EDA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57359-2022</t>
        </is>
      </c>
      <c r="B8307" s="1" t="n">
        <v>44896</v>
      </c>
      <c r="C8307" s="1" t="n">
        <v>45736</v>
      </c>
      <c r="D8307" t="inlineStr">
        <is>
          <t>VÄRMLANDS LÄN</t>
        </is>
      </c>
      <c r="E8307" t="inlineStr">
        <is>
          <t>HAGFORS</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57384-2022</t>
        </is>
      </c>
      <c r="B8308" s="1" t="n">
        <v>44896</v>
      </c>
      <c r="C8308" s="1" t="n">
        <v>45736</v>
      </c>
      <c r="D8308" t="inlineStr">
        <is>
          <t>VÄRMLANDS LÄN</t>
        </is>
      </c>
      <c r="E8308" t="inlineStr">
        <is>
          <t>ARVIKA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57408-2022</t>
        </is>
      </c>
      <c r="B8309" s="1" t="n">
        <v>44896</v>
      </c>
      <c r="C8309" s="1" t="n">
        <v>45736</v>
      </c>
      <c r="D8309" t="inlineStr">
        <is>
          <t>VÄRMLANDS LÄN</t>
        </is>
      </c>
      <c r="E8309" t="inlineStr">
        <is>
          <t>TORSBY</t>
        </is>
      </c>
      <c r="F8309" t="inlineStr">
        <is>
          <t>Bergvik skog väst AB</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57449-2022</t>
        </is>
      </c>
      <c r="B8310" s="1" t="n">
        <v>44896</v>
      </c>
      <c r="C8310" s="1" t="n">
        <v>45736</v>
      </c>
      <c r="D8310" t="inlineStr">
        <is>
          <t>VÄRMLANDS LÄN</t>
        </is>
      </c>
      <c r="E8310" t="inlineStr">
        <is>
          <t>KARLSTAD</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57456-2022</t>
        </is>
      </c>
      <c r="B8311" s="1" t="n">
        <v>44896</v>
      </c>
      <c r="C8311" s="1" t="n">
        <v>45736</v>
      </c>
      <c r="D8311" t="inlineStr">
        <is>
          <t>VÄRMLANDS LÄN</t>
        </is>
      </c>
      <c r="E8311" t="inlineStr">
        <is>
          <t>FILIPSTAD</t>
        </is>
      </c>
      <c r="F8311" t="inlineStr">
        <is>
          <t>Bergvik skog väst AB</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57488-2022</t>
        </is>
      </c>
      <c r="B8312" s="1" t="n">
        <v>44896</v>
      </c>
      <c r="C8312" s="1" t="n">
        <v>45736</v>
      </c>
      <c r="D8312" t="inlineStr">
        <is>
          <t>VÄRMLANDS LÄN</t>
        </is>
      </c>
      <c r="E8312" t="inlineStr">
        <is>
          <t>SÄFFLE</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57418-2022</t>
        </is>
      </c>
      <c r="B8313" s="1" t="n">
        <v>44896</v>
      </c>
      <c r="C8313" s="1" t="n">
        <v>45736</v>
      </c>
      <c r="D8313" t="inlineStr">
        <is>
          <t>VÄRMLANDS LÄN</t>
        </is>
      </c>
      <c r="E8313" t="inlineStr">
        <is>
          <t>TORSBY</t>
        </is>
      </c>
      <c r="F8313" t="inlineStr">
        <is>
          <t>Bergvik skog väst AB</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57424-2022</t>
        </is>
      </c>
      <c r="B8314" s="1" t="n">
        <v>44896</v>
      </c>
      <c r="C8314" s="1" t="n">
        <v>45736</v>
      </c>
      <c r="D8314" t="inlineStr">
        <is>
          <t>VÄRMLANDS LÄN</t>
        </is>
      </c>
      <c r="E8314" t="inlineStr">
        <is>
          <t>KIL</t>
        </is>
      </c>
      <c r="F8314" t="inlineStr">
        <is>
          <t>Bergvik skog väst AB</t>
        </is>
      </c>
      <c r="G8314" t="n">
        <v>14.3</v>
      </c>
      <c r="H8314" t="n">
        <v>0</v>
      </c>
      <c r="I8314" t="n">
        <v>0</v>
      </c>
      <c r="J8314" t="n">
        <v>0</v>
      </c>
      <c r="K8314" t="n">
        <v>0</v>
      </c>
      <c r="L8314" t="n">
        <v>0</v>
      </c>
      <c r="M8314" t="n">
        <v>0</v>
      </c>
      <c r="N8314" t="n">
        <v>0</v>
      </c>
      <c r="O8314" t="n">
        <v>0</v>
      </c>
      <c r="P8314" t="n">
        <v>0</v>
      </c>
      <c r="Q8314" t="n">
        <v>0</v>
      </c>
      <c r="R8314" s="2" t="inlineStr"/>
    </row>
    <row r="8315" ht="15" customHeight="1">
      <c r="A8315" t="inlineStr">
        <is>
          <t>A 57311-2022</t>
        </is>
      </c>
      <c r="B8315" s="1" t="n">
        <v>44896</v>
      </c>
      <c r="C8315" s="1" t="n">
        <v>45736</v>
      </c>
      <c r="D8315" t="inlineStr">
        <is>
          <t>VÄRMLANDS LÄN</t>
        </is>
      </c>
      <c r="E8315" t="inlineStr">
        <is>
          <t>EDA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57307-2022</t>
        </is>
      </c>
      <c r="B8316" s="1" t="n">
        <v>44896</v>
      </c>
      <c r="C8316" s="1" t="n">
        <v>45736</v>
      </c>
      <c r="D8316" t="inlineStr">
        <is>
          <t>VÄRMLANDS LÄN</t>
        </is>
      </c>
      <c r="E8316" t="inlineStr">
        <is>
          <t>FORSHAGA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57358-2022</t>
        </is>
      </c>
      <c r="B8317" s="1" t="n">
        <v>44896</v>
      </c>
      <c r="C8317" s="1" t="n">
        <v>45736</v>
      </c>
      <c r="D8317" t="inlineStr">
        <is>
          <t>VÄRMLANDS LÄN</t>
        </is>
      </c>
      <c r="E8317" t="inlineStr">
        <is>
          <t>HAGFORS</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57445-2022</t>
        </is>
      </c>
      <c r="B8318" s="1" t="n">
        <v>44896</v>
      </c>
      <c r="C8318" s="1" t="n">
        <v>45736</v>
      </c>
      <c r="D8318" t="inlineStr">
        <is>
          <t>VÄRMLANDS LÄN</t>
        </is>
      </c>
      <c r="E8318" t="inlineStr">
        <is>
          <t>KARLSTAD</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57441-2022</t>
        </is>
      </c>
      <c r="B8319" s="1" t="n">
        <v>44896</v>
      </c>
      <c r="C8319" s="1" t="n">
        <v>45736</v>
      </c>
      <c r="D8319" t="inlineStr">
        <is>
          <t>VÄRMLANDS LÄN</t>
        </is>
      </c>
      <c r="E8319" t="inlineStr">
        <is>
          <t>KARLSTAD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57348-2022</t>
        </is>
      </c>
      <c r="B8320" s="1" t="n">
        <v>44896</v>
      </c>
      <c r="C8320" s="1" t="n">
        <v>45736</v>
      </c>
      <c r="D8320" t="inlineStr">
        <is>
          <t>VÄRMLANDS LÄN</t>
        </is>
      </c>
      <c r="E8320" t="inlineStr">
        <is>
          <t>EDA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57379-2022</t>
        </is>
      </c>
      <c r="B8321" s="1" t="n">
        <v>44896</v>
      </c>
      <c r="C8321" s="1" t="n">
        <v>45736</v>
      </c>
      <c r="D8321" t="inlineStr">
        <is>
          <t>VÄRMLANDS LÄN</t>
        </is>
      </c>
      <c r="E8321" t="inlineStr">
        <is>
          <t>HAGFORS</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57393-2022</t>
        </is>
      </c>
      <c r="B8322" s="1" t="n">
        <v>44896</v>
      </c>
      <c r="C8322" s="1" t="n">
        <v>45736</v>
      </c>
      <c r="D8322" t="inlineStr">
        <is>
          <t>VÄRMLANDS LÄN</t>
        </is>
      </c>
      <c r="E8322" t="inlineStr">
        <is>
          <t>TORSBY</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57452-2022</t>
        </is>
      </c>
      <c r="B8323" s="1" t="n">
        <v>44896</v>
      </c>
      <c r="C8323" s="1" t="n">
        <v>45736</v>
      </c>
      <c r="D8323" t="inlineStr">
        <is>
          <t>VÄRMLANDS LÄN</t>
        </is>
      </c>
      <c r="E8323" t="inlineStr">
        <is>
          <t>TORSBY</t>
        </is>
      </c>
      <c r="F8323" t="inlineStr">
        <is>
          <t>Bergvik skog väst AB</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57504-2022</t>
        </is>
      </c>
      <c r="B8324" s="1" t="n">
        <v>44896</v>
      </c>
      <c r="C8324" s="1" t="n">
        <v>45736</v>
      </c>
      <c r="D8324" t="inlineStr">
        <is>
          <t>VÄRMLANDS LÄN</t>
        </is>
      </c>
      <c r="E8324" t="inlineStr">
        <is>
          <t>KARLSTAD</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57483-2022</t>
        </is>
      </c>
      <c r="B8325" s="1" t="n">
        <v>44896</v>
      </c>
      <c r="C8325" s="1" t="n">
        <v>45736</v>
      </c>
      <c r="D8325" t="inlineStr">
        <is>
          <t>VÄRMLANDS LÄN</t>
        </is>
      </c>
      <c r="E8325" t="inlineStr">
        <is>
          <t>KIL</t>
        </is>
      </c>
      <c r="F8325" t="inlineStr">
        <is>
          <t>Bergvik skog väst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57492-2022</t>
        </is>
      </c>
      <c r="B8326" s="1" t="n">
        <v>44896</v>
      </c>
      <c r="C8326" s="1" t="n">
        <v>45736</v>
      </c>
      <c r="D8326" t="inlineStr">
        <is>
          <t>VÄRMLANDS LÄN</t>
        </is>
      </c>
      <c r="E8326" t="inlineStr">
        <is>
          <t>STORFORS</t>
        </is>
      </c>
      <c r="F8326" t="inlineStr">
        <is>
          <t>Naturvårdsverket</t>
        </is>
      </c>
      <c r="G8326" t="n">
        <v>19.6</v>
      </c>
      <c r="H8326" t="n">
        <v>0</v>
      </c>
      <c r="I8326" t="n">
        <v>0</v>
      </c>
      <c r="J8326" t="n">
        <v>0</v>
      </c>
      <c r="K8326" t="n">
        <v>0</v>
      </c>
      <c r="L8326" t="n">
        <v>0</v>
      </c>
      <c r="M8326" t="n">
        <v>0</v>
      </c>
      <c r="N8326" t="n">
        <v>0</v>
      </c>
      <c r="O8326" t="n">
        <v>0</v>
      </c>
      <c r="P8326" t="n">
        <v>0</v>
      </c>
      <c r="Q8326" t="n">
        <v>0</v>
      </c>
      <c r="R8326" s="2" t="inlineStr"/>
    </row>
    <row r="8327" ht="15" customHeight="1">
      <c r="A8327" t="inlineStr">
        <is>
          <t>A 58914-2022</t>
        </is>
      </c>
      <c r="B8327" s="1" t="n">
        <v>44896</v>
      </c>
      <c r="C8327" s="1" t="n">
        <v>45736</v>
      </c>
      <c r="D8327" t="inlineStr">
        <is>
          <t>VÄRMLANDS LÄN</t>
        </is>
      </c>
      <c r="E8327" t="inlineStr">
        <is>
          <t>SÄFFLE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57667-2022</t>
        </is>
      </c>
      <c r="B8328" s="1" t="n">
        <v>44897</v>
      </c>
      <c r="C8328" s="1" t="n">
        <v>45736</v>
      </c>
      <c r="D8328" t="inlineStr">
        <is>
          <t>VÄRMLANDS LÄN</t>
        </is>
      </c>
      <c r="E8328" t="inlineStr">
        <is>
          <t>SUNNE</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57708-2022</t>
        </is>
      </c>
      <c r="B8329" s="1" t="n">
        <v>44897</v>
      </c>
      <c r="C8329" s="1" t="n">
        <v>45736</v>
      </c>
      <c r="D8329" t="inlineStr">
        <is>
          <t>VÄRMLANDS LÄN</t>
        </is>
      </c>
      <c r="E8329" t="inlineStr">
        <is>
          <t>TORSBY</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57726-2022</t>
        </is>
      </c>
      <c r="B8330" s="1" t="n">
        <v>44897</v>
      </c>
      <c r="C8330" s="1" t="n">
        <v>45736</v>
      </c>
      <c r="D8330" t="inlineStr">
        <is>
          <t>VÄRMLANDS LÄN</t>
        </is>
      </c>
      <c r="E8330" t="inlineStr">
        <is>
          <t>TORSBY</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57792-2022</t>
        </is>
      </c>
      <c r="B8331" s="1" t="n">
        <v>44897</v>
      </c>
      <c r="C8331" s="1" t="n">
        <v>45736</v>
      </c>
      <c r="D8331" t="inlineStr">
        <is>
          <t>VÄRMLANDS LÄN</t>
        </is>
      </c>
      <c r="E8331" t="inlineStr">
        <is>
          <t>STORFORS</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57755-2022</t>
        </is>
      </c>
      <c r="B8332" s="1" t="n">
        <v>44897</v>
      </c>
      <c r="C8332" s="1" t="n">
        <v>45736</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57721-2022</t>
        </is>
      </c>
      <c r="B8333" s="1" t="n">
        <v>44897</v>
      </c>
      <c r="C8333" s="1" t="n">
        <v>45736</v>
      </c>
      <c r="D8333" t="inlineStr">
        <is>
          <t>VÄRMLANDS LÄN</t>
        </is>
      </c>
      <c r="E8333" t="inlineStr">
        <is>
          <t>TORSBY</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57867-2022</t>
        </is>
      </c>
      <c r="B8334" s="1" t="n">
        <v>44899</v>
      </c>
      <c r="C8334" s="1" t="n">
        <v>45736</v>
      </c>
      <c r="D8334" t="inlineStr">
        <is>
          <t>VÄRMLANDS LÄN</t>
        </is>
      </c>
      <c r="E8334" t="inlineStr">
        <is>
          <t>TORSBY</t>
        </is>
      </c>
      <c r="F8334" t="inlineStr">
        <is>
          <t>Bergvik skog väst AB</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57865-2022</t>
        </is>
      </c>
      <c r="B8335" s="1" t="n">
        <v>44899</v>
      </c>
      <c r="C8335" s="1" t="n">
        <v>45736</v>
      </c>
      <c r="D8335" t="inlineStr">
        <is>
          <t>VÄRMLANDS LÄN</t>
        </is>
      </c>
      <c r="E8335" t="inlineStr">
        <is>
          <t>EDA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57866-2022</t>
        </is>
      </c>
      <c r="B8336" s="1" t="n">
        <v>44899</v>
      </c>
      <c r="C8336" s="1" t="n">
        <v>45736</v>
      </c>
      <c r="D8336" t="inlineStr">
        <is>
          <t>VÄRMLANDS LÄN</t>
        </is>
      </c>
      <c r="E8336" t="inlineStr">
        <is>
          <t>EDA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57885-2022</t>
        </is>
      </c>
      <c r="B8337" s="1" t="n">
        <v>44900</v>
      </c>
      <c r="C8337" s="1" t="n">
        <v>45736</v>
      </c>
      <c r="D8337" t="inlineStr">
        <is>
          <t>VÄRMLANDS LÄN</t>
        </is>
      </c>
      <c r="E8337" t="inlineStr">
        <is>
          <t>SUNNE</t>
        </is>
      </c>
      <c r="F8337" t="inlineStr">
        <is>
          <t>Bergvik skog väst AB</t>
        </is>
      </c>
      <c r="G8337" t="n">
        <v>11.1</v>
      </c>
      <c r="H8337" t="n">
        <v>0</v>
      </c>
      <c r="I8337" t="n">
        <v>0</v>
      </c>
      <c r="J8337" t="n">
        <v>0</v>
      </c>
      <c r="K8337" t="n">
        <v>0</v>
      </c>
      <c r="L8337" t="n">
        <v>0</v>
      </c>
      <c r="M8337" t="n">
        <v>0</v>
      </c>
      <c r="N8337" t="n">
        <v>0</v>
      </c>
      <c r="O8337" t="n">
        <v>0</v>
      </c>
      <c r="P8337" t="n">
        <v>0</v>
      </c>
      <c r="Q8337" t="n">
        <v>0</v>
      </c>
      <c r="R8337" s="2" t="inlineStr"/>
    </row>
    <row r="8338" ht="15" customHeight="1">
      <c r="A8338" t="inlineStr">
        <is>
          <t>A 57937-2022</t>
        </is>
      </c>
      <c r="B8338" s="1" t="n">
        <v>44900</v>
      </c>
      <c r="C8338" s="1" t="n">
        <v>45736</v>
      </c>
      <c r="D8338" t="inlineStr">
        <is>
          <t>VÄRMLANDS LÄN</t>
        </is>
      </c>
      <c r="E8338" t="inlineStr">
        <is>
          <t>TORSBY</t>
        </is>
      </c>
      <c r="F8338" t="inlineStr">
        <is>
          <t>Bergvik skog väst AB</t>
        </is>
      </c>
      <c r="G8338" t="n">
        <v>14.2</v>
      </c>
      <c r="H8338" t="n">
        <v>0</v>
      </c>
      <c r="I8338" t="n">
        <v>0</v>
      </c>
      <c r="J8338" t="n">
        <v>0</v>
      </c>
      <c r="K8338" t="n">
        <v>0</v>
      </c>
      <c r="L8338" t="n">
        <v>0</v>
      </c>
      <c r="M8338" t="n">
        <v>0</v>
      </c>
      <c r="N8338" t="n">
        <v>0</v>
      </c>
      <c r="O8338" t="n">
        <v>0</v>
      </c>
      <c r="P8338" t="n">
        <v>0</v>
      </c>
      <c r="Q8338" t="n">
        <v>0</v>
      </c>
      <c r="R8338" s="2" t="inlineStr"/>
    </row>
    <row r="8339" ht="15" customHeight="1">
      <c r="A8339" t="inlineStr">
        <is>
          <t>A 57939-2022</t>
        </is>
      </c>
      <c r="B8339" s="1" t="n">
        <v>44900</v>
      </c>
      <c r="C8339" s="1" t="n">
        <v>45736</v>
      </c>
      <c r="D8339" t="inlineStr">
        <is>
          <t>VÄRMLANDS LÄN</t>
        </is>
      </c>
      <c r="E8339" t="inlineStr">
        <is>
          <t>SUNNE</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58008-2022</t>
        </is>
      </c>
      <c r="B8340" s="1" t="n">
        <v>44900</v>
      </c>
      <c r="C8340" s="1" t="n">
        <v>45736</v>
      </c>
      <c r="D8340" t="inlineStr">
        <is>
          <t>VÄRMLANDS LÄN</t>
        </is>
      </c>
      <c r="E8340" t="inlineStr">
        <is>
          <t>STORFORS</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58089-2022</t>
        </is>
      </c>
      <c r="B8341" s="1" t="n">
        <v>44900</v>
      </c>
      <c r="C8341" s="1" t="n">
        <v>45736</v>
      </c>
      <c r="D8341" t="inlineStr">
        <is>
          <t>VÄRMLANDS LÄN</t>
        </is>
      </c>
      <c r="E8341" t="inlineStr">
        <is>
          <t>STORFORS</t>
        </is>
      </c>
      <c r="F8341" t="inlineStr">
        <is>
          <t>Naturvårdsverket</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58125-2022</t>
        </is>
      </c>
      <c r="B8342" s="1" t="n">
        <v>44900</v>
      </c>
      <c r="C8342" s="1" t="n">
        <v>45736</v>
      </c>
      <c r="D8342" t="inlineStr">
        <is>
          <t>VÄRMLANDS LÄN</t>
        </is>
      </c>
      <c r="E8342" t="inlineStr">
        <is>
          <t>STORFORS</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58131-2022</t>
        </is>
      </c>
      <c r="B8343" s="1" t="n">
        <v>44900</v>
      </c>
      <c r="C8343" s="1" t="n">
        <v>45736</v>
      </c>
      <c r="D8343" t="inlineStr">
        <is>
          <t>VÄRMLANDS LÄN</t>
        </is>
      </c>
      <c r="E8343" t="inlineStr">
        <is>
          <t>SUNNE</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57981-2022</t>
        </is>
      </c>
      <c r="B8344" s="1" t="n">
        <v>44900</v>
      </c>
      <c r="C8344" s="1" t="n">
        <v>45736</v>
      </c>
      <c r="D8344" t="inlineStr">
        <is>
          <t>VÄRMLANDS LÄN</t>
        </is>
      </c>
      <c r="E8344" t="inlineStr">
        <is>
          <t>STORFORS</t>
        </is>
      </c>
      <c r="F8344" t="inlineStr">
        <is>
          <t>Naturvårdsverket</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58153-2022</t>
        </is>
      </c>
      <c r="B8345" s="1" t="n">
        <v>44900</v>
      </c>
      <c r="C8345" s="1" t="n">
        <v>45736</v>
      </c>
      <c r="D8345" t="inlineStr">
        <is>
          <t>VÄRMLANDS LÄN</t>
        </is>
      </c>
      <c r="E8345" t="inlineStr">
        <is>
          <t>ARVIKA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59712-2022</t>
        </is>
      </c>
      <c r="B8346" s="1" t="n">
        <v>44900</v>
      </c>
      <c r="C8346" s="1" t="n">
        <v>45736</v>
      </c>
      <c r="D8346" t="inlineStr">
        <is>
          <t>VÄRMLANDS LÄN</t>
        </is>
      </c>
      <c r="E8346" t="inlineStr">
        <is>
          <t>SÄFFLE</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58026-2022</t>
        </is>
      </c>
      <c r="B8347" s="1" t="n">
        <v>44900</v>
      </c>
      <c r="C8347" s="1" t="n">
        <v>45736</v>
      </c>
      <c r="D8347" t="inlineStr">
        <is>
          <t>VÄRMLANDS LÄN</t>
        </is>
      </c>
      <c r="E8347" t="inlineStr">
        <is>
          <t>STORFORS</t>
        </is>
      </c>
      <c r="F8347" t="inlineStr">
        <is>
          <t>Naturvårdsverket</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58039-2022</t>
        </is>
      </c>
      <c r="B8348" s="1" t="n">
        <v>44900</v>
      </c>
      <c r="C8348" s="1" t="n">
        <v>45736</v>
      </c>
      <c r="D8348" t="inlineStr">
        <is>
          <t>VÄRMLANDS LÄN</t>
        </is>
      </c>
      <c r="E8348" t="inlineStr">
        <is>
          <t>ÅRJÄNG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58143-2022</t>
        </is>
      </c>
      <c r="B8349" s="1" t="n">
        <v>44900</v>
      </c>
      <c r="C8349" s="1" t="n">
        <v>45736</v>
      </c>
      <c r="D8349" t="inlineStr">
        <is>
          <t>VÄRMLANDS LÄN</t>
        </is>
      </c>
      <c r="E8349" t="inlineStr">
        <is>
          <t>ARVIKA</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58151-2022</t>
        </is>
      </c>
      <c r="B8350" s="1" t="n">
        <v>44900</v>
      </c>
      <c r="C8350" s="1" t="n">
        <v>45736</v>
      </c>
      <c r="D8350" t="inlineStr">
        <is>
          <t>VÄRMLANDS LÄN</t>
        </is>
      </c>
      <c r="E8350" t="inlineStr">
        <is>
          <t>EDA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58092-2022</t>
        </is>
      </c>
      <c r="B8351" s="1" t="n">
        <v>44900</v>
      </c>
      <c r="C8351" s="1" t="n">
        <v>45736</v>
      </c>
      <c r="D8351" t="inlineStr">
        <is>
          <t>VÄRMLANDS LÄN</t>
        </is>
      </c>
      <c r="E8351" t="inlineStr">
        <is>
          <t>SUNNE</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58097-2022</t>
        </is>
      </c>
      <c r="B8352" s="1" t="n">
        <v>44900</v>
      </c>
      <c r="C8352" s="1" t="n">
        <v>45736</v>
      </c>
      <c r="D8352" t="inlineStr">
        <is>
          <t>VÄRMLANDS LÄN</t>
        </is>
      </c>
      <c r="E8352" t="inlineStr">
        <is>
          <t>SUNNE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58129-2022</t>
        </is>
      </c>
      <c r="B8353" s="1" t="n">
        <v>44900</v>
      </c>
      <c r="C8353" s="1" t="n">
        <v>45736</v>
      </c>
      <c r="D8353" t="inlineStr">
        <is>
          <t>VÄRMLANDS LÄN</t>
        </is>
      </c>
      <c r="E8353" t="inlineStr">
        <is>
          <t>SUNNE</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58133-2022</t>
        </is>
      </c>
      <c r="B8354" s="1" t="n">
        <v>44900</v>
      </c>
      <c r="C8354" s="1" t="n">
        <v>45736</v>
      </c>
      <c r="D8354" t="inlineStr">
        <is>
          <t>VÄRMLANDS LÄN</t>
        </is>
      </c>
      <c r="E8354" t="inlineStr">
        <is>
          <t>ARVIKA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59544-2022</t>
        </is>
      </c>
      <c r="B8355" s="1" t="n">
        <v>44900</v>
      </c>
      <c r="C8355" s="1" t="n">
        <v>45736</v>
      </c>
      <c r="D8355" t="inlineStr">
        <is>
          <t>VÄRMLANDS LÄN</t>
        </is>
      </c>
      <c r="E8355" t="inlineStr">
        <is>
          <t>SÄFFLE</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59708-2022</t>
        </is>
      </c>
      <c r="B8356" s="1" t="n">
        <v>44900</v>
      </c>
      <c r="C8356" s="1" t="n">
        <v>45736</v>
      </c>
      <c r="D8356" t="inlineStr">
        <is>
          <t>VÄRMLANDS LÄN</t>
        </is>
      </c>
      <c r="E8356" t="inlineStr">
        <is>
          <t>SÄFFLE</t>
        </is>
      </c>
      <c r="G8356" t="n">
        <v>11.2</v>
      </c>
      <c r="H8356" t="n">
        <v>0</v>
      </c>
      <c r="I8356" t="n">
        <v>0</v>
      </c>
      <c r="J8356" t="n">
        <v>0</v>
      </c>
      <c r="K8356" t="n">
        <v>0</v>
      </c>
      <c r="L8356" t="n">
        <v>0</v>
      </c>
      <c r="M8356" t="n">
        <v>0</v>
      </c>
      <c r="N8356" t="n">
        <v>0</v>
      </c>
      <c r="O8356" t="n">
        <v>0</v>
      </c>
      <c r="P8356" t="n">
        <v>0</v>
      </c>
      <c r="Q8356" t="n">
        <v>0</v>
      </c>
      <c r="R8356" s="2" t="inlineStr"/>
    </row>
    <row r="8357" ht="15" customHeight="1">
      <c r="A8357" t="inlineStr">
        <is>
          <t>A 59660-2022</t>
        </is>
      </c>
      <c r="B8357" s="1" t="n">
        <v>44900</v>
      </c>
      <c r="C8357" s="1" t="n">
        <v>45736</v>
      </c>
      <c r="D8357" t="inlineStr">
        <is>
          <t>VÄRMLANDS LÄN</t>
        </is>
      </c>
      <c r="E8357" t="inlineStr">
        <is>
          <t>SÄFFLE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58210-2022</t>
        </is>
      </c>
      <c r="B8358" s="1" t="n">
        <v>44901</v>
      </c>
      <c r="C8358" s="1" t="n">
        <v>45736</v>
      </c>
      <c r="D8358" t="inlineStr">
        <is>
          <t>VÄRMLANDS LÄN</t>
        </is>
      </c>
      <c r="E8358" t="inlineStr">
        <is>
          <t>HAGFORS</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58225-2022</t>
        </is>
      </c>
      <c r="B8359" s="1" t="n">
        <v>44901</v>
      </c>
      <c r="C8359" s="1" t="n">
        <v>45736</v>
      </c>
      <c r="D8359" t="inlineStr">
        <is>
          <t>VÄRMLANDS LÄN</t>
        </is>
      </c>
      <c r="E8359" t="inlineStr">
        <is>
          <t>TORSBY</t>
        </is>
      </c>
      <c r="G8359" t="n">
        <v>11.7</v>
      </c>
      <c r="H8359" t="n">
        <v>0</v>
      </c>
      <c r="I8359" t="n">
        <v>0</v>
      </c>
      <c r="J8359" t="n">
        <v>0</v>
      </c>
      <c r="K8359" t="n">
        <v>0</v>
      </c>
      <c r="L8359" t="n">
        <v>0</v>
      </c>
      <c r="M8359" t="n">
        <v>0</v>
      </c>
      <c r="N8359" t="n">
        <v>0</v>
      </c>
      <c r="O8359" t="n">
        <v>0</v>
      </c>
      <c r="P8359" t="n">
        <v>0</v>
      </c>
      <c r="Q8359" t="n">
        <v>0</v>
      </c>
      <c r="R8359" s="2" t="inlineStr"/>
    </row>
    <row r="8360" ht="15" customHeight="1">
      <c r="A8360" t="inlineStr">
        <is>
          <t>A 58343-2022</t>
        </is>
      </c>
      <c r="B8360" s="1" t="n">
        <v>44901</v>
      </c>
      <c r="C8360" s="1" t="n">
        <v>45736</v>
      </c>
      <c r="D8360" t="inlineStr">
        <is>
          <t>VÄRMLANDS LÄN</t>
        </is>
      </c>
      <c r="E8360" t="inlineStr">
        <is>
          <t>EDA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58208-2022</t>
        </is>
      </c>
      <c r="B8361" s="1" t="n">
        <v>44901</v>
      </c>
      <c r="C8361" s="1" t="n">
        <v>45736</v>
      </c>
      <c r="D8361" t="inlineStr">
        <is>
          <t>VÄRMLANDS LÄN</t>
        </is>
      </c>
      <c r="E8361" t="inlineStr">
        <is>
          <t>HAGFORS</t>
        </is>
      </c>
      <c r="F8361" t="inlineStr">
        <is>
          <t>Bergvik skog väst AB</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58234-2022</t>
        </is>
      </c>
      <c r="B8362" s="1" t="n">
        <v>44901</v>
      </c>
      <c r="C8362" s="1" t="n">
        <v>45736</v>
      </c>
      <c r="D8362" t="inlineStr">
        <is>
          <t>VÄRMLANDS LÄN</t>
        </is>
      </c>
      <c r="E8362" t="inlineStr">
        <is>
          <t>EDA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58261-2022</t>
        </is>
      </c>
      <c r="B8363" s="1" t="n">
        <v>44901</v>
      </c>
      <c r="C8363" s="1" t="n">
        <v>45736</v>
      </c>
      <c r="D8363" t="inlineStr">
        <is>
          <t>VÄRMLANDS LÄN</t>
        </is>
      </c>
      <c r="E8363" t="inlineStr">
        <is>
          <t>EDA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58399-2022</t>
        </is>
      </c>
      <c r="B8364" s="1" t="n">
        <v>44901</v>
      </c>
      <c r="C8364" s="1" t="n">
        <v>45736</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58414-2022</t>
        </is>
      </c>
      <c r="B8365" s="1" t="n">
        <v>44901</v>
      </c>
      <c r="C8365" s="1" t="n">
        <v>45736</v>
      </c>
      <c r="D8365" t="inlineStr">
        <is>
          <t>VÄRMLANDS LÄN</t>
        </is>
      </c>
      <c r="E8365" t="inlineStr">
        <is>
          <t>EDA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58276-2022</t>
        </is>
      </c>
      <c r="B8366" s="1" t="n">
        <v>44901</v>
      </c>
      <c r="C8366" s="1" t="n">
        <v>45736</v>
      </c>
      <c r="D8366" t="inlineStr">
        <is>
          <t>VÄRMLANDS LÄN</t>
        </is>
      </c>
      <c r="E8366" t="inlineStr">
        <is>
          <t>TORSBY</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58369-2022</t>
        </is>
      </c>
      <c r="B8367" s="1" t="n">
        <v>44901</v>
      </c>
      <c r="C8367" s="1" t="n">
        <v>45736</v>
      </c>
      <c r="D8367" t="inlineStr">
        <is>
          <t>VÄRMLANDS LÄN</t>
        </is>
      </c>
      <c r="E8367" t="inlineStr">
        <is>
          <t>KARLSTAD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58408-2022</t>
        </is>
      </c>
      <c r="B8368" s="1" t="n">
        <v>44901</v>
      </c>
      <c r="C8368" s="1" t="n">
        <v>45736</v>
      </c>
      <c r="D8368" t="inlineStr">
        <is>
          <t>VÄRMLANDS LÄN</t>
        </is>
      </c>
      <c r="E8368" t="inlineStr">
        <is>
          <t>ARVIKA</t>
        </is>
      </c>
      <c r="G8368" t="n">
        <v>16.4</v>
      </c>
      <c r="H8368" t="n">
        <v>0</v>
      </c>
      <c r="I8368" t="n">
        <v>0</v>
      </c>
      <c r="J8368" t="n">
        <v>0</v>
      </c>
      <c r="K8368" t="n">
        <v>0</v>
      </c>
      <c r="L8368" t="n">
        <v>0</v>
      </c>
      <c r="M8368" t="n">
        <v>0</v>
      </c>
      <c r="N8368" t="n">
        <v>0</v>
      </c>
      <c r="O8368" t="n">
        <v>0</v>
      </c>
      <c r="P8368" t="n">
        <v>0</v>
      </c>
      <c r="Q8368" t="n">
        <v>0</v>
      </c>
      <c r="R8368" s="2" t="inlineStr"/>
    </row>
    <row r="8369" ht="15" customHeight="1">
      <c r="A8369" t="inlineStr">
        <is>
          <t>A 58417-2022</t>
        </is>
      </c>
      <c r="B8369" s="1" t="n">
        <v>44901</v>
      </c>
      <c r="C8369" s="1" t="n">
        <v>45736</v>
      </c>
      <c r="D8369" t="inlineStr">
        <is>
          <t>VÄRMLANDS LÄN</t>
        </is>
      </c>
      <c r="E8369" t="inlineStr">
        <is>
          <t>HAGFORS</t>
        </is>
      </c>
      <c r="F8369" t="inlineStr">
        <is>
          <t>Bergvik skog väst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58235-2022</t>
        </is>
      </c>
      <c r="B8370" s="1" t="n">
        <v>44901</v>
      </c>
      <c r="C8370" s="1" t="n">
        <v>45736</v>
      </c>
      <c r="D8370" t="inlineStr">
        <is>
          <t>VÄRMLANDS LÄN</t>
        </is>
      </c>
      <c r="E8370" t="inlineStr">
        <is>
          <t>ARVIKA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58392-2022</t>
        </is>
      </c>
      <c r="B8371" s="1" t="n">
        <v>44901</v>
      </c>
      <c r="C8371" s="1" t="n">
        <v>45736</v>
      </c>
      <c r="D8371" t="inlineStr">
        <is>
          <t>VÄRMLANDS LÄN</t>
        </is>
      </c>
      <c r="E8371" t="inlineStr">
        <is>
          <t>EDA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58380-2022</t>
        </is>
      </c>
      <c r="B8372" s="1" t="n">
        <v>44901</v>
      </c>
      <c r="C8372" s="1" t="n">
        <v>45736</v>
      </c>
      <c r="D8372" t="inlineStr">
        <is>
          <t>VÄRMLANDS LÄN</t>
        </is>
      </c>
      <c r="E8372" t="inlineStr">
        <is>
          <t>FORSHAGA</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59976-2022</t>
        </is>
      </c>
      <c r="B8373" s="1" t="n">
        <v>44901</v>
      </c>
      <c r="C8373" s="1" t="n">
        <v>45736</v>
      </c>
      <c r="D8373" t="inlineStr">
        <is>
          <t>VÄRMLANDS LÄN</t>
        </is>
      </c>
      <c r="E8373" t="inlineStr">
        <is>
          <t>ÅRJÄNG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58514-2022</t>
        </is>
      </c>
      <c r="B8374" s="1" t="n">
        <v>44902</v>
      </c>
      <c r="C8374" s="1" t="n">
        <v>45736</v>
      </c>
      <c r="D8374" t="inlineStr">
        <is>
          <t>VÄRMLANDS LÄN</t>
        </is>
      </c>
      <c r="E8374" t="inlineStr">
        <is>
          <t>GRUMS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58459-2022</t>
        </is>
      </c>
      <c r="B8375" s="1" t="n">
        <v>44902</v>
      </c>
      <c r="C8375" s="1" t="n">
        <v>45736</v>
      </c>
      <c r="D8375" t="inlineStr">
        <is>
          <t>VÄRMLANDS LÄN</t>
        </is>
      </c>
      <c r="E8375" t="inlineStr">
        <is>
          <t>KARLSTAD</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58456-2022</t>
        </is>
      </c>
      <c r="B8376" s="1" t="n">
        <v>44902</v>
      </c>
      <c r="C8376" s="1" t="n">
        <v>45736</v>
      </c>
      <c r="D8376" t="inlineStr">
        <is>
          <t>VÄRMLANDS LÄN</t>
        </is>
      </c>
      <c r="E8376" t="inlineStr">
        <is>
          <t>KARLSTAD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60043-2022</t>
        </is>
      </c>
      <c r="B8377" s="1" t="n">
        <v>44902</v>
      </c>
      <c r="C8377" s="1" t="n">
        <v>45736</v>
      </c>
      <c r="D8377" t="inlineStr">
        <is>
          <t>VÄRMLANDS LÄN</t>
        </is>
      </c>
      <c r="E8377" t="inlineStr">
        <is>
          <t>FORSHAGA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60045-2022</t>
        </is>
      </c>
      <c r="B8378" s="1" t="n">
        <v>44902</v>
      </c>
      <c r="C8378" s="1" t="n">
        <v>45736</v>
      </c>
      <c r="D8378" t="inlineStr">
        <is>
          <t>VÄRMLANDS LÄN</t>
        </is>
      </c>
      <c r="E8378" t="inlineStr">
        <is>
          <t>FORSHAGA</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60044-2022</t>
        </is>
      </c>
      <c r="B8379" s="1" t="n">
        <v>44902</v>
      </c>
      <c r="C8379" s="1" t="n">
        <v>45736</v>
      </c>
      <c r="D8379" t="inlineStr">
        <is>
          <t>VÄRMLANDS LÄN</t>
        </is>
      </c>
      <c r="E8379" t="inlineStr">
        <is>
          <t>FORSHAGA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58635-2022</t>
        </is>
      </c>
      <c r="B8380" s="1" t="n">
        <v>44902</v>
      </c>
      <c r="C8380" s="1" t="n">
        <v>45736</v>
      </c>
      <c r="D8380" t="inlineStr">
        <is>
          <t>VÄRMLANDS LÄN</t>
        </is>
      </c>
      <c r="E8380" t="inlineStr">
        <is>
          <t>ARVIKA</t>
        </is>
      </c>
      <c r="F8380" t="inlineStr">
        <is>
          <t>Bergvik skog väst AB</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58693-2022</t>
        </is>
      </c>
      <c r="B8381" s="1" t="n">
        <v>44902</v>
      </c>
      <c r="C8381" s="1" t="n">
        <v>45736</v>
      </c>
      <c r="D8381" t="inlineStr">
        <is>
          <t>VÄRMLANDS LÄN</t>
        </is>
      </c>
      <c r="E8381" t="inlineStr">
        <is>
          <t>KRISTINEHAMN</t>
        </is>
      </c>
      <c r="F8381" t="inlineStr">
        <is>
          <t>Kyrkan</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58623-2022</t>
        </is>
      </c>
      <c r="B8382" s="1" t="n">
        <v>44902</v>
      </c>
      <c r="C8382" s="1" t="n">
        <v>45736</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58809-2022</t>
        </is>
      </c>
      <c r="B8383" s="1" t="n">
        <v>44903</v>
      </c>
      <c r="C8383" s="1" t="n">
        <v>45736</v>
      </c>
      <c r="D8383" t="inlineStr">
        <is>
          <t>VÄRMLANDS LÄN</t>
        </is>
      </c>
      <c r="E8383" t="inlineStr">
        <is>
          <t>SUNNE</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58956-2022</t>
        </is>
      </c>
      <c r="B8384" s="1" t="n">
        <v>44903</v>
      </c>
      <c r="C8384" s="1" t="n">
        <v>45736</v>
      </c>
      <c r="D8384" t="inlineStr">
        <is>
          <t>VÄRMLANDS LÄN</t>
        </is>
      </c>
      <c r="E8384" t="inlineStr">
        <is>
          <t>TORSBY</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58808-2022</t>
        </is>
      </c>
      <c r="B8385" s="1" t="n">
        <v>44903</v>
      </c>
      <c r="C8385" s="1" t="n">
        <v>45736</v>
      </c>
      <c r="D8385" t="inlineStr">
        <is>
          <t>VÄRMLANDS LÄN</t>
        </is>
      </c>
      <c r="E8385" t="inlineStr">
        <is>
          <t>HAGFORS</t>
        </is>
      </c>
      <c r="F8385" t="inlineStr">
        <is>
          <t>Bergvik skog väst AB</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58812-2022</t>
        </is>
      </c>
      <c r="B8386" s="1" t="n">
        <v>44903</v>
      </c>
      <c r="C8386" s="1" t="n">
        <v>45736</v>
      </c>
      <c r="D8386" t="inlineStr">
        <is>
          <t>VÄRMLANDS LÄN</t>
        </is>
      </c>
      <c r="E8386" t="inlineStr">
        <is>
          <t>SUNNE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58855-2022</t>
        </is>
      </c>
      <c r="B8387" s="1" t="n">
        <v>44903</v>
      </c>
      <c r="C8387" s="1" t="n">
        <v>45736</v>
      </c>
      <c r="D8387" t="inlineStr">
        <is>
          <t>VÄRMLANDS LÄN</t>
        </is>
      </c>
      <c r="E8387" t="inlineStr">
        <is>
          <t>FILIPSTAD</t>
        </is>
      </c>
      <c r="F8387" t="inlineStr">
        <is>
          <t>Bergvik skog väst AB</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58869-2022</t>
        </is>
      </c>
      <c r="B8388" s="1" t="n">
        <v>44903</v>
      </c>
      <c r="C8388" s="1" t="n">
        <v>45736</v>
      </c>
      <c r="D8388" t="inlineStr">
        <is>
          <t>VÄRMLANDS LÄN</t>
        </is>
      </c>
      <c r="E8388" t="inlineStr">
        <is>
          <t>TORSBY</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58951-2022</t>
        </is>
      </c>
      <c r="B8389" s="1" t="n">
        <v>44903</v>
      </c>
      <c r="C8389" s="1" t="n">
        <v>45736</v>
      </c>
      <c r="D8389" t="inlineStr">
        <is>
          <t>VÄRMLANDS LÄN</t>
        </is>
      </c>
      <c r="E8389" t="inlineStr">
        <is>
          <t>TORSBY</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58799-2022</t>
        </is>
      </c>
      <c r="B8390" s="1" t="n">
        <v>44903</v>
      </c>
      <c r="C8390" s="1" t="n">
        <v>45736</v>
      </c>
      <c r="D8390" t="inlineStr">
        <is>
          <t>VÄRMLANDS LÄN</t>
        </is>
      </c>
      <c r="E8390" t="inlineStr">
        <is>
          <t>HAGFORS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59014-2022</t>
        </is>
      </c>
      <c r="B8391" s="1" t="n">
        <v>44903</v>
      </c>
      <c r="C8391" s="1" t="n">
        <v>45736</v>
      </c>
      <c r="D8391" t="inlineStr">
        <is>
          <t>VÄRMLANDS LÄN</t>
        </is>
      </c>
      <c r="E8391" t="inlineStr">
        <is>
          <t>ARVIKA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60217-2022</t>
        </is>
      </c>
      <c r="B8392" s="1" t="n">
        <v>44903</v>
      </c>
      <c r="C8392" s="1" t="n">
        <v>45736</v>
      </c>
      <c r="D8392" t="inlineStr">
        <is>
          <t>VÄRMLANDS LÄN</t>
        </is>
      </c>
      <c r="E8392" t="inlineStr">
        <is>
          <t>SUNNE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59048-2022</t>
        </is>
      </c>
      <c r="B8393" s="1" t="n">
        <v>44903</v>
      </c>
      <c r="C8393" s="1" t="n">
        <v>45736</v>
      </c>
      <c r="D8393" t="inlineStr">
        <is>
          <t>VÄRMLANDS LÄN</t>
        </is>
      </c>
      <c r="E8393" t="inlineStr">
        <is>
          <t>HAGFORS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59279-2022</t>
        </is>
      </c>
      <c r="B8394" s="1" t="n">
        <v>44904</v>
      </c>
      <c r="C8394" s="1" t="n">
        <v>45736</v>
      </c>
      <c r="D8394" t="inlineStr">
        <is>
          <t>VÄRMLANDS LÄN</t>
        </is>
      </c>
      <c r="E8394" t="inlineStr">
        <is>
          <t>EDA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59305-2022</t>
        </is>
      </c>
      <c r="B8395" s="1" t="n">
        <v>44904</v>
      </c>
      <c r="C8395" s="1" t="n">
        <v>45736</v>
      </c>
      <c r="D8395" t="inlineStr">
        <is>
          <t>VÄRMLANDS LÄN</t>
        </is>
      </c>
      <c r="E8395" t="inlineStr">
        <is>
          <t>KARLSTAD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59319-2022</t>
        </is>
      </c>
      <c r="B8396" s="1" t="n">
        <v>44904</v>
      </c>
      <c r="C8396" s="1" t="n">
        <v>45736</v>
      </c>
      <c r="D8396" t="inlineStr">
        <is>
          <t>VÄRMLANDS LÄN</t>
        </is>
      </c>
      <c r="E8396" t="inlineStr">
        <is>
          <t>KARLSTAD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59091-2022</t>
        </is>
      </c>
      <c r="B8397" s="1" t="n">
        <v>44904</v>
      </c>
      <c r="C8397" s="1" t="n">
        <v>45736</v>
      </c>
      <c r="D8397" t="inlineStr">
        <is>
          <t>VÄRMLANDS LÄN</t>
        </is>
      </c>
      <c r="E8397" t="inlineStr">
        <is>
          <t>HAGFORS</t>
        </is>
      </c>
      <c r="F8397" t="inlineStr">
        <is>
          <t>Bergvik skog väst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59097-2022</t>
        </is>
      </c>
      <c r="B8398" s="1" t="n">
        <v>44904</v>
      </c>
      <c r="C8398" s="1" t="n">
        <v>45736</v>
      </c>
      <c r="D8398" t="inlineStr">
        <is>
          <t>VÄRMLANDS LÄN</t>
        </is>
      </c>
      <c r="E8398" t="inlineStr">
        <is>
          <t>TORSBY</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59092-2022</t>
        </is>
      </c>
      <c r="B8399" s="1" t="n">
        <v>44904</v>
      </c>
      <c r="C8399" s="1" t="n">
        <v>45736</v>
      </c>
      <c r="D8399" t="inlineStr">
        <is>
          <t>VÄRMLANDS LÄN</t>
        </is>
      </c>
      <c r="E8399" t="inlineStr">
        <is>
          <t>HAGFORS</t>
        </is>
      </c>
      <c r="F8399" t="inlineStr">
        <is>
          <t>Bergvik skog väst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59105-2022</t>
        </is>
      </c>
      <c r="B8400" s="1" t="n">
        <v>44904</v>
      </c>
      <c r="C8400" s="1" t="n">
        <v>45736</v>
      </c>
      <c r="D8400" t="inlineStr">
        <is>
          <t>VÄRMLANDS LÄN</t>
        </is>
      </c>
      <c r="E8400" t="inlineStr">
        <is>
          <t>ARVIKA</t>
        </is>
      </c>
      <c r="F8400" t="inlineStr">
        <is>
          <t>Kommuner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59299-2022</t>
        </is>
      </c>
      <c r="B8401" s="1" t="n">
        <v>44904</v>
      </c>
      <c r="C8401" s="1" t="n">
        <v>45736</v>
      </c>
      <c r="D8401" t="inlineStr">
        <is>
          <t>VÄRMLANDS LÄN</t>
        </is>
      </c>
      <c r="E8401" t="inlineStr">
        <is>
          <t>KARLSTAD</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59196-2022</t>
        </is>
      </c>
      <c r="B8402" s="1" t="n">
        <v>44904</v>
      </c>
      <c r="C8402" s="1" t="n">
        <v>45736</v>
      </c>
      <c r="D8402" t="inlineStr">
        <is>
          <t>VÄRMLANDS LÄN</t>
        </is>
      </c>
      <c r="E8402" t="inlineStr">
        <is>
          <t>FILIPSTAD</t>
        </is>
      </c>
      <c r="F8402" t="inlineStr">
        <is>
          <t>Bergvik skog väst AB</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59274-2022</t>
        </is>
      </c>
      <c r="B8403" s="1" t="n">
        <v>44904</v>
      </c>
      <c r="C8403" s="1" t="n">
        <v>45736</v>
      </c>
      <c r="D8403" t="inlineStr">
        <is>
          <t>VÄRMLANDS LÄN</t>
        </is>
      </c>
      <c r="E8403" t="inlineStr">
        <is>
          <t>HAGFORS</t>
        </is>
      </c>
      <c r="F8403" t="inlineStr">
        <is>
          <t>Bergvik skog väst AB</t>
        </is>
      </c>
      <c r="G8403" t="n">
        <v>22.3</v>
      </c>
      <c r="H8403" t="n">
        <v>0</v>
      </c>
      <c r="I8403" t="n">
        <v>0</v>
      </c>
      <c r="J8403" t="n">
        <v>0</v>
      </c>
      <c r="K8403" t="n">
        <v>0</v>
      </c>
      <c r="L8403" t="n">
        <v>0</v>
      </c>
      <c r="M8403" t="n">
        <v>0</v>
      </c>
      <c r="N8403" t="n">
        <v>0</v>
      </c>
      <c r="O8403" t="n">
        <v>0</v>
      </c>
      <c r="P8403" t="n">
        <v>0</v>
      </c>
      <c r="Q8403" t="n">
        <v>0</v>
      </c>
      <c r="R8403" s="2" t="inlineStr"/>
    </row>
    <row r="8404" ht="15" customHeight="1">
      <c r="A8404" t="inlineStr">
        <is>
          <t>A 59295-2022</t>
        </is>
      </c>
      <c r="B8404" s="1" t="n">
        <v>44904</v>
      </c>
      <c r="C8404" s="1" t="n">
        <v>45736</v>
      </c>
      <c r="D8404" t="inlineStr">
        <is>
          <t>VÄRMLANDS LÄN</t>
        </is>
      </c>
      <c r="E8404" t="inlineStr">
        <is>
          <t>KARLSTAD</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59301-2022</t>
        </is>
      </c>
      <c r="B8405" s="1" t="n">
        <v>44904</v>
      </c>
      <c r="C8405" s="1" t="n">
        <v>45736</v>
      </c>
      <c r="D8405" t="inlineStr">
        <is>
          <t>VÄRMLANDS LÄN</t>
        </is>
      </c>
      <c r="E8405" t="inlineStr">
        <is>
          <t>KARLSTAD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59340-2022</t>
        </is>
      </c>
      <c r="B8406" s="1" t="n">
        <v>44904</v>
      </c>
      <c r="C8406" s="1" t="n">
        <v>45736</v>
      </c>
      <c r="D8406" t="inlineStr">
        <is>
          <t>VÄRMLANDS LÄN</t>
        </is>
      </c>
      <c r="E8406" t="inlineStr">
        <is>
          <t>HAGFORS</t>
        </is>
      </c>
      <c r="F8406" t="inlineStr">
        <is>
          <t>Bergvik skog väst AB</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59096-2022</t>
        </is>
      </c>
      <c r="B8407" s="1" t="n">
        <v>44904</v>
      </c>
      <c r="C8407" s="1" t="n">
        <v>45736</v>
      </c>
      <c r="D8407" t="inlineStr">
        <is>
          <t>VÄRMLANDS LÄN</t>
        </is>
      </c>
      <c r="E8407" t="inlineStr">
        <is>
          <t>TORSBY</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59103-2022</t>
        </is>
      </c>
      <c r="B8408" s="1" t="n">
        <v>44904</v>
      </c>
      <c r="C8408" s="1" t="n">
        <v>45736</v>
      </c>
      <c r="D8408" t="inlineStr">
        <is>
          <t>VÄRMLANDS LÄN</t>
        </is>
      </c>
      <c r="E8408" t="inlineStr">
        <is>
          <t>ARVIKA</t>
        </is>
      </c>
      <c r="F8408" t="inlineStr">
        <is>
          <t>Kommuner</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59270-2022</t>
        </is>
      </c>
      <c r="B8409" s="1" t="n">
        <v>44904</v>
      </c>
      <c r="C8409" s="1" t="n">
        <v>45736</v>
      </c>
      <c r="D8409" t="inlineStr">
        <is>
          <t>VÄRMLANDS LÄN</t>
        </is>
      </c>
      <c r="E8409" t="inlineStr">
        <is>
          <t>EDA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59342-2022</t>
        </is>
      </c>
      <c r="B8410" s="1" t="n">
        <v>44904</v>
      </c>
      <c r="C8410" s="1" t="n">
        <v>45736</v>
      </c>
      <c r="D8410" t="inlineStr">
        <is>
          <t>VÄRMLANDS LÄN</t>
        </is>
      </c>
      <c r="E8410" t="inlineStr">
        <is>
          <t>FILIPSTAD</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59347-2022</t>
        </is>
      </c>
      <c r="B8411" s="1" t="n">
        <v>44904</v>
      </c>
      <c r="C8411" s="1" t="n">
        <v>45736</v>
      </c>
      <c r="D8411" t="inlineStr">
        <is>
          <t>VÄRMLANDS LÄN</t>
        </is>
      </c>
      <c r="E8411" t="inlineStr">
        <is>
          <t>FILIPSTAD</t>
        </is>
      </c>
      <c r="F8411" t="inlineStr">
        <is>
          <t>Bergvik skog väst AB</t>
        </is>
      </c>
      <c r="G8411" t="n">
        <v>11.1</v>
      </c>
      <c r="H8411" t="n">
        <v>0</v>
      </c>
      <c r="I8411" t="n">
        <v>0</v>
      </c>
      <c r="J8411" t="n">
        <v>0</v>
      </c>
      <c r="K8411" t="n">
        <v>0</v>
      </c>
      <c r="L8411" t="n">
        <v>0</v>
      </c>
      <c r="M8411" t="n">
        <v>0</v>
      </c>
      <c r="N8411" t="n">
        <v>0</v>
      </c>
      <c r="O8411" t="n">
        <v>0</v>
      </c>
      <c r="P8411" t="n">
        <v>0</v>
      </c>
      <c r="Q8411" t="n">
        <v>0</v>
      </c>
      <c r="R8411" s="2" t="inlineStr"/>
    </row>
    <row r="8412" ht="15" customHeight="1">
      <c r="A8412" t="inlineStr">
        <is>
          <t>A 59341-2022</t>
        </is>
      </c>
      <c r="B8412" s="1" t="n">
        <v>44904</v>
      </c>
      <c r="C8412" s="1" t="n">
        <v>45736</v>
      </c>
      <c r="D8412" t="inlineStr">
        <is>
          <t>VÄRMLANDS LÄN</t>
        </is>
      </c>
      <c r="E8412" t="inlineStr">
        <is>
          <t>ARVIKA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59352-2022</t>
        </is>
      </c>
      <c r="B8413" s="1" t="n">
        <v>44904</v>
      </c>
      <c r="C8413" s="1" t="n">
        <v>45736</v>
      </c>
      <c r="D8413" t="inlineStr">
        <is>
          <t>VÄRMLANDS LÄN</t>
        </is>
      </c>
      <c r="E8413" t="inlineStr">
        <is>
          <t>ÅRJÄNG</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60433-2022</t>
        </is>
      </c>
      <c r="B8414" s="1" t="n">
        <v>44904</v>
      </c>
      <c r="C8414" s="1" t="n">
        <v>45736</v>
      </c>
      <c r="D8414" t="inlineStr">
        <is>
          <t>VÄRMLANDS LÄN</t>
        </is>
      </c>
      <c r="E8414" t="inlineStr">
        <is>
          <t>ÅRJÄNG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59343-2022</t>
        </is>
      </c>
      <c r="B8415" s="1" t="n">
        <v>44904</v>
      </c>
      <c r="C8415" s="1" t="n">
        <v>45736</v>
      </c>
      <c r="D8415" t="inlineStr">
        <is>
          <t>VÄRMLANDS LÄN</t>
        </is>
      </c>
      <c r="E8415" t="inlineStr">
        <is>
          <t>FILIPSTAD</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60377-2022</t>
        </is>
      </c>
      <c r="B8416" s="1" t="n">
        <v>44904</v>
      </c>
      <c r="C8416" s="1" t="n">
        <v>45736</v>
      </c>
      <c r="D8416" t="inlineStr">
        <is>
          <t>VÄRMLANDS LÄN</t>
        </is>
      </c>
      <c r="E8416" t="inlineStr">
        <is>
          <t>ÅRJÄNG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60595-2022</t>
        </is>
      </c>
      <c r="B8417" s="1" t="n">
        <v>44906</v>
      </c>
      <c r="C8417" s="1" t="n">
        <v>45736</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60626-2022</t>
        </is>
      </c>
      <c r="B8418" s="1" t="n">
        <v>44906</v>
      </c>
      <c r="C8418" s="1" t="n">
        <v>45736</v>
      </c>
      <c r="D8418" t="inlineStr">
        <is>
          <t>VÄRMLANDS LÄN</t>
        </is>
      </c>
      <c r="E8418" t="inlineStr">
        <is>
          <t>ARVIKA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60607-2022</t>
        </is>
      </c>
      <c r="B8419" s="1" t="n">
        <v>44906</v>
      </c>
      <c r="C8419" s="1" t="n">
        <v>45736</v>
      </c>
      <c r="D8419" t="inlineStr">
        <is>
          <t>VÄRMLANDS LÄN</t>
        </is>
      </c>
      <c r="E8419" t="inlineStr">
        <is>
          <t>ARVIKA</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60627-2022</t>
        </is>
      </c>
      <c r="B8420" s="1" t="n">
        <v>44906</v>
      </c>
      <c r="C8420" s="1" t="n">
        <v>45736</v>
      </c>
      <c r="D8420" t="inlineStr">
        <is>
          <t>VÄRMLANDS LÄN</t>
        </is>
      </c>
      <c r="E8420" t="inlineStr">
        <is>
          <t>ARVIKA</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60593-2022</t>
        </is>
      </c>
      <c r="B8421" s="1" t="n">
        <v>44906</v>
      </c>
      <c r="C8421" s="1" t="n">
        <v>45736</v>
      </c>
      <c r="D8421" t="inlineStr">
        <is>
          <t>VÄRMLANDS LÄN</t>
        </is>
      </c>
      <c r="E8421" t="inlineStr">
        <is>
          <t>ARVIKA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60622-2022</t>
        </is>
      </c>
      <c r="B8422" s="1" t="n">
        <v>44906</v>
      </c>
      <c r="C8422" s="1" t="n">
        <v>45736</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59445-2022</t>
        </is>
      </c>
      <c r="B8423" s="1" t="n">
        <v>44907</v>
      </c>
      <c r="C8423" s="1" t="n">
        <v>45736</v>
      </c>
      <c r="D8423" t="inlineStr">
        <is>
          <t>VÄRMLANDS LÄN</t>
        </is>
      </c>
      <c r="E8423" t="inlineStr">
        <is>
          <t>STORFORS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59449-2022</t>
        </is>
      </c>
      <c r="B8424" s="1" t="n">
        <v>44907</v>
      </c>
      <c r="C8424" s="1" t="n">
        <v>45736</v>
      </c>
      <c r="D8424" t="inlineStr">
        <is>
          <t>VÄRMLANDS LÄN</t>
        </is>
      </c>
      <c r="E8424" t="inlineStr">
        <is>
          <t>STORFORS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59503-2022</t>
        </is>
      </c>
      <c r="B8425" s="1" t="n">
        <v>44907</v>
      </c>
      <c r="C8425" s="1" t="n">
        <v>45736</v>
      </c>
      <c r="D8425" t="inlineStr">
        <is>
          <t>VÄRMLANDS LÄN</t>
        </is>
      </c>
      <c r="E8425" t="inlineStr">
        <is>
          <t>KIL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59417-2022</t>
        </is>
      </c>
      <c r="B8426" s="1" t="n">
        <v>44907</v>
      </c>
      <c r="C8426" s="1" t="n">
        <v>45736</v>
      </c>
      <c r="D8426" t="inlineStr">
        <is>
          <t>VÄRMLANDS LÄN</t>
        </is>
      </c>
      <c r="E8426" t="inlineStr">
        <is>
          <t>HAGFORS</t>
        </is>
      </c>
      <c r="F8426" t="inlineStr">
        <is>
          <t>Bergvik skog väst AB</t>
        </is>
      </c>
      <c r="G8426" t="n">
        <v>13.1</v>
      </c>
      <c r="H8426" t="n">
        <v>0</v>
      </c>
      <c r="I8426" t="n">
        <v>0</v>
      </c>
      <c r="J8426" t="n">
        <v>0</v>
      </c>
      <c r="K8426" t="n">
        <v>0</v>
      </c>
      <c r="L8426" t="n">
        <v>0</v>
      </c>
      <c r="M8426" t="n">
        <v>0</v>
      </c>
      <c r="N8426" t="n">
        <v>0</v>
      </c>
      <c r="O8426" t="n">
        <v>0</v>
      </c>
      <c r="P8426" t="n">
        <v>0</v>
      </c>
      <c r="Q8426" t="n">
        <v>0</v>
      </c>
      <c r="R8426" s="2" t="inlineStr"/>
    </row>
    <row r="8427" ht="15" customHeight="1">
      <c r="A8427" t="inlineStr">
        <is>
          <t>A 59423-2022</t>
        </is>
      </c>
      <c r="B8427" s="1" t="n">
        <v>44907</v>
      </c>
      <c r="C8427" s="1" t="n">
        <v>45736</v>
      </c>
      <c r="D8427" t="inlineStr">
        <is>
          <t>VÄRMLANDS LÄN</t>
        </is>
      </c>
      <c r="E8427" t="inlineStr">
        <is>
          <t>FORSHAGA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59537-2022</t>
        </is>
      </c>
      <c r="B8428" s="1" t="n">
        <v>44907</v>
      </c>
      <c r="C8428" s="1" t="n">
        <v>45736</v>
      </c>
      <c r="D8428" t="inlineStr">
        <is>
          <t>VÄRMLANDS LÄN</t>
        </is>
      </c>
      <c r="E8428" t="inlineStr">
        <is>
          <t>FORSHAGA</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59621-2022</t>
        </is>
      </c>
      <c r="B8429" s="1" t="n">
        <v>44907</v>
      </c>
      <c r="C8429" s="1" t="n">
        <v>45736</v>
      </c>
      <c r="D8429" t="inlineStr">
        <is>
          <t>VÄRMLANDS LÄN</t>
        </is>
      </c>
      <c r="E8429" t="inlineStr">
        <is>
          <t>ÅRJÄNG</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59612-2022</t>
        </is>
      </c>
      <c r="B8430" s="1" t="n">
        <v>44907</v>
      </c>
      <c r="C8430" s="1" t="n">
        <v>45736</v>
      </c>
      <c r="D8430" t="inlineStr">
        <is>
          <t>VÄRMLANDS LÄN</t>
        </is>
      </c>
      <c r="E8430" t="inlineStr">
        <is>
          <t>ÅRJÄNG</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59624-2022</t>
        </is>
      </c>
      <c r="B8431" s="1" t="n">
        <v>44907</v>
      </c>
      <c r="C8431" s="1" t="n">
        <v>45736</v>
      </c>
      <c r="D8431" t="inlineStr">
        <is>
          <t>VÄRMLANDS LÄN</t>
        </is>
      </c>
      <c r="E8431" t="inlineStr">
        <is>
          <t>ÅRJÄNG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59617-2022</t>
        </is>
      </c>
      <c r="B8432" s="1" t="n">
        <v>44907</v>
      </c>
      <c r="C8432" s="1" t="n">
        <v>45736</v>
      </c>
      <c r="D8432" t="inlineStr">
        <is>
          <t>VÄRMLANDS LÄN</t>
        </is>
      </c>
      <c r="E8432" t="inlineStr">
        <is>
          <t>ÅRJÄNG</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59542-2022</t>
        </is>
      </c>
      <c r="B8433" s="1" t="n">
        <v>44907</v>
      </c>
      <c r="C8433" s="1" t="n">
        <v>45736</v>
      </c>
      <c r="D8433" t="inlineStr">
        <is>
          <t>VÄRMLANDS LÄN</t>
        </is>
      </c>
      <c r="E8433" t="inlineStr">
        <is>
          <t>GRUMS</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59622-2022</t>
        </is>
      </c>
      <c r="B8434" s="1" t="n">
        <v>44907</v>
      </c>
      <c r="C8434" s="1" t="n">
        <v>45736</v>
      </c>
      <c r="D8434" t="inlineStr">
        <is>
          <t>VÄRMLANDS LÄN</t>
        </is>
      </c>
      <c r="E8434" t="inlineStr">
        <is>
          <t>ÅRJÄNG</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59674-2022</t>
        </is>
      </c>
      <c r="B8435" s="1" t="n">
        <v>44908</v>
      </c>
      <c r="C8435" s="1" t="n">
        <v>45736</v>
      </c>
      <c r="D8435" t="inlineStr">
        <is>
          <t>VÄRMLANDS LÄN</t>
        </is>
      </c>
      <c r="E8435" t="inlineStr">
        <is>
          <t>KARLSTAD</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59659-2022</t>
        </is>
      </c>
      <c r="B8436" s="1" t="n">
        <v>44908</v>
      </c>
      <c r="C8436" s="1" t="n">
        <v>45736</v>
      </c>
      <c r="D8436" t="inlineStr">
        <is>
          <t>VÄRMLANDS LÄN</t>
        </is>
      </c>
      <c r="E8436" t="inlineStr">
        <is>
          <t>EDA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59694-2022</t>
        </is>
      </c>
      <c r="B8437" s="1" t="n">
        <v>44908</v>
      </c>
      <c r="C8437" s="1" t="n">
        <v>45736</v>
      </c>
      <c r="D8437" t="inlineStr">
        <is>
          <t>VÄRMLANDS LÄN</t>
        </is>
      </c>
      <c r="E8437" t="inlineStr">
        <is>
          <t>SUNNE</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59785-2022</t>
        </is>
      </c>
      <c r="B8438" s="1" t="n">
        <v>44908</v>
      </c>
      <c r="C8438" s="1" t="n">
        <v>45736</v>
      </c>
      <c r="D8438" t="inlineStr">
        <is>
          <t>VÄRMLANDS LÄN</t>
        </is>
      </c>
      <c r="E8438" t="inlineStr">
        <is>
          <t>ÅRJÄNG</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59795-2022</t>
        </is>
      </c>
      <c r="B8439" s="1" t="n">
        <v>44908</v>
      </c>
      <c r="C8439" s="1" t="n">
        <v>45736</v>
      </c>
      <c r="D8439" t="inlineStr">
        <is>
          <t>VÄRMLANDS LÄN</t>
        </is>
      </c>
      <c r="E8439" t="inlineStr">
        <is>
          <t>GRUMS</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59685-2022</t>
        </is>
      </c>
      <c r="B8440" s="1" t="n">
        <v>44908</v>
      </c>
      <c r="C8440" s="1" t="n">
        <v>45736</v>
      </c>
      <c r="D8440" t="inlineStr">
        <is>
          <t>VÄRMLANDS LÄN</t>
        </is>
      </c>
      <c r="E8440" t="inlineStr">
        <is>
          <t>SUNNE</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59810-2022</t>
        </is>
      </c>
      <c r="B8441" s="1" t="n">
        <v>44908</v>
      </c>
      <c r="C8441" s="1" t="n">
        <v>45736</v>
      </c>
      <c r="D8441" t="inlineStr">
        <is>
          <t>VÄRMLANDS LÄN</t>
        </is>
      </c>
      <c r="E8441" t="inlineStr">
        <is>
          <t>FORSHAGA</t>
        </is>
      </c>
      <c r="F8441" t="inlineStr">
        <is>
          <t>Bergvik skog väst AB</t>
        </is>
      </c>
      <c r="G8441" t="n">
        <v>17.4</v>
      </c>
      <c r="H8441" t="n">
        <v>0</v>
      </c>
      <c r="I8441" t="n">
        <v>0</v>
      </c>
      <c r="J8441" t="n">
        <v>0</v>
      </c>
      <c r="K8441" t="n">
        <v>0</v>
      </c>
      <c r="L8441" t="n">
        <v>0</v>
      </c>
      <c r="M8441" t="n">
        <v>0</v>
      </c>
      <c r="N8441" t="n">
        <v>0</v>
      </c>
      <c r="O8441" t="n">
        <v>0</v>
      </c>
      <c r="P8441" t="n">
        <v>0</v>
      </c>
      <c r="Q8441" t="n">
        <v>0</v>
      </c>
      <c r="R8441" s="2" t="inlineStr"/>
    </row>
    <row r="8442" ht="15" customHeight="1">
      <c r="A8442" t="inlineStr">
        <is>
          <t>A 59837-2022</t>
        </is>
      </c>
      <c r="B8442" s="1" t="n">
        <v>44908</v>
      </c>
      <c r="C8442" s="1" t="n">
        <v>45736</v>
      </c>
      <c r="D8442" t="inlineStr">
        <is>
          <t>VÄRMLANDS LÄN</t>
        </is>
      </c>
      <c r="E8442" t="inlineStr">
        <is>
          <t>ARVIKA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59878-2022</t>
        </is>
      </c>
      <c r="B8443" s="1" t="n">
        <v>44908</v>
      </c>
      <c r="C8443" s="1" t="n">
        <v>45736</v>
      </c>
      <c r="D8443" t="inlineStr">
        <is>
          <t>VÄRMLANDS LÄN</t>
        </is>
      </c>
      <c r="E8443" t="inlineStr">
        <is>
          <t>HAGFORS</t>
        </is>
      </c>
      <c r="F8443" t="inlineStr">
        <is>
          <t>Bergvik skog väst AB</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59841-2022</t>
        </is>
      </c>
      <c r="B8444" s="1" t="n">
        <v>44908</v>
      </c>
      <c r="C8444" s="1" t="n">
        <v>45736</v>
      </c>
      <c r="D8444" t="inlineStr">
        <is>
          <t>VÄRMLANDS LÄN</t>
        </is>
      </c>
      <c r="E8444" t="inlineStr">
        <is>
          <t>ÅRJÄNG</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59857-2022</t>
        </is>
      </c>
      <c r="B8445" s="1" t="n">
        <v>44908</v>
      </c>
      <c r="C8445" s="1" t="n">
        <v>45736</v>
      </c>
      <c r="D8445" t="inlineStr">
        <is>
          <t>VÄRMLANDS LÄN</t>
        </is>
      </c>
      <c r="E8445" t="inlineStr">
        <is>
          <t>KARLSTAD</t>
        </is>
      </c>
      <c r="G8445" t="n">
        <v>11.5</v>
      </c>
      <c r="H8445" t="n">
        <v>0</v>
      </c>
      <c r="I8445" t="n">
        <v>0</v>
      </c>
      <c r="J8445" t="n">
        <v>0</v>
      </c>
      <c r="K8445" t="n">
        <v>0</v>
      </c>
      <c r="L8445" t="n">
        <v>0</v>
      </c>
      <c r="M8445" t="n">
        <v>0</v>
      </c>
      <c r="N8445" t="n">
        <v>0</v>
      </c>
      <c r="O8445" t="n">
        <v>0</v>
      </c>
      <c r="P8445" t="n">
        <v>0</v>
      </c>
      <c r="Q8445" t="n">
        <v>0</v>
      </c>
      <c r="R8445" s="2" t="inlineStr"/>
    </row>
    <row r="8446" ht="15" customHeight="1">
      <c r="A8446" t="inlineStr">
        <is>
          <t>A 59778-2022</t>
        </is>
      </c>
      <c r="B8446" s="1" t="n">
        <v>44908</v>
      </c>
      <c r="C8446" s="1" t="n">
        <v>45736</v>
      </c>
      <c r="D8446" t="inlineStr">
        <is>
          <t>VÄRMLANDS LÄN</t>
        </is>
      </c>
      <c r="E8446" t="inlineStr">
        <is>
          <t>TORSBY</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60050-2022</t>
        </is>
      </c>
      <c r="B8447" s="1" t="n">
        <v>44909</v>
      </c>
      <c r="C8447" s="1" t="n">
        <v>45736</v>
      </c>
      <c r="D8447" t="inlineStr">
        <is>
          <t>VÄRMLANDS LÄN</t>
        </is>
      </c>
      <c r="E8447" t="inlineStr">
        <is>
          <t>HAGFORS</t>
        </is>
      </c>
      <c r="F8447" t="inlineStr">
        <is>
          <t>Bergvik skog väst AB</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60145-2022</t>
        </is>
      </c>
      <c r="B8448" s="1" t="n">
        <v>44909</v>
      </c>
      <c r="C8448" s="1" t="n">
        <v>45736</v>
      </c>
      <c r="D8448" t="inlineStr">
        <is>
          <t>VÄRMLANDS LÄN</t>
        </is>
      </c>
      <c r="E8448" t="inlineStr">
        <is>
          <t>SUNNE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60075-2022</t>
        </is>
      </c>
      <c r="B8449" s="1" t="n">
        <v>44909</v>
      </c>
      <c r="C8449" s="1" t="n">
        <v>45736</v>
      </c>
      <c r="D8449" t="inlineStr">
        <is>
          <t>VÄRMLANDS LÄN</t>
        </is>
      </c>
      <c r="E8449" t="inlineStr">
        <is>
          <t>SUNNE</t>
        </is>
      </c>
      <c r="F8449" t="inlineStr">
        <is>
          <t>Bergvik skog väst AB</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60108-2022</t>
        </is>
      </c>
      <c r="B8450" s="1" t="n">
        <v>44909</v>
      </c>
      <c r="C8450" s="1" t="n">
        <v>45736</v>
      </c>
      <c r="D8450" t="inlineStr">
        <is>
          <t>VÄRMLANDS LÄN</t>
        </is>
      </c>
      <c r="E8450" t="inlineStr">
        <is>
          <t>FILIPSTAD</t>
        </is>
      </c>
      <c r="G8450" t="n">
        <v>11.4</v>
      </c>
      <c r="H8450" t="n">
        <v>0</v>
      </c>
      <c r="I8450" t="n">
        <v>0</v>
      </c>
      <c r="J8450" t="n">
        <v>0</v>
      </c>
      <c r="K8450" t="n">
        <v>0</v>
      </c>
      <c r="L8450" t="n">
        <v>0</v>
      </c>
      <c r="M8450" t="n">
        <v>0</v>
      </c>
      <c r="N8450" t="n">
        <v>0</v>
      </c>
      <c r="O8450" t="n">
        <v>0</v>
      </c>
      <c r="P8450" t="n">
        <v>0</v>
      </c>
      <c r="Q8450" t="n">
        <v>0</v>
      </c>
      <c r="R8450" s="2" t="inlineStr"/>
    </row>
    <row r="8451" ht="15" customHeight="1">
      <c r="A8451" t="inlineStr">
        <is>
          <t>A 60059-2022</t>
        </is>
      </c>
      <c r="B8451" s="1" t="n">
        <v>44909</v>
      </c>
      <c r="C8451" s="1" t="n">
        <v>45736</v>
      </c>
      <c r="D8451" t="inlineStr">
        <is>
          <t>VÄRMLANDS LÄN</t>
        </is>
      </c>
      <c r="E8451" t="inlineStr">
        <is>
          <t>ARVIKA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60073-2022</t>
        </is>
      </c>
      <c r="B8452" s="1" t="n">
        <v>44909</v>
      </c>
      <c r="C8452" s="1" t="n">
        <v>45736</v>
      </c>
      <c r="D8452" t="inlineStr">
        <is>
          <t>VÄRMLANDS LÄN</t>
        </is>
      </c>
      <c r="E8452" t="inlineStr">
        <is>
          <t>SÄFFLE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59920-2022</t>
        </is>
      </c>
      <c r="B8453" s="1" t="n">
        <v>44909</v>
      </c>
      <c r="C8453" s="1" t="n">
        <v>45736</v>
      </c>
      <c r="D8453" t="inlineStr">
        <is>
          <t>VÄRMLANDS LÄN</t>
        </is>
      </c>
      <c r="E8453" t="inlineStr">
        <is>
          <t>ARVIKA</t>
        </is>
      </c>
      <c r="F8453" t="inlineStr">
        <is>
          <t>Kyrkan</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59922-2022</t>
        </is>
      </c>
      <c r="B8454" s="1" t="n">
        <v>44909</v>
      </c>
      <c r="C8454" s="1" t="n">
        <v>45736</v>
      </c>
      <c r="D8454" t="inlineStr">
        <is>
          <t>VÄRMLANDS LÄN</t>
        </is>
      </c>
      <c r="E8454" t="inlineStr">
        <is>
          <t>EDA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59919-2022</t>
        </is>
      </c>
      <c r="B8455" s="1" t="n">
        <v>44909</v>
      </c>
      <c r="C8455" s="1" t="n">
        <v>45736</v>
      </c>
      <c r="D8455" t="inlineStr">
        <is>
          <t>VÄRMLANDS LÄN</t>
        </is>
      </c>
      <c r="E8455" t="inlineStr">
        <is>
          <t>ARVIKA</t>
        </is>
      </c>
      <c r="F8455" t="inlineStr">
        <is>
          <t>Kyrkan</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60182-2022</t>
        </is>
      </c>
      <c r="B8456" s="1" t="n">
        <v>44910</v>
      </c>
      <c r="C8456" s="1" t="n">
        <v>45736</v>
      </c>
      <c r="D8456" t="inlineStr">
        <is>
          <t>VÄRMLANDS LÄN</t>
        </is>
      </c>
      <c r="E8456" t="inlineStr">
        <is>
          <t>SUNNE</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60206-2022</t>
        </is>
      </c>
      <c r="B8457" s="1" t="n">
        <v>44910</v>
      </c>
      <c r="C8457" s="1" t="n">
        <v>45736</v>
      </c>
      <c r="D8457" t="inlineStr">
        <is>
          <t>VÄRMLANDS LÄN</t>
        </is>
      </c>
      <c r="E8457" t="inlineStr">
        <is>
          <t>EDA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60240-2022</t>
        </is>
      </c>
      <c r="B8458" s="1" t="n">
        <v>44910</v>
      </c>
      <c r="C8458" s="1" t="n">
        <v>45736</v>
      </c>
      <c r="D8458" t="inlineStr">
        <is>
          <t>VÄRMLANDS LÄN</t>
        </is>
      </c>
      <c r="E8458" t="inlineStr">
        <is>
          <t>TORSBY</t>
        </is>
      </c>
      <c r="F8458" t="inlineStr">
        <is>
          <t>Bergvik skog väst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60281-2022</t>
        </is>
      </c>
      <c r="B8459" s="1" t="n">
        <v>44910</v>
      </c>
      <c r="C8459" s="1" t="n">
        <v>45736</v>
      </c>
      <c r="D8459" t="inlineStr">
        <is>
          <t>VÄRMLANDS LÄN</t>
        </is>
      </c>
      <c r="E8459" t="inlineStr">
        <is>
          <t>ARVIKA</t>
        </is>
      </c>
      <c r="F8459" t="inlineStr">
        <is>
          <t>Bergvik skog väst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60198-2022</t>
        </is>
      </c>
      <c r="B8460" s="1" t="n">
        <v>44910</v>
      </c>
      <c r="C8460" s="1" t="n">
        <v>45736</v>
      </c>
      <c r="D8460" t="inlineStr">
        <is>
          <t>VÄRMLANDS LÄN</t>
        </is>
      </c>
      <c r="E8460" t="inlineStr">
        <is>
          <t>SÄFFLE</t>
        </is>
      </c>
      <c r="F8460" t="inlineStr">
        <is>
          <t>Bergvik skog väst AB</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60192-2022</t>
        </is>
      </c>
      <c r="B8461" s="1" t="n">
        <v>44910</v>
      </c>
      <c r="C8461" s="1" t="n">
        <v>45736</v>
      </c>
      <c r="D8461" t="inlineStr">
        <is>
          <t>VÄRMLANDS LÄN</t>
        </is>
      </c>
      <c r="E8461" t="inlineStr">
        <is>
          <t>ÅRJÄNG</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60279-2022</t>
        </is>
      </c>
      <c r="B8462" s="1" t="n">
        <v>44910</v>
      </c>
      <c r="C8462" s="1" t="n">
        <v>45736</v>
      </c>
      <c r="D8462" t="inlineStr">
        <is>
          <t>VÄRMLANDS LÄN</t>
        </is>
      </c>
      <c r="E8462" t="inlineStr">
        <is>
          <t>ARVIKA</t>
        </is>
      </c>
      <c r="F8462" t="inlineStr">
        <is>
          <t>Bergvik skog väst AB</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60243-2022</t>
        </is>
      </c>
      <c r="B8463" s="1" t="n">
        <v>44910</v>
      </c>
      <c r="C8463" s="1" t="n">
        <v>45736</v>
      </c>
      <c r="D8463" t="inlineStr">
        <is>
          <t>VÄRMLANDS LÄN</t>
        </is>
      </c>
      <c r="E8463" t="inlineStr">
        <is>
          <t>SÄFFLE</t>
        </is>
      </c>
      <c r="F8463" t="inlineStr">
        <is>
          <t>Bergvik skog väst AB</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60296-2022</t>
        </is>
      </c>
      <c r="B8464" s="1" t="n">
        <v>44910</v>
      </c>
      <c r="C8464" s="1" t="n">
        <v>45736</v>
      </c>
      <c r="D8464" t="inlineStr">
        <is>
          <t>VÄRMLANDS LÄN</t>
        </is>
      </c>
      <c r="E8464" t="inlineStr">
        <is>
          <t>FORSHAGA</t>
        </is>
      </c>
      <c r="F8464" t="inlineStr">
        <is>
          <t>Bergvik skog väst AB</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60315-2022</t>
        </is>
      </c>
      <c r="B8465" s="1" t="n">
        <v>44910</v>
      </c>
      <c r="C8465" s="1" t="n">
        <v>45736</v>
      </c>
      <c r="D8465" t="inlineStr">
        <is>
          <t>VÄRMLANDS LÄN</t>
        </is>
      </c>
      <c r="E8465" t="inlineStr">
        <is>
          <t>ARVIKA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60277-2022</t>
        </is>
      </c>
      <c r="B8466" s="1" t="n">
        <v>44910</v>
      </c>
      <c r="C8466" s="1" t="n">
        <v>45736</v>
      </c>
      <c r="D8466" t="inlineStr">
        <is>
          <t>VÄRMLANDS LÄN</t>
        </is>
      </c>
      <c r="E8466" t="inlineStr">
        <is>
          <t>HAGFORS</t>
        </is>
      </c>
      <c r="F8466" t="inlineStr">
        <is>
          <t>Bergvik skog väst AB</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60341-2022</t>
        </is>
      </c>
      <c r="B8467" s="1" t="n">
        <v>44910</v>
      </c>
      <c r="C8467" s="1" t="n">
        <v>45736</v>
      </c>
      <c r="D8467" t="inlineStr">
        <is>
          <t>VÄRMLANDS LÄN</t>
        </is>
      </c>
      <c r="E8467" t="inlineStr">
        <is>
          <t>FORSHAGA</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61432-2022</t>
        </is>
      </c>
      <c r="B8468" s="1" t="n">
        <v>44910</v>
      </c>
      <c r="C8468" s="1" t="n">
        <v>45736</v>
      </c>
      <c r="D8468" t="inlineStr">
        <is>
          <t>VÄRMLANDS LÄN</t>
        </is>
      </c>
      <c r="E8468" t="inlineStr">
        <is>
          <t>TORSBY</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61428-2022</t>
        </is>
      </c>
      <c r="B8469" s="1" t="n">
        <v>44910</v>
      </c>
      <c r="C8469" s="1" t="n">
        <v>45736</v>
      </c>
      <c r="D8469" t="inlineStr">
        <is>
          <t>VÄRMLANDS LÄN</t>
        </is>
      </c>
      <c r="E8469" t="inlineStr">
        <is>
          <t>TORSBY</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60423-2022</t>
        </is>
      </c>
      <c r="B8470" s="1" t="n">
        <v>44911</v>
      </c>
      <c r="C8470" s="1" t="n">
        <v>45736</v>
      </c>
      <c r="D8470" t="inlineStr">
        <is>
          <t>VÄRMLANDS LÄN</t>
        </is>
      </c>
      <c r="E8470" t="inlineStr">
        <is>
          <t>SÄFFLE</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60564-2022</t>
        </is>
      </c>
      <c r="B8471" s="1" t="n">
        <v>44911</v>
      </c>
      <c r="C8471" s="1" t="n">
        <v>45736</v>
      </c>
      <c r="D8471" t="inlineStr">
        <is>
          <t>VÄRMLANDS LÄN</t>
        </is>
      </c>
      <c r="E8471" t="inlineStr">
        <is>
          <t>MUNKFORS</t>
        </is>
      </c>
      <c r="F8471" t="inlineStr">
        <is>
          <t>Bergvik skog väst AB</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60440-2022</t>
        </is>
      </c>
      <c r="B8472" s="1" t="n">
        <v>44911</v>
      </c>
      <c r="C8472" s="1" t="n">
        <v>45736</v>
      </c>
      <c r="D8472" t="inlineStr">
        <is>
          <t>VÄRMLANDS LÄN</t>
        </is>
      </c>
      <c r="E8472" t="inlineStr">
        <is>
          <t>EDA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60477-2022</t>
        </is>
      </c>
      <c r="B8473" s="1" t="n">
        <v>44911</v>
      </c>
      <c r="C8473" s="1" t="n">
        <v>45736</v>
      </c>
      <c r="D8473" t="inlineStr">
        <is>
          <t>VÄRMLANDS LÄN</t>
        </is>
      </c>
      <c r="E8473" t="inlineStr">
        <is>
          <t>EDA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60573-2022</t>
        </is>
      </c>
      <c r="B8474" s="1" t="n">
        <v>44911</v>
      </c>
      <c r="C8474" s="1" t="n">
        <v>45736</v>
      </c>
      <c r="D8474" t="inlineStr">
        <is>
          <t>VÄRMLANDS LÄN</t>
        </is>
      </c>
      <c r="E8474" t="inlineStr">
        <is>
          <t>SÄFFLE</t>
        </is>
      </c>
      <c r="F8474" t="inlineStr">
        <is>
          <t>Bergvik skog väst AB</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60620-2022</t>
        </is>
      </c>
      <c r="B8475" s="1" t="n">
        <v>44911</v>
      </c>
      <c r="C8475" s="1" t="n">
        <v>45736</v>
      </c>
      <c r="D8475" t="inlineStr">
        <is>
          <t>VÄRMLANDS LÄN</t>
        </is>
      </c>
      <c r="E8475" t="inlineStr">
        <is>
          <t>MUNKFORS</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60467-2022</t>
        </is>
      </c>
      <c r="B8476" s="1" t="n">
        <v>44911</v>
      </c>
      <c r="C8476" s="1" t="n">
        <v>45736</v>
      </c>
      <c r="D8476" t="inlineStr">
        <is>
          <t>VÄRMLANDS LÄN</t>
        </is>
      </c>
      <c r="E8476" t="inlineStr">
        <is>
          <t>EDA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60602-2022</t>
        </is>
      </c>
      <c r="B8477" s="1" t="n">
        <v>44911</v>
      </c>
      <c r="C8477" s="1" t="n">
        <v>45736</v>
      </c>
      <c r="D8477" t="inlineStr">
        <is>
          <t>VÄRMLANDS LÄN</t>
        </is>
      </c>
      <c r="E8477" t="inlineStr">
        <is>
          <t>ARVIKA</t>
        </is>
      </c>
      <c r="F8477" t="inlineStr">
        <is>
          <t>Bergvik skog väst AB</t>
        </is>
      </c>
      <c r="G8477" t="n">
        <v>23.3</v>
      </c>
      <c r="H8477" t="n">
        <v>0</v>
      </c>
      <c r="I8477" t="n">
        <v>0</v>
      </c>
      <c r="J8477" t="n">
        <v>0</v>
      </c>
      <c r="K8477" t="n">
        <v>0</v>
      </c>
      <c r="L8477" t="n">
        <v>0</v>
      </c>
      <c r="M8477" t="n">
        <v>0</v>
      </c>
      <c r="N8477" t="n">
        <v>0</v>
      </c>
      <c r="O8477" t="n">
        <v>0</v>
      </c>
      <c r="P8477" t="n">
        <v>0</v>
      </c>
      <c r="Q8477" t="n">
        <v>0</v>
      </c>
      <c r="R8477" s="2" t="inlineStr"/>
    </row>
    <row r="8478" ht="15" customHeight="1">
      <c r="A8478" t="inlineStr">
        <is>
          <t>A 60576-2022</t>
        </is>
      </c>
      <c r="B8478" s="1" t="n">
        <v>44911</v>
      </c>
      <c r="C8478" s="1" t="n">
        <v>45736</v>
      </c>
      <c r="D8478" t="inlineStr">
        <is>
          <t>VÄRMLANDS LÄN</t>
        </is>
      </c>
      <c r="E8478" t="inlineStr">
        <is>
          <t>ARVIKA</t>
        </is>
      </c>
      <c r="F8478" t="inlineStr">
        <is>
          <t>Bergvik skog väst AB</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61628-2022</t>
        </is>
      </c>
      <c r="B8479" s="1" t="n">
        <v>44911</v>
      </c>
      <c r="C8479" s="1" t="n">
        <v>45736</v>
      </c>
      <c r="D8479" t="inlineStr">
        <is>
          <t>VÄRMLANDS LÄN</t>
        </is>
      </c>
      <c r="E8479" t="inlineStr">
        <is>
          <t>FILIPSTAD</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61741-2022</t>
        </is>
      </c>
      <c r="B8480" s="1" t="n">
        <v>44911</v>
      </c>
      <c r="C8480" s="1" t="n">
        <v>45736</v>
      </c>
      <c r="D8480" t="inlineStr">
        <is>
          <t>VÄRMLANDS LÄN</t>
        </is>
      </c>
      <c r="E8480" t="inlineStr">
        <is>
          <t>FILIPSTAD</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61764-2022</t>
        </is>
      </c>
      <c r="B8481" s="1" t="n">
        <v>44911</v>
      </c>
      <c r="C8481" s="1" t="n">
        <v>45736</v>
      </c>
      <c r="D8481" t="inlineStr">
        <is>
          <t>VÄRMLANDS LÄN</t>
        </is>
      </c>
      <c r="E8481" t="inlineStr">
        <is>
          <t>ÅRJÄNG</t>
        </is>
      </c>
      <c r="F8481" t="inlineStr">
        <is>
          <t>Övriga Aktiebolag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60737-2022</t>
        </is>
      </c>
      <c r="B8482" s="1" t="n">
        <v>44913</v>
      </c>
      <c r="C8482" s="1" t="n">
        <v>45736</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60724-2022</t>
        </is>
      </c>
      <c r="B8483" s="1" t="n">
        <v>44913</v>
      </c>
      <c r="C8483" s="1" t="n">
        <v>45736</v>
      </c>
      <c r="D8483" t="inlineStr">
        <is>
          <t>VÄRMLANDS LÄN</t>
        </is>
      </c>
      <c r="E8483" t="inlineStr">
        <is>
          <t>KARLSTAD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60761-2022</t>
        </is>
      </c>
      <c r="B8484" s="1" t="n">
        <v>44914</v>
      </c>
      <c r="C8484" s="1" t="n">
        <v>45736</v>
      </c>
      <c r="D8484" t="inlineStr">
        <is>
          <t>VÄRMLANDS LÄN</t>
        </is>
      </c>
      <c r="E8484" t="inlineStr">
        <is>
          <t>SUNNE</t>
        </is>
      </c>
      <c r="G8484" t="n">
        <v>12.1</v>
      </c>
      <c r="H8484" t="n">
        <v>0</v>
      </c>
      <c r="I8484" t="n">
        <v>0</v>
      </c>
      <c r="J8484" t="n">
        <v>0</v>
      </c>
      <c r="K8484" t="n">
        <v>0</v>
      </c>
      <c r="L8484" t="n">
        <v>0</v>
      </c>
      <c r="M8484" t="n">
        <v>0</v>
      </c>
      <c r="N8484" t="n">
        <v>0</v>
      </c>
      <c r="O8484" t="n">
        <v>0</v>
      </c>
      <c r="P8484" t="n">
        <v>0</v>
      </c>
      <c r="Q8484" t="n">
        <v>0</v>
      </c>
      <c r="R8484" s="2" t="inlineStr"/>
    </row>
    <row r="8485" ht="15" customHeight="1">
      <c r="A8485" t="inlineStr">
        <is>
          <t>A 61009-2022</t>
        </is>
      </c>
      <c r="B8485" s="1" t="n">
        <v>44914</v>
      </c>
      <c r="C8485" s="1" t="n">
        <v>45736</v>
      </c>
      <c r="D8485" t="inlineStr">
        <is>
          <t>VÄRMLANDS LÄN</t>
        </is>
      </c>
      <c r="E8485" t="inlineStr">
        <is>
          <t>ÅRJÄNG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61032-2022</t>
        </is>
      </c>
      <c r="B8486" s="1" t="n">
        <v>44914</v>
      </c>
      <c r="C8486" s="1" t="n">
        <v>45736</v>
      </c>
      <c r="D8486" t="inlineStr">
        <is>
          <t>VÄRMLANDS LÄN</t>
        </is>
      </c>
      <c r="E8486" t="inlineStr">
        <is>
          <t>KARLSTAD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60823-2022</t>
        </is>
      </c>
      <c r="B8487" s="1" t="n">
        <v>44914</v>
      </c>
      <c r="C8487" s="1" t="n">
        <v>45736</v>
      </c>
      <c r="D8487" t="inlineStr">
        <is>
          <t>VÄRMLANDS LÄN</t>
        </is>
      </c>
      <c r="E8487" t="inlineStr">
        <is>
          <t>TORSBY</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60973-2022</t>
        </is>
      </c>
      <c r="B8488" s="1" t="n">
        <v>44914</v>
      </c>
      <c r="C8488" s="1" t="n">
        <v>45736</v>
      </c>
      <c r="D8488" t="inlineStr">
        <is>
          <t>VÄRMLANDS LÄN</t>
        </is>
      </c>
      <c r="E8488" t="inlineStr">
        <is>
          <t>ARVIKA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60883-2022</t>
        </is>
      </c>
      <c r="B8489" s="1" t="n">
        <v>44914</v>
      </c>
      <c r="C8489" s="1" t="n">
        <v>45736</v>
      </c>
      <c r="D8489" t="inlineStr">
        <is>
          <t>VÄRMLANDS LÄN</t>
        </is>
      </c>
      <c r="E8489" t="inlineStr">
        <is>
          <t>ARVIKA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60975-2022</t>
        </is>
      </c>
      <c r="B8490" s="1" t="n">
        <v>44914</v>
      </c>
      <c r="C8490" s="1" t="n">
        <v>45736</v>
      </c>
      <c r="D8490" t="inlineStr">
        <is>
          <t>VÄRMLANDS LÄN</t>
        </is>
      </c>
      <c r="E8490" t="inlineStr">
        <is>
          <t>ÅRJÄNG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61001-2022</t>
        </is>
      </c>
      <c r="B8491" s="1" t="n">
        <v>44914</v>
      </c>
      <c r="C8491" s="1" t="n">
        <v>45736</v>
      </c>
      <c r="D8491" t="inlineStr">
        <is>
          <t>VÄRMLANDS LÄN</t>
        </is>
      </c>
      <c r="E8491" t="inlineStr">
        <is>
          <t>ÅRJÄNG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61231-2022</t>
        </is>
      </c>
      <c r="B8492" s="1" t="n">
        <v>44915</v>
      </c>
      <c r="C8492" s="1" t="n">
        <v>45736</v>
      </c>
      <c r="D8492" t="inlineStr">
        <is>
          <t>VÄRMLANDS LÄN</t>
        </is>
      </c>
      <c r="E8492" t="inlineStr">
        <is>
          <t>FORSHAGA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61265-2022</t>
        </is>
      </c>
      <c r="B8493" s="1" t="n">
        <v>44915</v>
      </c>
      <c r="C8493" s="1" t="n">
        <v>45736</v>
      </c>
      <c r="D8493" t="inlineStr">
        <is>
          <t>VÄRMLANDS LÄN</t>
        </is>
      </c>
      <c r="E8493" t="inlineStr">
        <is>
          <t>HAGFORS</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61279-2022</t>
        </is>
      </c>
      <c r="B8494" s="1" t="n">
        <v>44915</v>
      </c>
      <c r="C8494" s="1" t="n">
        <v>45736</v>
      </c>
      <c r="D8494" t="inlineStr">
        <is>
          <t>VÄRMLANDS LÄN</t>
        </is>
      </c>
      <c r="E8494" t="inlineStr">
        <is>
          <t>EDA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61295-2022</t>
        </is>
      </c>
      <c r="B8495" s="1" t="n">
        <v>44915</v>
      </c>
      <c r="C8495" s="1" t="n">
        <v>45736</v>
      </c>
      <c r="D8495" t="inlineStr">
        <is>
          <t>VÄRMLANDS LÄN</t>
        </is>
      </c>
      <c r="E8495" t="inlineStr">
        <is>
          <t>ÅRJÄNG</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61128-2022</t>
        </is>
      </c>
      <c r="B8496" s="1" t="n">
        <v>44915</v>
      </c>
      <c r="C8496" s="1" t="n">
        <v>45736</v>
      </c>
      <c r="D8496" t="inlineStr">
        <is>
          <t>VÄRMLANDS LÄN</t>
        </is>
      </c>
      <c r="E8496" t="inlineStr">
        <is>
          <t>TORSBY</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61151-2022</t>
        </is>
      </c>
      <c r="B8497" s="1" t="n">
        <v>44915</v>
      </c>
      <c r="C8497" s="1" t="n">
        <v>45736</v>
      </c>
      <c r="D8497" t="inlineStr">
        <is>
          <t>VÄRMLANDS LÄN</t>
        </is>
      </c>
      <c r="E8497" t="inlineStr">
        <is>
          <t>TORSBY</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61282-2022</t>
        </is>
      </c>
      <c r="B8498" s="1" t="n">
        <v>44915</v>
      </c>
      <c r="C8498" s="1" t="n">
        <v>45736</v>
      </c>
      <c r="D8498" t="inlineStr">
        <is>
          <t>VÄRMLANDS LÄN</t>
        </is>
      </c>
      <c r="E8498" t="inlineStr">
        <is>
          <t>EDA</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61286-2022</t>
        </is>
      </c>
      <c r="B8499" s="1" t="n">
        <v>44915</v>
      </c>
      <c r="C8499" s="1" t="n">
        <v>45736</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61321-2022</t>
        </is>
      </c>
      <c r="B8500" s="1" t="n">
        <v>44915</v>
      </c>
      <c r="C8500" s="1" t="n">
        <v>45736</v>
      </c>
      <c r="D8500" t="inlineStr">
        <is>
          <t>VÄRMLANDS LÄN</t>
        </is>
      </c>
      <c r="E8500" t="inlineStr">
        <is>
          <t>TORSBY</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61138-2022</t>
        </is>
      </c>
      <c r="B8501" s="1" t="n">
        <v>44915</v>
      </c>
      <c r="C8501" s="1" t="n">
        <v>45736</v>
      </c>
      <c r="D8501" t="inlineStr">
        <is>
          <t>VÄRMLANDS LÄN</t>
        </is>
      </c>
      <c r="E8501" t="inlineStr">
        <is>
          <t>TORSBY</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61143-2022</t>
        </is>
      </c>
      <c r="B8502" s="1" t="n">
        <v>44915</v>
      </c>
      <c r="C8502" s="1" t="n">
        <v>45736</v>
      </c>
      <c r="D8502" t="inlineStr">
        <is>
          <t>VÄRMLANDS LÄN</t>
        </is>
      </c>
      <c r="E8502" t="inlineStr">
        <is>
          <t>TORSBY</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61243-2022</t>
        </is>
      </c>
      <c r="B8503" s="1" t="n">
        <v>44915</v>
      </c>
      <c r="C8503" s="1" t="n">
        <v>45736</v>
      </c>
      <c r="D8503" t="inlineStr">
        <is>
          <t>VÄRMLANDS LÄN</t>
        </is>
      </c>
      <c r="E8503" t="inlineStr">
        <is>
          <t>KIL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61290-2022</t>
        </is>
      </c>
      <c r="B8504" s="1" t="n">
        <v>44915</v>
      </c>
      <c r="C8504" s="1" t="n">
        <v>45736</v>
      </c>
      <c r="D8504" t="inlineStr">
        <is>
          <t>VÄRMLANDS LÄN</t>
        </is>
      </c>
      <c r="E8504" t="inlineStr">
        <is>
          <t>TORSBY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61367-2022</t>
        </is>
      </c>
      <c r="B8505" s="1" t="n">
        <v>44915</v>
      </c>
      <c r="C8505" s="1" t="n">
        <v>45736</v>
      </c>
      <c r="D8505" t="inlineStr">
        <is>
          <t>VÄRMLANDS LÄN</t>
        </is>
      </c>
      <c r="E8505" t="inlineStr">
        <is>
          <t>TORSBY</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61346-2022</t>
        </is>
      </c>
      <c r="B8506" s="1" t="n">
        <v>44915</v>
      </c>
      <c r="C8506" s="1" t="n">
        <v>45736</v>
      </c>
      <c r="D8506" t="inlineStr">
        <is>
          <t>VÄRMLANDS LÄN</t>
        </is>
      </c>
      <c r="E8506" t="inlineStr">
        <is>
          <t>EDA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61135-2022</t>
        </is>
      </c>
      <c r="B8507" s="1" t="n">
        <v>44915</v>
      </c>
      <c r="C8507" s="1" t="n">
        <v>45736</v>
      </c>
      <c r="D8507" t="inlineStr">
        <is>
          <t>VÄRMLANDS LÄN</t>
        </is>
      </c>
      <c r="E8507" t="inlineStr">
        <is>
          <t>TORSBY</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61229-2022</t>
        </is>
      </c>
      <c r="B8508" s="1" t="n">
        <v>44915</v>
      </c>
      <c r="C8508" s="1" t="n">
        <v>45736</v>
      </c>
      <c r="D8508" t="inlineStr">
        <is>
          <t>VÄRMLANDS LÄN</t>
        </is>
      </c>
      <c r="E8508" t="inlineStr">
        <is>
          <t>KIL</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61287-2022</t>
        </is>
      </c>
      <c r="B8509" s="1" t="n">
        <v>44915</v>
      </c>
      <c r="C8509" s="1" t="n">
        <v>45736</v>
      </c>
      <c r="D8509" t="inlineStr">
        <is>
          <t>VÄRMLANDS LÄN</t>
        </is>
      </c>
      <c r="E8509" t="inlineStr">
        <is>
          <t>KARLSTAD</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61350-2022</t>
        </is>
      </c>
      <c r="B8510" s="1" t="n">
        <v>44915</v>
      </c>
      <c r="C8510" s="1" t="n">
        <v>45736</v>
      </c>
      <c r="D8510" t="inlineStr">
        <is>
          <t>VÄRMLANDS LÄN</t>
        </is>
      </c>
      <c r="E8510" t="inlineStr">
        <is>
          <t>KARLSTAD</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61444-2022</t>
        </is>
      </c>
      <c r="B8511" s="1" t="n">
        <v>44916</v>
      </c>
      <c r="C8511" s="1" t="n">
        <v>45736</v>
      </c>
      <c r="D8511" t="inlineStr">
        <is>
          <t>VÄRMLANDS LÄN</t>
        </is>
      </c>
      <c r="E8511" t="inlineStr">
        <is>
          <t>ARVIKA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61474-2022</t>
        </is>
      </c>
      <c r="B8512" s="1" t="n">
        <v>44916</v>
      </c>
      <c r="C8512" s="1" t="n">
        <v>45736</v>
      </c>
      <c r="D8512" t="inlineStr">
        <is>
          <t>VÄRMLANDS LÄN</t>
        </is>
      </c>
      <c r="E8512" t="inlineStr">
        <is>
          <t>ÅRJÄNG</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61510-2022</t>
        </is>
      </c>
      <c r="B8513" s="1" t="n">
        <v>44916</v>
      </c>
      <c r="C8513" s="1" t="n">
        <v>45736</v>
      </c>
      <c r="D8513" t="inlineStr">
        <is>
          <t>VÄRMLANDS LÄN</t>
        </is>
      </c>
      <c r="E8513" t="inlineStr">
        <is>
          <t>TORSBY</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61412-2022</t>
        </is>
      </c>
      <c r="B8514" s="1" t="n">
        <v>44916</v>
      </c>
      <c r="C8514" s="1" t="n">
        <v>45736</v>
      </c>
      <c r="D8514" t="inlineStr">
        <is>
          <t>VÄRMLANDS LÄN</t>
        </is>
      </c>
      <c r="E8514" t="inlineStr">
        <is>
          <t>EDA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61564-2022</t>
        </is>
      </c>
      <c r="B8515" s="1" t="n">
        <v>44916</v>
      </c>
      <c r="C8515" s="1" t="n">
        <v>45736</v>
      </c>
      <c r="D8515" t="inlineStr">
        <is>
          <t>VÄRMLANDS LÄN</t>
        </is>
      </c>
      <c r="E8515" t="inlineStr">
        <is>
          <t>SÄFFLE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61555-2022</t>
        </is>
      </c>
      <c r="B8516" s="1" t="n">
        <v>44916</v>
      </c>
      <c r="C8516" s="1" t="n">
        <v>45736</v>
      </c>
      <c r="D8516" t="inlineStr">
        <is>
          <t>VÄRMLANDS LÄN</t>
        </is>
      </c>
      <c r="E8516" t="inlineStr">
        <is>
          <t>ARVIKA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61597-2022</t>
        </is>
      </c>
      <c r="B8517" s="1" t="n">
        <v>44916</v>
      </c>
      <c r="C8517" s="1" t="n">
        <v>45736</v>
      </c>
      <c r="D8517" t="inlineStr">
        <is>
          <t>VÄRMLANDS LÄN</t>
        </is>
      </c>
      <c r="E8517" t="inlineStr">
        <is>
          <t>SÄFFLE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61457-2022</t>
        </is>
      </c>
      <c r="B8518" s="1" t="n">
        <v>44916</v>
      </c>
      <c r="C8518" s="1" t="n">
        <v>45736</v>
      </c>
      <c r="D8518" t="inlineStr">
        <is>
          <t>VÄRMLANDS LÄN</t>
        </is>
      </c>
      <c r="E8518" t="inlineStr">
        <is>
          <t>FORSHAGA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61463-2022</t>
        </is>
      </c>
      <c r="B8519" s="1" t="n">
        <v>44916</v>
      </c>
      <c r="C8519" s="1" t="n">
        <v>45736</v>
      </c>
      <c r="D8519" t="inlineStr">
        <is>
          <t>VÄRMLANDS LÄN</t>
        </is>
      </c>
      <c r="E8519" t="inlineStr">
        <is>
          <t>FORSHAGA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61527-2022</t>
        </is>
      </c>
      <c r="B8520" s="1" t="n">
        <v>44916</v>
      </c>
      <c r="C8520" s="1" t="n">
        <v>45736</v>
      </c>
      <c r="D8520" t="inlineStr">
        <is>
          <t>VÄRMLANDS LÄN</t>
        </is>
      </c>
      <c r="E8520" t="inlineStr">
        <is>
          <t>EDA</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61831-2022</t>
        </is>
      </c>
      <c r="B8521" s="1" t="n">
        <v>44917</v>
      </c>
      <c r="C8521" s="1" t="n">
        <v>45736</v>
      </c>
      <c r="D8521" t="inlineStr">
        <is>
          <t>VÄRMLANDS LÄN</t>
        </is>
      </c>
      <c r="E8521" t="inlineStr">
        <is>
          <t>HAGFORS</t>
        </is>
      </c>
      <c r="F8521" t="inlineStr">
        <is>
          <t>Bergvik skog väst AB</t>
        </is>
      </c>
      <c r="G8521" t="n">
        <v>13.2</v>
      </c>
      <c r="H8521" t="n">
        <v>0</v>
      </c>
      <c r="I8521" t="n">
        <v>0</v>
      </c>
      <c r="J8521" t="n">
        <v>0</v>
      </c>
      <c r="K8521" t="n">
        <v>0</v>
      </c>
      <c r="L8521" t="n">
        <v>0</v>
      </c>
      <c r="M8521" t="n">
        <v>0</v>
      </c>
      <c r="N8521" t="n">
        <v>0</v>
      </c>
      <c r="O8521" t="n">
        <v>0</v>
      </c>
      <c r="P8521" t="n">
        <v>0</v>
      </c>
      <c r="Q8521" t="n">
        <v>0</v>
      </c>
      <c r="R8521" s="2" t="inlineStr"/>
    </row>
    <row r="8522" ht="15" customHeight="1">
      <c r="A8522" t="inlineStr">
        <is>
          <t>A 61838-2022</t>
        </is>
      </c>
      <c r="B8522" s="1" t="n">
        <v>44917</v>
      </c>
      <c r="C8522" s="1" t="n">
        <v>45736</v>
      </c>
      <c r="D8522" t="inlineStr">
        <is>
          <t>VÄRMLANDS LÄN</t>
        </is>
      </c>
      <c r="E8522" t="inlineStr">
        <is>
          <t>FORSHAGA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61696-2022</t>
        </is>
      </c>
      <c r="B8523" s="1" t="n">
        <v>44917</v>
      </c>
      <c r="C8523" s="1" t="n">
        <v>45736</v>
      </c>
      <c r="D8523" t="inlineStr">
        <is>
          <t>VÄRMLANDS LÄN</t>
        </is>
      </c>
      <c r="E8523" t="inlineStr">
        <is>
          <t>SÄFFLE</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61703-2022</t>
        </is>
      </c>
      <c r="B8524" s="1" t="n">
        <v>44917</v>
      </c>
      <c r="C8524" s="1" t="n">
        <v>45736</v>
      </c>
      <c r="D8524" t="inlineStr">
        <is>
          <t>VÄRMLANDS LÄN</t>
        </is>
      </c>
      <c r="E8524" t="inlineStr">
        <is>
          <t>EDA</t>
        </is>
      </c>
      <c r="F8524" t="inlineStr">
        <is>
          <t>Bergvik skog väst AB</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61845-2022</t>
        </is>
      </c>
      <c r="B8525" s="1" t="n">
        <v>44917</v>
      </c>
      <c r="C8525" s="1" t="n">
        <v>45736</v>
      </c>
      <c r="D8525" t="inlineStr">
        <is>
          <t>VÄRMLANDS LÄN</t>
        </is>
      </c>
      <c r="E8525" t="inlineStr">
        <is>
          <t>STORFORS</t>
        </is>
      </c>
      <c r="F8525" t="inlineStr">
        <is>
          <t>Kyrkan</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62498-2022</t>
        </is>
      </c>
      <c r="B8526" s="1" t="n">
        <v>44917</v>
      </c>
      <c r="C8526" s="1" t="n">
        <v>45736</v>
      </c>
      <c r="D8526" t="inlineStr">
        <is>
          <t>VÄRMLANDS LÄN</t>
        </is>
      </c>
      <c r="E8526" t="inlineStr">
        <is>
          <t>KRISTINEHAMN</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62598-2022</t>
        </is>
      </c>
      <c r="B8527" s="1" t="n">
        <v>44917</v>
      </c>
      <c r="C8527" s="1" t="n">
        <v>45736</v>
      </c>
      <c r="D8527" t="inlineStr">
        <is>
          <t>VÄRMLANDS LÄN</t>
        </is>
      </c>
      <c r="E8527" t="inlineStr">
        <is>
          <t>ARVIKA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62607-2022</t>
        </is>
      </c>
      <c r="B8528" s="1" t="n">
        <v>44917</v>
      </c>
      <c r="C8528" s="1" t="n">
        <v>45736</v>
      </c>
      <c r="D8528" t="inlineStr">
        <is>
          <t>VÄRMLANDS LÄN</t>
        </is>
      </c>
      <c r="E8528" t="inlineStr">
        <is>
          <t>ARVIKA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62614-2022</t>
        </is>
      </c>
      <c r="B8529" s="1" t="n">
        <v>44917</v>
      </c>
      <c r="C8529" s="1" t="n">
        <v>45736</v>
      </c>
      <c r="D8529" t="inlineStr">
        <is>
          <t>VÄRMLANDS LÄN</t>
        </is>
      </c>
      <c r="E8529" t="inlineStr">
        <is>
          <t>ARVIKA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62624-2022</t>
        </is>
      </c>
      <c r="B8530" s="1" t="n">
        <v>44917</v>
      </c>
      <c r="C8530" s="1" t="n">
        <v>45736</v>
      </c>
      <c r="D8530" t="inlineStr">
        <is>
          <t>VÄRMLANDS LÄN</t>
        </is>
      </c>
      <c r="E8530" t="inlineStr">
        <is>
          <t>ARVIKA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61908-2022</t>
        </is>
      </c>
      <c r="B8531" s="1" t="n">
        <v>44917</v>
      </c>
      <c r="C8531" s="1" t="n">
        <v>45736</v>
      </c>
      <c r="D8531" t="inlineStr">
        <is>
          <t>VÄRMLANDS LÄN</t>
        </is>
      </c>
      <c r="E8531" t="inlineStr">
        <is>
          <t>ARVIKA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62495-2022</t>
        </is>
      </c>
      <c r="B8532" s="1" t="n">
        <v>44917</v>
      </c>
      <c r="C8532" s="1" t="n">
        <v>45736</v>
      </c>
      <c r="D8532" t="inlineStr">
        <is>
          <t>VÄRMLANDS LÄN</t>
        </is>
      </c>
      <c r="E8532" t="inlineStr">
        <is>
          <t>KRISTINEHAMN</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62596-2022</t>
        </is>
      </c>
      <c r="B8533" s="1" t="n">
        <v>44917</v>
      </c>
      <c r="C8533" s="1" t="n">
        <v>45736</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62603-2022</t>
        </is>
      </c>
      <c r="B8534" s="1" t="n">
        <v>44917</v>
      </c>
      <c r="C8534" s="1" t="n">
        <v>45736</v>
      </c>
      <c r="D8534" t="inlineStr">
        <is>
          <t>VÄRMLANDS LÄN</t>
        </is>
      </c>
      <c r="E8534" t="inlineStr">
        <is>
          <t>ARVIKA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62612-2022</t>
        </is>
      </c>
      <c r="B8535" s="1" t="n">
        <v>44917</v>
      </c>
      <c r="C8535" s="1" t="n">
        <v>45736</v>
      </c>
      <c r="D8535" t="inlineStr">
        <is>
          <t>VÄRMLANDS LÄN</t>
        </is>
      </c>
      <c r="E8535" t="inlineStr">
        <is>
          <t>ARVIKA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62621-2022</t>
        </is>
      </c>
      <c r="B8536" s="1" t="n">
        <v>44917</v>
      </c>
      <c r="C8536" s="1" t="n">
        <v>45736</v>
      </c>
      <c r="D8536" t="inlineStr">
        <is>
          <t>VÄRMLANDS LÄN</t>
        </is>
      </c>
      <c r="E8536" t="inlineStr">
        <is>
          <t>ARVIKA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62480-2022</t>
        </is>
      </c>
      <c r="B8537" s="1" t="n">
        <v>44917</v>
      </c>
      <c r="C8537" s="1" t="n">
        <v>45736</v>
      </c>
      <c r="D8537" t="inlineStr">
        <is>
          <t>VÄRMLANDS LÄN</t>
        </is>
      </c>
      <c r="E8537" t="inlineStr">
        <is>
          <t>KRISTINEHAMN</t>
        </is>
      </c>
      <c r="G8537" t="n">
        <v>32.1</v>
      </c>
      <c r="H8537" t="n">
        <v>0</v>
      </c>
      <c r="I8537" t="n">
        <v>0</v>
      </c>
      <c r="J8537" t="n">
        <v>0</v>
      </c>
      <c r="K8537" t="n">
        <v>0</v>
      </c>
      <c r="L8537" t="n">
        <v>0</v>
      </c>
      <c r="M8537" t="n">
        <v>0</v>
      </c>
      <c r="N8537" t="n">
        <v>0</v>
      </c>
      <c r="O8537" t="n">
        <v>0</v>
      </c>
      <c r="P8537" t="n">
        <v>0</v>
      </c>
      <c r="Q8537" t="n">
        <v>0</v>
      </c>
      <c r="R8537" s="2" t="inlineStr"/>
    </row>
    <row r="8538" ht="15" customHeight="1">
      <c r="A8538" t="inlineStr">
        <is>
          <t>A 62517-2022</t>
        </is>
      </c>
      <c r="B8538" s="1" t="n">
        <v>44917</v>
      </c>
      <c r="C8538" s="1" t="n">
        <v>45736</v>
      </c>
      <c r="D8538" t="inlineStr">
        <is>
          <t>VÄRMLANDS LÄN</t>
        </is>
      </c>
      <c r="E8538" t="inlineStr">
        <is>
          <t>KRISTINEHAMN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62594-2022</t>
        </is>
      </c>
      <c r="B8539" s="1" t="n">
        <v>44917</v>
      </c>
      <c r="C8539" s="1" t="n">
        <v>45736</v>
      </c>
      <c r="D8539" t="inlineStr">
        <is>
          <t>VÄRMLANDS LÄN</t>
        </is>
      </c>
      <c r="E8539" t="inlineStr">
        <is>
          <t>ARVIKA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62601-2022</t>
        </is>
      </c>
      <c r="B8540" s="1" t="n">
        <v>44917</v>
      </c>
      <c r="C8540" s="1" t="n">
        <v>45736</v>
      </c>
      <c r="D8540" t="inlineStr">
        <is>
          <t>VÄRMLANDS LÄN</t>
        </is>
      </c>
      <c r="E8540" t="inlineStr">
        <is>
          <t>ARVIKA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62610-2022</t>
        </is>
      </c>
      <c r="B8541" s="1" t="n">
        <v>44917</v>
      </c>
      <c r="C8541" s="1" t="n">
        <v>45736</v>
      </c>
      <c r="D8541" t="inlineStr">
        <is>
          <t>VÄRMLANDS LÄN</t>
        </is>
      </c>
      <c r="E8541" t="inlineStr">
        <is>
          <t>ARVIKA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62619-2022</t>
        </is>
      </c>
      <c r="B8542" s="1" t="n">
        <v>44917</v>
      </c>
      <c r="C8542" s="1" t="n">
        <v>45736</v>
      </c>
      <c r="D8542" t="inlineStr">
        <is>
          <t>VÄRMLANDS LÄN</t>
        </is>
      </c>
      <c r="E8542" t="inlineStr">
        <is>
          <t>ARVIKA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61910-2022</t>
        </is>
      </c>
      <c r="B8543" s="1" t="n">
        <v>44917</v>
      </c>
      <c r="C8543" s="1" t="n">
        <v>45736</v>
      </c>
      <c r="D8543" t="inlineStr">
        <is>
          <t>VÄRMLANDS LÄN</t>
        </is>
      </c>
      <c r="E8543" t="inlineStr">
        <is>
          <t>ARVIKA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62514-2022</t>
        </is>
      </c>
      <c r="B8544" s="1" t="n">
        <v>44917</v>
      </c>
      <c r="C8544" s="1" t="n">
        <v>45736</v>
      </c>
      <c r="D8544" t="inlineStr">
        <is>
          <t>VÄRMLANDS LÄN</t>
        </is>
      </c>
      <c r="E8544" t="inlineStr">
        <is>
          <t>KRISTINEHAMN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62600-2022</t>
        </is>
      </c>
      <c r="B8545" s="1" t="n">
        <v>44917</v>
      </c>
      <c r="C8545" s="1" t="n">
        <v>45736</v>
      </c>
      <c r="D8545" t="inlineStr">
        <is>
          <t>VÄRMLANDS LÄN</t>
        </is>
      </c>
      <c r="E8545" t="inlineStr">
        <is>
          <t>ARVIKA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62609-2022</t>
        </is>
      </c>
      <c r="B8546" s="1" t="n">
        <v>44917</v>
      </c>
      <c r="C8546" s="1" t="n">
        <v>45736</v>
      </c>
      <c r="D8546" t="inlineStr">
        <is>
          <t>VÄRMLANDS LÄN</t>
        </is>
      </c>
      <c r="E8546" t="inlineStr">
        <is>
          <t>ARVIKA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62618-2022</t>
        </is>
      </c>
      <c r="B8547" s="1" t="n">
        <v>44917</v>
      </c>
      <c r="C8547" s="1" t="n">
        <v>45736</v>
      </c>
      <c r="D8547" t="inlineStr">
        <is>
          <t>VÄRMLANDS LÄN</t>
        </is>
      </c>
      <c r="E8547" t="inlineStr">
        <is>
          <t>ARVIKA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62627-2022</t>
        </is>
      </c>
      <c r="B8548" s="1" t="n">
        <v>44917</v>
      </c>
      <c r="C8548" s="1" t="n">
        <v>45736</v>
      </c>
      <c r="D8548" t="inlineStr">
        <is>
          <t>VÄRMLANDS LÄN</t>
        </is>
      </c>
      <c r="E8548" t="inlineStr">
        <is>
          <t>ARVIKA</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61952-2022</t>
        </is>
      </c>
      <c r="B8549" s="1" t="n">
        <v>44918</v>
      </c>
      <c r="C8549" s="1" t="n">
        <v>45736</v>
      </c>
      <c r="D8549" t="inlineStr">
        <is>
          <t>VÄRMLANDS LÄN</t>
        </is>
      </c>
      <c r="E8549" t="inlineStr">
        <is>
          <t>EDA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61976-2022</t>
        </is>
      </c>
      <c r="B8550" s="1" t="n">
        <v>44918</v>
      </c>
      <c r="C8550" s="1" t="n">
        <v>45736</v>
      </c>
      <c r="D8550" t="inlineStr">
        <is>
          <t>VÄRMLANDS LÄN</t>
        </is>
      </c>
      <c r="E8550" t="inlineStr">
        <is>
          <t>EDA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62039-2022</t>
        </is>
      </c>
      <c r="B8551" s="1" t="n">
        <v>44918</v>
      </c>
      <c r="C8551" s="1" t="n">
        <v>45736</v>
      </c>
      <c r="D8551" t="inlineStr">
        <is>
          <t>VÄRMLANDS LÄN</t>
        </is>
      </c>
      <c r="E8551" t="inlineStr">
        <is>
          <t>SUNNE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61942-2022</t>
        </is>
      </c>
      <c r="B8552" s="1" t="n">
        <v>44918</v>
      </c>
      <c r="C8552" s="1" t="n">
        <v>45736</v>
      </c>
      <c r="D8552" t="inlineStr">
        <is>
          <t>VÄRMLANDS LÄN</t>
        </is>
      </c>
      <c r="E8552" t="inlineStr">
        <is>
          <t>KRISTINEHAMN</t>
        </is>
      </c>
      <c r="F8552" t="inlineStr">
        <is>
          <t>Kommuner</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62074-2022</t>
        </is>
      </c>
      <c r="B8553" s="1" t="n">
        <v>44918</v>
      </c>
      <c r="C8553" s="1" t="n">
        <v>45736</v>
      </c>
      <c r="D8553" t="inlineStr">
        <is>
          <t>VÄRMLANDS LÄN</t>
        </is>
      </c>
      <c r="E8553" t="inlineStr">
        <is>
          <t>ARVIKA</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62006-2022</t>
        </is>
      </c>
      <c r="B8554" s="1" t="n">
        <v>44918</v>
      </c>
      <c r="C8554" s="1" t="n">
        <v>45736</v>
      </c>
      <c r="D8554" t="inlineStr">
        <is>
          <t>VÄRMLANDS LÄN</t>
        </is>
      </c>
      <c r="E8554" t="inlineStr">
        <is>
          <t>TORSBY</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92-2023</t>
        </is>
      </c>
      <c r="B8555" s="1" t="n">
        <v>44918</v>
      </c>
      <c r="C8555" s="1" t="n">
        <v>45736</v>
      </c>
      <c r="D8555" t="inlineStr">
        <is>
          <t>VÄRMLANDS LÄN</t>
        </is>
      </c>
      <c r="E8555" t="inlineStr">
        <is>
          <t>SUNNE</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80-2023</t>
        </is>
      </c>
      <c r="B8556" s="1" t="n">
        <v>44918</v>
      </c>
      <c r="C8556" s="1" t="n">
        <v>45736</v>
      </c>
      <c r="D8556" t="inlineStr">
        <is>
          <t>VÄRMLANDS LÄN</t>
        </is>
      </c>
      <c r="E8556" t="inlineStr">
        <is>
          <t>TORSBY</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62109-2022</t>
        </is>
      </c>
      <c r="B8557" s="1" t="n">
        <v>44920</v>
      </c>
      <c r="C8557" s="1" t="n">
        <v>45736</v>
      </c>
      <c r="D8557" t="inlineStr">
        <is>
          <t>VÄRMLANDS LÄN</t>
        </is>
      </c>
      <c r="E8557" t="inlineStr">
        <is>
          <t>ARVIKA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135-2023</t>
        </is>
      </c>
      <c r="B8558" s="1" t="n">
        <v>44921</v>
      </c>
      <c r="C8558" s="1" t="n">
        <v>45736</v>
      </c>
      <c r="D8558" t="inlineStr">
        <is>
          <t>VÄRMLANDS LÄN</t>
        </is>
      </c>
      <c r="E8558" t="inlineStr">
        <is>
          <t>SÄFFLE</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62139-2022</t>
        </is>
      </c>
      <c r="B8559" s="1" t="n">
        <v>44922</v>
      </c>
      <c r="C8559" s="1" t="n">
        <v>45736</v>
      </c>
      <c r="D8559" t="inlineStr">
        <is>
          <t>VÄRMLANDS LÄN</t>
        </is>
      </c>
      <c r="E8559" t="inlineStr">
        <is>
          <t>ARVIKA</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62240-2022</t>
        </is>
      </c>
      <c r="B8560" s="1" t="n">
        <v>44922</v>
      </c>
      <c r="C8560" s="1" t="n">
        <v>45736</v>
      </c>
      <c r="D8560" t="inlineStr">
        <is>
          <t>VÄRMLANDS LÄN</t>
        </is>
      </c>
      <c r="E8560" t="inlineStr">
        <is>
          <t>ÅRJÄNG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62175-2022</t>
        </is>
      </c>
      <c r="B8561" s="1" t="n">
        <v>44922</v>
      </c>
      <c r="C8561" s="1" t="n">
        <v>45736</v>
      </c>
      <c r="D8561" t="inlineStr">
        <is>
          <t>VÄRMLANDS LÄN</t>
        </is>
      </c>
      <c r="E8561" t="inlineStr">
        <is>
          <t>SUNNE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62183-2022</t>
        </is>
      </c>
      <c r="B8562" s="1" t="n">
        <v>44922</v>
      </c>
      <c r="C8562" s="1" t="n">
        <v>45736</v>
      </c>
      <c r="D8562" t="inlineStr">
        <is>
          <t>VÄRMLANDS LÄN</t>
        </is>
      </c>
      <c r="E8562" t="inlineStr">
        <is>
          <t>SUNNE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375-2023</t>
        </is>
      </c>
      <c r="B8563" s="1" t="n">
        <v>44922</v>
      </c>
      <c r="C8563" s="1" t="n">
        <v>45736</v>
      </c>
      <c r="D8563" t="inlineStr">
        <is>
          <t>VÄRMLANDS LÄN</t>
        </is>
      </c>
      <c r="E8563" t="inlineStr">
        <is>
          <t>ARVIKA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245-2023</t>
        </is>
      </c>
      <c r="B8564" s="1" t="n">
        <v>44922</v>
      </c>
      <c r="C8564" s="1" t="n">
        <v>45736</v>
      </c>
      <c r="D8564" t="inlineStr">
        <is>
          <t>VÄRMLANDS LÄN</t>
        </is>
      </c>
      <c r="E8564" t="inlineStr">
        <is>
          <t>ARVIKA</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382-2023</t>
        </is>
      </c>
      <c r="B8565" s="1" t="n">
        <v>44922</v>
      </c>
      <c r="C8565" s="1" t="n">
        <v>45736</v>
      </c>
      <c r="D8565" t="inlineStr">
        <is>
          <t>VÄRMLANDS LÄN</t>
        </is>
      </c>
      <c r="E8565" t="inlineStr">
        <is>
          <t>ARVIKA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374-2023</t>
        </is>
      </c>
      <c r="B8566" s="1" t="n">
        <v>44922</v>
      </c>
      <c r="C8566" s="1" t="n">
        <v>45736</v>
      </c>
      <c r="D8566" t="inlineStr">
        <is>
          <t>VÄRMLANDS LÄN</t>
        </is>
      </c>
      <c r="E8566" t="inlineStr">
        <is>
          <t>ARVIKA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379-2023</t>
        </is>
      </c>
      <c r="B8567" s="1" t="n">
        <v>44922</v>
      </c>
      <c r="C8567" s="1" t="n">
        <v>45736</v>
      </c>
      <c r="D8567" t="inlineStr">
        <is>
          <t>VÄRMLANDS LÄN</t>
        </is>
      </c>
      <c r="E8567" t="inlineStr">
        <is>
          <t>ARVIKA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62301-2022</t>
        </is>
      </c>
      <c r="B8568" s="1" t="n">
        <v>44923</v>
      </c>
      <c r="C8568" s="1" t="n">
        <v>45736</v>
      </c>
      <c r="D8568" t="inlineStr">
        <is>
          <t>VÄRMLANDS LÄN</t>
        </is>
      </c>
      <c r="E8568" t="inlineStr">
        <is>
          <t>SUNNE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62310-2022</t>
        </is>
      </c>
      <c r="B8569" s="1" t="n">
        <v>44923</v>
      </c>
      <c r="C8569" s="1" t="n">
        <v>45736</v>
      </c>
      <c r="D8569" t="inlineStr">
        <is>
          <t>VÄRMLANDS LÄN</t>
        </is>
      </c>
      <c r="E8569" t="inlineStr">
        <is>
          <t>ÅRJÄNG</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359-2023</t>
        </is>
      </c>
      <c r="B8570" s="1" t="n">
        <v>44923</v>
      </c>
      <c r="C8570" s="1" t="n">
        <v>45736</v>
      </c>
      <c r="D8570" t="inlineStr">
        <is>
          <t>VÄRMLANDS LÄN</t>
        </is>
      </c>
      <c r="E8570" t="inlineStr">
        <is>
          <t>KRISTINEHAMN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355-2023</t>
        </is>
      </c>
      <c r="B8571" s="1" t="n">
        <v>44923</v>
      </c>
      <c r="C8571" s="1" t="n">
        <v>45736</v>
      </c>
      <c r="D8571" t="inlineStr">
        <is>
          <t>VÄRMLANDS LÄN</t>
        </is>
      </c>
      <c r="E8571" t="inlineStr">
        <is>
          <t>KARLSTAD</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345-2023</t>
        </is>
      </c>
      <c r="B8572" s="1" t="n">
        <v>44923</v>
      </c>
      <c r="C8572" s="1" t="n">
        <v>45736</v>
      </c>
      <c r="D8572" t="inlineStr">
        <is>
          <t>VÄRMLANDS LÄN</t>
        </is>
      </c>
      <c r="E8572" t="inlineStr">
        <is>
          <t>TORSBY</t>
        </is>
      </c>
      <c r="G8572" t="n">
        <v>9.4</v>
      </c>
      <c r="H8572" t="n">
        <v>0</v>
      </c>
      <c r="I8572" t="n">
        <v>0</v>
      </c>
      <c r="J8572" t="n">
        <v>0</v>
      </c>
      <c r="K8572" t="n">
        <v>0</v>
      </c>
      <c r="L8572" t="n">
        <v>0</v>
      </c>
      <c r="M8572" t="n">
        <v>0</v>
      </c>
      <c r="N8572" t="n">
        <v>0</v>
      </c>
      <c r="O8572" t="n">
        <v>0</v>
      </c>
      <c r="P8572" t="n">
        <v>0</v>
      </c>
      <c r="Q8572" t="n">
        <v>0</v>
      </c>
      <c r="R8572" s="2" t="inlineStr"/>
    </row>
    <row r="8573" ht="15" customHeight="1">
      <c r="A8573" t="inlineStr">
        <is>
          <t>A 363-2023</t>
        </is>
      </c>
      <c r="B8573" s="1" t="n">
        <v>44923</v>
      </c>
      <c r="C8573" s="1" t="n">
        <v>45736</v>
      </c>
      <c r="D8573" t="inlineStr">
        <is>
          <t>VÄRMLANDS LÄN</t>
        </is>
      </c>
      <c r="E8573" t="inlineStr">
        <is>
          <t>TORSBY</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62417-2022</t>
        </is>
      </c>
      <c r="B8574" s="1" t="n">
        <v>44924</v>
      </c>
      <c r="C8574" s="1" t="n">
        <v>45736</v>
      </c>
      <c r="D8574" t="inlineStr">
        <is>
          <t>VÄRMLANDS LÄN</t>
        </is>
      </c>
      <c r="E8574" t="inlineStr">
        <is>
          <t>ARVIKA</t>
        </is>
      </c>
      <c r="F8574" t="inlineStr">
        <is>
          <t>Bergvik skog väst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62431-2022</t>
        </is>
      </c>
      <c r="B8575" s="1" t="n">
        <v>44924</v>
      </c>
      <c r="C8575" s="1" t="n">
        <v>45736</v>
      </c>
      <c r="D8575" t="inlineStr">
        <is>
          <t>VÄRMLANDS LÄN</t>
        </is>
      </c>
      <c r="E8575" t="inlineStr">
        <is>
          <t>ARVIKA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62453-2022</t>
        </is>
      </c>
      <c r="B8576" s="1" t="n">
        <v>44924</v>
      </c>
      <c r="C8576" s="1" t="n">
        <v>45736</v>
      </c>
      <c r="D8576" t="inlineStr">
        <is>
          <t>VÄRMLANDS LÄN</t>
        </is>
      </c>
      <c r="E8576" t="inlineStr">
        <is>
          <t>KRISTINEHAMN</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62476-2022</t>
        </is>
      </c>
      <c r="B8577" s="1" t="n">
        <v>44924</v>
      </c>
      <c r="C8577" s="1" t="n">
        <v>45736</v>
      </c>
      <c r="D8577" t="inlineStr">
        <is>
          <t>VÄRMLANDS LÄN</t>
        </is>
      </c>
      <c r="E8577" t="inlineStr">
        <is>
          <t>ÅRJÄNG</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62485-2022</t>
        </is>
      </c>
      <c r="B8578" s="1" t="n">
        <v>44924</v>
      </c>
      <c r="C8578" s="1" t="n">
        <v>45736</v>
      </c>
      <c r="D8578" t="inlineStr">
        <is>
          <t>VÄRMLANDS LÄN</t>
        </is>
      </c>
      <c r="E8578" t="inlineStr">
        <is>
          <t>ARVIKA</t>
        </is>
      </c>
      <c r="F8578" t="inlineStr">
        <is>
          <t>Bergvik skog väst AB</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62546-2022</t>
        </is>
      </c>
      <c r="B8579" s="1" t="n">
        <v>44924</v>
      </c>
      <c r="C8579" s="1" t="n">
        <v>45736</v>
      </c>
      <c r="D8579" t="inlineStr">
        <is>
          <t>VÄRMLANDS LÄN</t>
        </is>
      </c>
      <c r="E8579" t="inlineStr">
        <is>
          <t>HAGFORS</t>
        </is>
      </c>
      <c r="F8579" t="inlineStr">
        <is>
          <t>Bergvik skog väst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62557-2022</t>
        </is>
      </c>
      <c r="B8580" s="1" t="n">
        <v>44924</v>
      </c>
      <c r="C8580" s="1" t="n">
        <v>45736</v>
      </c>
      <c r="D8580" t="inlineStr">
        <is>
          <t>VÄRMLANDS LÄN</t>
        </is>
      </c>
      <c r="E8580" t="inlineStr">
        <is>
          <t>GRUMS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62484-2022</t>
        </is>
      </c>
      <c r="B8581" s="1" t="n">
        <v>44924</v>
      </c>
      <c r="C8581" s="1" t="n">
        <v>45736</v>
      </c>
      <c r="D8581" t="inlineStr">
        <is>
          <t>VÄRMLANDS LÄN</t>
        </is>
      </c>
      <c r="E8581" t="inlineStr">
        <is>
          <t>SUNNE</t>
        </is>
      </c>
      <c r="F8581" t="inlineStr">
        <is>
          <t>Bergvik skog väst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62428-2022</t>
        </is>
      </c>
      <c r="B8582" s="1" t="n">
        <v>44924</v>
      </c>
      <c r="C8582" s="1" t="n">
        <v>45736</v>
      </c>
      <c r="D8582" t="inlineStr">
        <is>
          <t>VÄRMLANDS LÄN</t>
        </is>
      </c>
      <c r="E8582" t="inlineStr">
        <is>
          <t>ARVIKA</t>
        </is>
      </c>
      <c r="G8582" t="n">
        <v>10</v>
      </c>
      <c r="H8582" t="n">
        <v>0</v>
      </c>
      <c r="I8582" t="n">
        <v>0</v>
      </c>
      <c r="J8582" t="n">
        <v>0</v>
      </c>
      <c r="K8582" t="n">
        <v>0</v>
      </c>
      <c r="L8582" t="n">
        <v>0</v>
      </c>
      <c r="M8582" t="n">
        <v>0</v>
      </c>
      <c r="N8582" t="n">
        <v>0</v>
      </c>
      <c r="O8582" t="n">
        <v>0</v>
      </c>
      <c r="P8582" t="n">
        <v>0</v>
      </c>
      <c r="Q8582" t="n">
        <v>0</v>
      </c>
      <c r="R8582" s="2" t="inlineStr"/>
    </row>
    <row r="8583" ht="15" customHeight="1">
      <c r="A8583" t="inlineStr">
        <is>
          <t>A 62466-2022</t>
        </is>
      </c>
      <c r="B8583" s="1" t="n">
        <v>44924</v>
      </c>
      <c r="C8583" s="1" t="n">
        <v>45736</v>
      </c>
      <c r="D8583" t="inlineStr">
        <is>
          <t>VÄRMLANDS LÄN</t>
        </is>
      </c>
      <c r="E8583" t="inlineStr">
        <is>
          <t>ARVIKA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62555-2022</t>
        </is>
      </c>
      <c r="B8584" s="1" t="n">
        <v>44924</v>
      </c>
      <c r="C8584" s="1" t="n">
        <v>45736</v>
      </c>
      <c r="D8584" t="inlineStr">
        <is>
          <t>VÄRMLANDS LÄN</t>
        </is>
      </c>
      <c r="E8584" t="inlineStr">
        <is>
          <t>HAGFORS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62497-2022</t>
        </is>
      </c>
      <c r="B8585" s="1" t="n">
        <v>44924</v>
      </c>
      <c r="C8585" s="1" t="n">
        <v>45736</v>
      </c>
      <c r="D8585" t="inlineStr">
        <is>
          <t>VÄRMLANDS LÄN</t>
        </is>
      </c>
      <c r="E8585" t="inlineStr">
        <is>
          <t>HAGFORS</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62550-2022</t>
        </is>
      </c>
      <c r="B8586" s="1" t="n">
        <v>44924</v>
      </c>
      <c r="C8586" s="1" t="n">
        <v>45736</v>
      </c>
      <c r="D8586" t="inlineStr">
        <is>
          <t>VÄRMLANDS LÄN</t>
        </is>
      </c>
      <c r="E8586" t="inlineStr">
        <is>
          <t>SÄFFLE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62554-2022</t>
        </is>
      </c>
      <c r="B8587" s="1" t="n">
        <v>44924</v>
      </c>
      <c r="C8587" s="1" t="n">
        <v>45736</v>
      </c>
      <c r="D8587" t="inlineStr">
        <is>
          <t>VÄRMLANDS LÄN</t>
        </is>
      </c>
      <c r="E8587" t="inlineStr">
        <is>
          <t>GRUMS</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62574-2022</t>
        </is>
      </c>
      <c r="B8588" s="1" t="n">
        <v>44924</v>
      </c>
      <c r="C8588" s="1" t="n">
        <v>45736</v>
      </c>
      <c r="D8588" t="inlineStr">
        <is>
          <t>VÄRMLANDS LÄN</t>
        </is>
      </c>
      <c r="E8588" t="inlineStr">
        <is>
          <t>TORSBY</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62611-2022</t>
        </is>
      </c>
      <c r="B8589" s="1" t="n">
        <v>44925</v>
      </c>
      <c r="C8589" s="1" t="n">
        <v>45736</v>
      </c>
      <c r="D8589" t="inlineStr">
        <is>
          <t>VÄRMLANDS LÄN</t>
        </is>
      </c>
      <c r="E8589" t="inlineStr">
        <is>
          <t>EDA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62660-2022</t>
        </is>
      </c>
      <c r="B8590" s="1" t="n">
        <v>44925</v>
      </c>
      <c r="C8590" s="1" t="n">
        <v>45736</v>
      </c>
      <c r="D8590" t="inlineStr">
        <is>
          <t>VÄRMLANDS LÄN</t>
        </is>
      </c>
      <c r="E8590" t="inlineStr">
        <is>
          <t>EDA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62661-2022</t>
        </is>
      </c>
      <c r="B8591" s="1" t="n">
        <v>44925</v>
      </c>
      <c r="C8591" s="1" t="n">
        <v>45736</v>
      </c>
      <c r="D8591" t="inlineStr">
        <is>
          <t>VÄRMLANDS LÄN</t>
        </is>
      </c>
      <c r="E8591" t="inlineStr">
        <is>
          <t>EDA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2-2023</t>
        </is>
      </c>
      <c r="B8592" s="1" t="n">
        <v>44927</v>
      </c>
      <c r="C8592" s="1" t="n">
        <v>45736</v>
      </c>
      <c r="D8592" t="inlineStr">
        <is>
          <t>VÄRMLANDS LÄN</t>
        </is>
      </c>
      <c r="E8592" t="inlineStr">
        <is>
          <t>KIL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3-2023</t>
        </is>
      </c>
      <c r="B8593" s="1" t="n">
        <v>44927</v>
      </c>
      <c r="C8593" s="1" t="n">
        <v>45736</v>
      </c>
      <c r="D8593" t="inlineStr">
        <is>
          <t>VÄRMLANDS LÄN</t>
        </is>
      </c>
      <c r="E8593" t="inlineStr">
        <is>
          <t>KIL</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126-2023</t>
        </is>
      </c>
      <c r="B8594" s="1" t="n">
        <v>44928</v>
      </c>
      <c r="C8594" s="1" t="n">
        <v>45736</v>
      </c>
      <c r="D8594" t="inlineStr">
        <is>
          <t>VÄRMLANDS LÄN</t>
        </is>
      </c>
      <c r="E8594" t="inlineStr">
        <is>
          <t>KARLSTAD</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209-2023</t>
        </is>
      </c>
      <c r="B8595" s="1" t="n">
        <v>44928</v>
      </c>
      <c r="C8595" s="1" t="n">
        <v>45736</v>
      </c>
      <c r="D8595" t="inlineStr">
        <is>
          <t>VÄRMLANDS LÄN</t>
        </is>
      </c>
      <c r="E8595" t="inlineStr">
        <is>
          <t>ARVIKA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53-2023</t>
        </is>
      </c>
      <c r="B8596" s="1" t="n">
        <v>44928</v>
      </c>
      <c r="C8596" s="1" t="n">
        <v>45736</v>
      </c>
      <c r="D8596" t="inlineStr">
        <is>
          <t>VÄRMLANDS LÄN</t>
        </is>
      </c>
      <c r="E8596" t="inlineStr">
        <is>
          <t>SUNNE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261-2023</t>
        </is>
      </c>
      <c r="B8597" s="1" t="n">
        <v>44928</v>
      </c>
      <c r="C8597" s="1" t="n">
        <v>45736</v>
      </c>
      <c r="D8597" t="inlineStr">
        <is>
          <t>VÄRMLANDS LÄN</t>
        </is>
      </c>
      <c r="E8597" t="inlineStr">
        <is>
          <t>SUNNE</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127-2023</t>
        </is>
      </c>
      <c r="B8598" s="1" t="n">
        <v>44928</v>
      </c>
      <c r="C8598" s="1" t="n">
        <v>45736</v>
      </c>
      <c r="D8598" t="inlineStr">
        <is>
          <t>VÄRMLANDS LÄN</t>
        </is>
      </c>
      <c r="E8598" t="inlineStr">
        <is>
          <t>MUNKFORS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262-2023</t>
        </is>
      </c>
      <c r="B8599" s="1" t="n">
        <v>44928</v>
      </c>
      <c r="C8599" s="1" t="n">
        <v>45736</v>
      </c>
      <c r="D8599" t="inlineStr">
        <is>
          <t>VÄRMLANDS LÄN</t>
        </is>
      </c>
      <c r="E8599" t="inlineStr">
        <is>
          <t>SUNNE</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74-2023</t>
        </is>
      </c>
      <c r="B8600" s="1" t="n">
        <v>44928</v>
      </c>
      <c r="C8600" s="1" t="n">
        <v>45736</v>
      </c>
      <c r="D8600" t="inlineStr">
        <is>
          <t>VÄRMLANDS LÄN</t>
        </is>
      </c>
      <c r="E8600" t="inlineStr">
        <is>
          <t>ÅRJÄNG</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83-2023</t>
        </is>
      </c>
      <c r="B8601" s="1" t="n">
        <v>44928</v>
      </c>
      <c r="C8601" s="1" t="n">
        <v>45736</v>
      </c>
      <c r="D8601" t="inlineStr">
        <is>
          <t>VÄRMLANDS LÄN</t>
        </is>
      </c>
      <c r="E8601" t="inlineStr">
        <is>
          <t>ÅRJÄNG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125-2023</t>
        </is>
      </c>
      <c r="B8602" s="1" t="n">
        <v>44928</v>
      </c>
      <c r="C8602" s="1" t="n">
        <v>45736</v>
      </c>
      <c r="D8602" t="inlineStr">
        <is>
          <t>VÄRMLANDS LÄN</t>
        </is>
      </c>
      <c r="E8602" t="inlineStr">
        <is>
          <t>EDA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157-2023</t>
        </is>
      </c>
      <c r="B8603" s="1" t="n">
        <v>44928</v>
      </c>
      <c r="C8603" s="1" t="n">
        <v>45736</v>
      </c>
      <c r="D8603" t="inlineStr">
        <is>
          <t>VÄRMLANDS LÄN</t>
        </is>
      </c>
      <c r="E8603" t="inlineStr">
        <is>
          <t>HAGFORS</t>
        </is>
      </c>
      <c r="F8603" t="inlineStr">
        <is>
          <t>Bergvik skog väst AB</t>
        </is>
      </c>
      <c r="G8603" t="n">
        <v>63.2</v>
      </c>
      <c r="H8603" t="n">
        <v>0</v>
      </c>
      <c r="I8603" t="n">
        <v>0</v>
      </c>
      <c r="J8603" t="n">
        <v>0</v>
      </c>
      <c r="K8603" t="n">
        <v>0</v>
      </c>
      <c r="L8603" t="n">
        <v>0</v>
      </c>
      <c r="M8603" t="n">
        <v>0</v>
      </c>
      <c r="N8603" t="n">
        <v>0</v>
      </c>
      <c r="O8603" t="n">
        <v>0</v>
      </c>
      <c r="P8603" t="n">
        <v>0</v>
      </c>
      <c r="Q8603" t="n">
        <v>0</v>
      </c>
      <c r="R8603" s="2" t="inlineStr"/>
    </row>
    <row r="8604" ht="15" customHeight="1">
      <c r="A8604" t="inlineStr">
        <is>
          <t>A 222-2023</t>
        </is>
      </c>
      <c r="B8604" s="1" t="n">
        <v>44928</v>
      </c>
      <c r="C8604" s="1" t="n">
        <v>45736</v>
      </c>
      <c r="D8604" t="inlineStr">
        <is>
          <t>VÄRMLANDS LÄN</t>
        </is>
      </c>
      <c r="E8604" t="inlineStr">
        <is>
          <t>ARVIKA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260-2023</t>
        </is>
      </c>
      <c r="B8605" s="1" t="n">
        <v>44928</v>
      </c>
      <c r="C8605" s="1" t="n">
        <v>45736</v>
      </c>
      <c r="D8605" t="inlineStr">
        <is>
          <t>VÄRMLANDS LÄN</t>
        </is>
      </c>
      <c r="E8605" t="inlineStr">
        <is>
          <t>SUNNE</t>
        </is>
      </c>
      <c r="G8605" t="n">
        <v>16.1</v>
      </c>
      <c r="H8605" t="n">
        <v>0</v>
      </c>
      <c r="I8605" t="n">
        <v>0</v>
      </c>
      <c r="J8605" t="n">
        <v>0</v>
      </c>
      <c r="K8605" t="n">
        <v>0</v>
      </c>
      <c r="L8605" t="n">
        <v>0</v>
      </c>
      <c r="M8605" t="n">
        <v>0</v>
      </c>
      <c r="N8605" t="n">
        <v>0</v>
      </c>
      <c r="O8605" t="n">
        <v>0</v>
      </c>
      <c r="P8605" t="n">
        <v>0</v>
      </c>
      <c r="Q8605" t="n">
        <v>0</v>
      </c>
      <c r="R8605" s="2" t="inlineStr"/>
    </row>
    <row r="8606" ht="15" customHeight="1">
      <c r="A8606" t="inlineStr">
        <is>
          <t>A 269-2023</t>
        </is>
      </c>
      <c r="B8606" s="1" t="n">
        <v>44928</v>
      </c>
      <c r="C8606" s="1" t="n">
        <v>45736</v>
      </c>
      <c r="D8606" t="inlineStr">
        <is>
          <t>VÄRMLANDS LÄN</t>
        </is>
      </c>
      <c r="E8606" t="inlineStr">
        <is>
          <t>ÅRJÄNG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268-2023</t>
        </is>
      </c>
      <c r="B8607" s="1" t="n">
        <v>44928</v>
      </c>
      <c r="C8607" s="1" t="n">
        <v>45736</v>
      </c>
      <c r="D8607" t="inlineStr">
        <is>
          <t>VÄRMLANDS LÄN</t>
        </is>
      </c>
      <c r="E8607" t="inlineStr">
        <is>
          <t>ÅRJÄNG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341-2023</t>
        </is>
      </c>
      <c r="B8608" s="1" t="n">
        <v>44929</v>
      </c>
      <c r="C8608" s="1" t="n">
        <v>45736</v>
      </c>
      <c r="D8608" t="inlineStr">
        <is>
          <t>VÄRMLANDS LÄN</t>
        </is>
      </c>
      <c r="E8608" t="inlineStr">
        <is>
          <t>HAGFORS</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336-2023</t>
        </is>
      </c>
      <c r="B8609" s="1" t="n">
        <v>44929</v>
      </c>
      <c r="C8609" s="1" t="n">
        <v>45736</v>
      </c>
      <c r="D8609" t="inlineStr">
        <is>
          <t>VÄRMLANDS LÄN</t>
        </is>
      </c>
      <c r="E8609" t="inlineStr">
        <is>
          <t>SÄFFLE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1082-2023</t>
        </is>
      </c>
      <c r="B8610" s="1" t="n">
        <v>44929</v>
      </c>
      <c r="C8610" s="1" t="n">
        <v>45736</v>
      </c>
      <c r="D8610" t="inlineStr">
        <is>
          <t>VÄRMLANDS LÄN</t>
        </is>
      </c>
      <c r="E8610" t="inlineStr">
        <is>
          <t>HAGFORS</t>
        </is>
      </c>
      <c r="F8610" t="inlineStr">
        <is>
          <t>Kyrkan</t>
        </is>
      </c>
      <c r="G8610" t="n">
        <v>11.5</v>
      </c>
      <c r="H8610" t="n">
        <v>0</v>
      </c>
      <c r="I8610" t="n">
        <v>0</v>
      </c>
      <c r="J8610" t="n">
        <v>0</v>
      </c>
      <c r="K8610" t="n">
        <v>0</v>
      </c>
      <c r="L8610" t="n">
        <v>0</v>
      </c>
      <c r="M8610" t="n">
        <v>0</v>
      </c>
      <c r="N8610" t="n">
        <v>0</v>
      </c>
      <c r="O8610" t="n">
        <v>0</v>
      </c>
      <c r="P8610" t="n">
        <v>0</v>
      </c>
      <c r="Q8610" t="n">
        <v>0</v>
      </c>
      <c r="R8610" s="2" t="inlineStr"/>
    </row>
    <row r="8611" ht="15" customHeight="1">
      <c r="A8611" t="inlineStr">
        <is>
          <t>A 513-2023</t>
        </is>
      </c>
      <c r="B8611" s="1" t="n">
        <v>44930</v>
      </c>
      <c r="C8611" s="1" t="n">
        <v>45736</v>
      </c>
      <c r="D8611" t="inlineStr">
        <is>
          <t>VÄRMLANDS LÄN</t>
        </is>
      </c>
      <c r="E8611" t="inlineStr">
        <is>
          <t>SUNNE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585-2023</t>
        </is>
      </c>
      <c r="B8612" s="1" t="n">
        <v>44930</v>
      </c>
      <c r="C8612" s="1" t="n">
        <v>45736</v>
      </c>
      <c r="D8612" t="inlineStr">
        <is>
          <t>VÄRMLANDS LÄN</t>
        </is>
      </c>
      <c r="E8612" t="inlineStr">
        <is>
          <t>EDA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570-2023</t>
        </is>
      </c>
      <c r="B8613" s="1" t="n">
        <v>44930</v>
      </c>
      <c r="C8613" s="1" t="n">
        <v>45736</v>
      </c>
      <c r="D8613" t="inlineStr">
        <is>
          <t>VÄRMLANDS LÄN</t>
        </is>
      </c>
      <c r="E8613" t="inlineStr">
        <is>
          <t>HAGFORS</t>
        </is>
      </c>
      <c r="F8613" t="inlineStr">
        <is>
          <t>Bergvik skog väst AB</t>
        </is>
      </c>
      <c r="G8613" t="n">
        <v>16.3</v>
      </c>
      <c r="H8613" t="n">
        <v>0</v>
      </c>
      <c r="I8613" t="n">
        <v>0</v>
      </c>
      <c r="J8613" t="n">
        <v>0</v>
      </c>
      <c r="K8613" t="n">
        <v>0</v>
      </c>
      <c r="L8613" t="n">
        <v>0</v>
      </c>
      <c r="M8613" t="n">
        <v>0</v>
      </c>
      <c r="N8613" t="n">
        <v>0</v>
      </c>
      <c r="O8613" t="n">
        <v>0</v>
      </c>
      <c r="P8613" t="n">
        <v>0</v>
      </c>
      <c r="Q8613" t="n">
        <v>0</v>
      </c>
      <c r="R8613" s="2" t="inlineStr"/>
    </row>
    <row r="8614" ht="15" customHeight="1">
      <c r="A8614" t="inlineStr">
        <is>
          <t>A 487-2023</t>
        </is>
      </c>
      <c r="B8614" s="1" t="n">
        <v>44930</v>
      </c>
      <c r="C8614" s="1" t="n">
        <v>45736</v>
      </c>
      <c r="D8614" t="inlineStr">
        <is>
          <t>VÄRMLANDS LÄN</t>
        </is>
      </c>
      <c r="E8614" t="inlineStr">
        <is>
          <t>STORFORS</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522-2023</t>
        </is>
      </c>
      <c r="B8615" s="1" t="n">
        <v>44930</v>
      </c>
      <c r="C8615" s="1" t="n">
        <v>45736</v>
      </c>
      <c r="D8615" t="inlineStr">
        <is>
          <t>VÄRMLANDS LÄN</t>
        </is>
      </c>
      <c r="E8615" t="inlineStr">
        <is>
          <t>TORSBY</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666-2023</t>
        </is>
      </c>
      <c r="B8616" s="1" t="n">
        <v>44930</v>
      </c>
      <c r="C8616" s="1" t="n">
        <v>45736</v>
      </c>
      <c r="D8616" t="inlineStr">
        <is>
          <t>VÄRMLANDS LÄN</t>
        </is>
      </c>
      <c r="E8616" t="inlineStr">
        <is>
          <t>KIL</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783-2023</t>
        </is>
      </c>
      <c r="B8617" s="1" t="n">
        <v>44931</v>
      </c>
      <c r="C8617" s="1" t="n">
        <v>45736</v>
      </c>
      <c r="D8617" t="inlineStr">
        <is>
          <t>VÄRMLANDS LÄN</t>
        </is>
      </c>
      <c r="E8617" t="inlineStr">
        <is>
          <t>ARVIKA</t>
        </is>
      </c>
      <c r="F8617" t="inlineStr">
        <is>
          <t>Bergvik skog väst AB</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820-2023</t>
        </is>
      </c>
      <c r="B8618" s="1" t="n">
        <v>44931</v>
      </c>
      <c r="C8618" s="1" t="n">
        <v>45736</v>
      </c>
      <c r="D8618" t="inlineStr">
        <is>
          <t>VÄRMLANDS LÄN</t>
        </is>
      </c>
      <c r="E8618" t="inlineStr">
        <is>
          <t>FORSHAGA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862-2023</t>
        </is>
      </c>
      <c r="B8619" s="1" t="n">
        <v>44931</v>
      </c>
      <c r="C8619" s="1" t="n">
        <v>45736</v>
      </c>
      <c r="D8619" t="inlineStr">
        <is>
          <t>VÄRMLANDS LÄN</t>
        </is>
      </c>
      <c r="E8619" t="inlineStr">
        <is>
          <t>ARVIKA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1248-2023</t>
        </is>
      </c>
      <c r="B8620" s="1" t="n">
        <v>44931</v>
      </c>
      <c r="C8620" s="1" t="n">
        <v>45736</v>
      </c>
      <c r="D8620" t="inlineStr">
        <is>
          <t>VÄRMLANDS LÄN</t>
        </is>
      </c>
      <c r="E8620" t="inlineStr">
        <is>
          <t>SUNNE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1250-2023</t>
        </is>
      </c>
      <c r="B8621" s="1" t="n">
        <v>44931</v>
      </c>
      <c r="C8621" s="1" t="n">
        <v>45736</v>
      </c>
      <c r="D8621" t="inlineStr">
        <is>
          <t>VÄRMLANDS LÄN</t>
        </is>
      </c>
      <c r="E8621" t="inlineStr">
        <is>
          <t>SUNNE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969-2023</t>
        </is>
      </c>
      <c r="B8622" s="1" t="n">
        <v>44935</v>
      </c>
      <c r="C8622" s="1" t="n">
        <v>45736</v>
      </c>
      <c r="D8622" t="inlineStr">
        <is>
          <t>VÄRMLANDS LÄN</t>
        </is>
      </c>
      <c r="E8622" t="inlineStr">
        <is>
          <t>ARVIKA</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998-2023</t>
        </is>
      </c>
      <c r="B8623" s="1" t="n">
        <v>44935</v>
      </c>
      <c r="C8623" s="1" t="n">
        <v>45736</v>
      </c>
      <c r="D8623" t="inlineStr">
        <is>
          <t>VÄRMLANDS LÄN</t>
        </is>
      </c>
      <c r="E8623" t="inlineStr">
        <is>
          <t>EDA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1003-2023</t>
        </is>
      </c>
      <c r="B8624" s="1" t="n">
        <v>44935</v>
      </c>
      <c r="C8624" s="1" t="n">
        <v>45736</v>
      </c>
      <c r="D8624" t="inlineStr">
        <is>
          <t>VÄRMLANDS LÄN</t>
        </is>
      </c>
      <c r="E8624" t="inlineStr">
        <is>
          <t>TORSBY</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1014-2023</t>
        </is>
      </c>
      <c r="B8625" s="1" t="n">
        <v>44935</v>
      </c>
      <c r="C8625" s="1" t="n">
        <v>45736</v>
      </c>
      <c r="D8625" t="inlineStr">
        <is>
          <t>VÄRMLANDS LÄN</t>
        </is>
      </c>
      <c r="E8625" t="inlineStr">
        <is>
          <t>SUNNE</t>
        </is>
      </c>
      <c r="F8625" t="inlineStr">
        <is>
          <t>Bergvik skog väst AB</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978-2023</t>
        </is>
      </c>
      <c r="B8626" s="1" t="n">
        <v>44935</v>
      </c>
      <c r="C8626" s="1" t="n">
        <v>45736</v>
      </c>
      <c r="D8626" t="inlineStr">
        <is>
          <t>VÄRMLANDS LÄN</t>
        </is>
      </c>
      <c r="E8626" t="inlineStr">
        <is>
          <t>SUNNE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1042-2023</t>
        </is>
      </c>
      <c r="B8627" s="1" t="n">
        <v>44935</v>
      </c>
      <c r="C8627" s="1" t="n">
        <v>45736</v>
      </c>
      <c r="D8627" t="inlineStr">
        <is>
          <t>VÄRMLANDS LÄN</t>
        </is>
      </c>
      <c r="E8627" t="inlineStr">
        <is>
          <t>FILIPSTAD</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1009-2023</t>
        </is>
      </c>
      <c r="B8628" s="1" t="n">
        <v>44935</v>
      </c>
      <c r="C8628" s="1" t="n">
        <v>45736</v>
      </c>
      <c r="D8628" t="inlineStr">
        <is>
          <t>VÄRMLANDS LÄN</t>
        </is>
      </c>
      <c r="E8628" t="inlineStr">
        <is>
          <t>SUNNE</t>
        </is>
      </c>
      <c r="F8628" t="inlineStr">
        <is>
          <t>Bergvik skog väst AB</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1120-2023</t>
        </is>
      </c>
      <c r="B8629" s="1" t="n">
        <v>44935</v>
      </c>
      <c r="C8629" s="1" t="n">
        <v>45736</v>
      </c>
      <c r="D8629" t="inlineStr">
        <is>
          <t>VÄRMLANDS LÄN</t>
        </is>
      </c>
      <c r="E8629" t="inlineStr">
        <is>
          <t>TORSBY</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1144-2023</t>
        </is>
      </c>
      <c r="B8630" s="1" t="n">
        <v>44935</v>
      </c>
      <c r="C8630" s="1" t="n">
        <v>45736</v>
      </c>
      <c r="D8630" t="inlineStr">
        <is>
          <t>VÄRMLANDS LÄN</t>
        </is>
      </c>
      <c r="E8630" t="inlineStr">
        <is>
          <t>KARLSTAD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1166-2023</t>
        </is>
      </c>
      <c r="B8631" s="1" t="n">
        <v>44935</v>
      </c>
      <c r="C8631" s="1" t="n">
        <v>45736</v>
      </c>
      <c r="D8631" t="inlineStr">
        <is>
          <t>VÄRMLANDS LÄN</t>
        </is>
      </c>
      <c r="E8631" t="inlineStr">
        <is>
          <t>TORSBY</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1200-2023</t>
        </is>
      </c>
      <c r="B8632" s="1" t="n">
        <v>44935</v>
      </c>
      <c r="C8632" s="1" t="n">
        <v>45736</v>
      </c>
      <c r="D8632" t="inlineStr">
        <is>
          <t>VÄRMLANDS LÄN</t>
        </is>
      </c>
      <c r="E8632" t="inlineStr">
        <is>
          <t>ÅRJÄNG</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1117-2023</t>
        </is>
      </c>
      <c r="B8633" s="1" t="n">
        <v>44935</v>
      </c>
      <c r="C8633" s="1" t="n">
        <v>45736</v>
      </c>
      <c r="D8633" t="inlineStr">
        <is>
          <t>VÄRMLANDS LÄN</t>
        </is>
      </c>
      <c r="E8633" t="inlineStr">
        <is>
          <t>SUNNE</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1123-2023</t>
        </is>
      </c>
      <c r="B8634" s="1" t="n">
        <v>44935</v>
      </c>
      <c r="C8634" s="1" t="n">
        <v>45736</v>
      </c>
      <c r="D8634" t="inlineStr">
        <is>
          <t>VÄRMLANDS LÄN</t>
        </is>
      </c>
      <c r="E8634" t="inlineStr">
        <is>
          <t>TORSBY</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1153-2023</t>
        </is>
      </c>
      <c r="B8635" s="1" t="n">
        <v>44935</v>
      </c>
      <c r="C8635" s="1" t="n">
        <v>45736</v>
      </c>
      <c r="D8635" t="inlineStr">
        <is>
          <t>VÄRMLANDS LÄN</t>
        </is>
      </c>
      <c r="E8635" t="inlineStr">
        <is>
          <t>ÅRJÄNG</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1170-2023</t>
        </is>
      </c>
      <c r="B8636" s="1" t="n">
        <v>44935</v>
      </c>
      <c r="C8636" s="1" t="n">
        <v>45736</v>
      </c>
      <c r="D8636" t="inlineStr">
        <is>
          <t>VÄRMLANDS LÄN</t>
        </is>
      </c>
      <c r="E8636" t="inlineStr">
        <is>
          <t>FILIPSTAD</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1203-2023</t>
        </is>
      </c>
      <c r="B8637" s="1" t="n">
        <v>44935</v>
      </c>
      <c r="C8637" s="1" t="n">
        <v>45736</v>
      </c>
      <c r="D8637" t="inlineStr">
        <is>
          <t>VÄRMLANDS LÄN</t>
        </is>
      </c>
      <c r="E8637" t="inlineStr">
        <is>
          <t>ÅRJÄNG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1133-2023</t>
        </is>
      </c>
      <c r="B8638" s="1" t="n">
        <v>44935</v>
      </c>
      <c r="C8638" s="1" t="n">
        <v>45736</v>
      </c>
      <c r="D8638" t="inlineStr">
        <is>
          <t>VÄRMLANDS LÄN</t>
        </is>
      </c>
      <c r="E8638" t="inlineStr">
        <is>
          <t>ARVIKA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1201-2023</t>
        </is>
      </c>
      <c r="B8639" s="1" t="n">
        <v>44935</v>
      </c>
      <c r="C8639" s="1" t="n">
        <v>45736</v>
      </c>
      <c r="D8639" t="inlineStr">
        <is>
          <t>VÄRMLANDS LÄN</t>
        </is>
      </c>
      <c r="E8639" t="inlineStr">
        <is>
          <t>ÅRJÄNG</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1165-2023</t>
        </is>
      </c>
      <c r="B8640" s="1" t="n">
        <v>44935</v>
      </c>
      <c r="C8640" s="1" t="n">
        <v>45736</v>
      </c>
      <c r="D8640" t="inlineStr">
        <is>
          <t>VÄRMLANDS LÄN</t>
        </is>
      </c>
      <c r="E8640" t="inlineStr">
        <is>
          <t>ARVIKA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1210-2023</t>
        </is>
      </c>
      <c r="B8641" s="1" t="n">
        <v>44935</v>
      </c>
      <c r="C8641" s="1" t="n">
        <v>45736</v>
      </c>
      <c r="D8641" t="inlineStr">
        <is>
          <t>VÄRMLANDS LÄN</t>
        </is>
      </c>
      <c r="E8641" t="inlineStr">
        <is>
          <t>EDA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1525-2023</t>
        </is>
      </c>
      <c r="B8642" s="1" t="n">
        <v>44935</v>
      </c>
      <c r="C8642" s="1" t="n">
        <v>45736</v>
      </c>
      <c r="D8642" t="inlineStr">
        <is>
          <t>VÄRMLANDS LÄN</t>
        </is>
      </c>
      <c r="E8642" t="inlineStr">
        <is>
          <t>KRISTINEHAMN</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1314-2023</t>
        </is>
      </c>
      <c r="B8643" s="1" t="n">
        <v>44936</v>
      </c>
      <c r="C8643" s="1" t="n">
        <v>45736</v>
      </c>
      <c r="D8643" t="inlineStr">
        <is>
          <t>VÄRMLANDS LÄN</t>
        </is>
      </c>
      <c r="E8643" t="inlineStr">
        <is>
          <t>STORFORS</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1320-2023</t>
        </is>
      </c>
      <c r="B8644" s="1" t="n">
        <v>44936</v>
      </c>
      <c r="C8644" s="1" t="n">
        <v>45736</v>
      </c>
      <c r="D8644" t="inlineStr">
        <is>
          <t>VÄRMLANDS LÄN</t>
        </is>
      </c>
      <c r="E8644" t="inlineStr">
        <is>
          <t>KIL</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1332-2023</t>
        </is>
      </c>
      <c r="B8645" s="1" t="n">
        <v>44936</v>
      </c>
      <c r="C8645" s="1" t="n">
        <v>45736</v>
      </c>
      <c r="D8645" t="inlineStr">
        <is>
          <t>VÄRMLANDS LÄN</t>
        </is>
      </c>
      <c r="E8645" t="inlineStr">
        <is>
          <t>KRISTINEHAMN</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1338-2023</t>
        </is>
      </c>
      <c r="B8646" s="1" t="n">
        <v>44936</v>
      </c>
      <c r="C8646" s="1" t="n">
        <v>45736</v>
      </c>
      <c r="D8646" t="inlineStr">
        <is>
          <t>VÄRMLANDS LÄN</t>
        </is>
      </c>
      <c r="E8646" t="inlineStr">
        <is>
          <t>FORSHAGA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1329-2023</t>
        </is>
      </c>
      <c r="B8647" s="1" t="n">
        <v>44936</v>
      </c>
      <c r="C8647" s="1" t="n">
        <v>45736</v>
      </c>
      <c r="D8647" t="inlineStr">
        <is>
          <t>VÄRMLANDS LÄN</t>
        </is>
      </c>
      <c r="E8647" t="inlineStr">
        <is>
          <t>SÄFFLE</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1387-2023</t>
        </is>
      </c>
      <c r="B8648" s="1" t="n">
        <v>44936</v>
      </c>
      <c r="C8648" s="1" t="n">
        <v>45736</v>
      </c>
      <c r="D8648" t="inlineStr">
        <is>
          <t>VÄRMLANDS LÄN</t>
        </is>
      </c>
      <c r="E8648" t="inlineStr">
        <is>
          <t>ARVIKA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1696-2023</t>
        </is>
      </c>
      <c r="B8649" s="1" t="n">
        <v>44936</v>
      </c>
      <c r="C8649" s="1" t="n">
        <v>45736</v>
      </c>
      <c r="D8649" t="inlineStr">
        <is>
          <t>VÄRMLANDS LÄN</t>
        </is>
      </c>
      <c r="E8649" t="inlineStr">
        <is>
          <t>SÄFFLE</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1377-2023</t>
        </is>
      </c>
      <c r="B8650" s="1" t="n">
        <v>44936</v>
      </c>
      <c r="C8650" s="1" t="n">
        <v>45736</v>
      </c>
      <c r="D8650" t="inlineStr">
        <is>
          <t>VÄRMLANDS LÄN</t>
        </is>
      </c>
      <c r="E8650" t="inlineStr">
        <is>
          <t>ÅRJÄNG</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1386-2023</t>
        </is>
      </c>
      <c r="B8651" s="1" t="n">
        <v>44936</v>
      </c>
      <c r="C8651" s="1" t="n">
        <v>45736</v>
      </c>
      <c r="D8651" t="inlineStr">
        <is>
          <t>VÄRMLANDS LÄN</t>
        </is>
      </c>
      <c r="E8651" t="inlineStr">
        <is>
          <t>TORSBY</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1547-2023</t>
        </is>
      </c>
      <c r="B8652" s="1" t="n">
        <v>44937</v>
      </c>
      <c r="C8652" s="1" t="n">
        <v>45736</v>
      </c>
      <c r="D8652" t="inlineStr">
        <is>
          <t>VÄRMLANDS LÄN</t>
        </is>
      </c>
      <c r="E8652" t="inlineStr">
        <is>
          <t>EDA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1565-2023</t>
        </is>
      </c>
      <c r="B8653" s="1" t="n">
        <v>44937</v>
      </c>
      <c r="C8653" s="1" t="n">
        <v>45736</v>
      </c>
      <c r="D8653" t="inlineStr">
        <is>
          <t>VÄRMLANDS LÄN</t>
        </is>
      </c>
      <c r="E8653" t="inlineStr">
        <is>
          <t>EDA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1435-2023</t>
        </is>
      </c>
      <c r="B8654" s="1" t="n">
        <v>44937</v>
      </c>
      <c r="C8654" s="1" t="n">
        <v>45736</v>
      </c>
      <c r="D8654" t="inlineStr">
        <is>
          <t>VÄRMLANDS LÄN</t>
        </is>
      </c>
      <c r="E8654" t="inlineStr">
        <is>
          <t>HAGFORS</t>
        </is>
      </c>
      <c r="F8654" t="inlineStr">
        <is>
          <t>Bergvik skog väst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1450-2023</t>
        </is>
      </c>
      <c r="B8655" s="1" t="n">
        <v>44937</v>
      </c>
      <c r="C8655" s="1" t="n">
        <v>45736</v>
      </c>
      <c r="D8655" t="inlineStr">
        <is>
          <t>VÄRMLANDS LÄN</t>
        </is>
      </c>
      <c r="E8655" t="inlineStr">
        <is>
          <t>KARLSTAD</t>
        </is>
      </c>
      <c r="F8655" t="inlineStr">
        <is>
          <t>Bergvik skog väst AB</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1464-2023</t>
        </is>
      </c>
      <c r="B8656" s="1" t="n">
        <v>44937</v>
      </c>
      <c r="C8656" s="1" t="n">
        <v>45736</v>
      </c>
      <c r="D8656" t="inlineStr">
        <is>
          <t>VÄRMLANDS LÄN</t>
        </is>
      </c>
      <c r="E8656" t="inlineStr">
        <is>
          <t>HAGFORS</t>
        </is>
      </c>
      <c r="F8656" t="inlineStr">
        <is>
          <t>Bergvik skog väst AB</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1438-2023</t>
        </is>
      </c>
      <c r="B8657" s="1" t="n">
        <v>44937</v>
      </c>
      <c r="C8657" s="1" t="n">
        <v>45736</v>
      </c>
      <c r="D8657" t="inlineStr">
        <is>
          <t>VÄRMLANDS LÄN</t>
        </is>
      </c>
      <c r="E8657" t="inlineStr">
        <is>
          <t>ARVIKA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1446-2023</t>
        </is>
      </c>
      <c r="B8658" s="1" t="n">
        <v>44937</v>
      </c>
      <c r="C8658" s="1" t="n">
        <v>45736</v>
      </c>
      <c r="D8658" t="inlineStr">
        <is>
          <t>VÄRMLANDS LÄN</t>
        </is>
      </c>
      <c r="E8658" t="inlineStr">
        <is>
          <t>KARLSTAD</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1512-2023</t>
        </is>
      </c>
      <c r="B8659" s="1" t="n">
        <v>44937</v>
      </c>
      <c r="C8659" s="1" t="n">
        <v>45736</v>
      </c>
      <c r="D8659" t="inlineStr">
        <is>
          <t>VÄRMLANDS LÄN</t>
        </is>
      </c>
      <c r="E8659" t="inlineStr">
        <is>
          <t>HAGFORS</t>
        </is>
      </c>
      <c r="F8659" t="inlineStr">
        <is>
          <t>Bergvik skog väst AB</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1536-2023</t>
        </is>
      </c>
      <c r="B8660" s="1" t="n">
        <v>44937</v>
      </c>
      <c r="C8660" s="1" t="n">
        <v>45736</v>
      </c>
      <c r="D8660" t="inlineStr">
        <is>
          <t>VÄRMLANDS LÄN</t>
        </is>
      </c>
      <c r="E8660" t="inlineStr">
        <is>
          <t>ARVIKA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1596-2023</t>
        </is>
      </c>
      <c r="B8661" s="1" t="n">
        <v>44937</v>
      </c>
      <c r="C8661" s="1" t="n">
        <v>45736</v>
      </c>
      <c r="D8661" t="inlineStr">
        <is>
          <t>VÄRMLANDS LÄN</t>
        </is>
      </c>
      <c r="E8661" t="inlineStr">
        <is>
          <t>KRISTINEHAMN</t>
        </is>
      </c>
      <c r="F8661" t="inlineStr">
        <is>
          <t>Bergvik skog väst AB</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1790-2023</t>
        </is>
      </c>
      <c r="B8662" s="1" t="n">
        <v>44937</v>
      </c>
      <c r="C8662" s="1" t="n">
        <v>45736</v>
      </c>
      <c r="D8662" t="inlineStr">
        <is>
          <t>VÄRMLANDS LÄN</t>
        </is>
      </c>
      <c r="E8662" t="inlineStr">
        <is>
          <t>SÄFFLE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1887-2023</t>
        </is>
      </c>
      <c r="B8663" s="1" t="n">
        <v>44937</v>
      </c>
      <c r="C8663" s="1" t="n">
        <v>45736</v>
      </c>
      <c r="D8663" t="inlineStr">
        <is>
          <t>VÄRMLANDS LÄN</t>
        </is>
      </c>
      <c r="E8663" t="inlineStr">
        <is>
          <t>EDA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1626-2023</t>
        </is>
      </c>
      <c r="B8664" s="1" t="n">
        <v>44937</v>
      </c>
      <c r="C8664" s="1" t="n">
        <v>45736</v>
      </c>
      <c r="D8664" t="inlineStr">
        <is>
          <t>VÄRMLANDS LÄN</t>
        </is>
      </c>
      <c r="E8664" t="inlineStr">
        <is>
          <t>SUNNE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1656-2023</t>
        </is>
      </c>
      <c r="B8665" s="1" t="n">
        <v>44938</v>
      </c>
      <c r="C8665" s="1" t="n">
        <v>45736</v>
      </c>
      <c r="D8665" t="inlineStr">
        <is>
          <t>VÄRMLANDS LÄN</t>
        </is>
      </c>
      <c r="E8665" t="inlineStr">
        <is>
          <t>FORSHAGA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1735-2023</t>
        </is>
      </c>
      <c r="B8666" s="1" t="n">
        <v>44938</v>
      </c>
      <c r="C8666" s="1" t="n">
        <v>45736</v>
      </c>
      <c r="D8666" t="inlineStr">
        <is>
          <t>VÄRMLANDS LÄN</t>
        </is>
      </c>
      <c r="E8666" t="inlineStr">
        <is>
          <t>HAGFORS</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1665-2023</t>
        </is>
      </c>
      <c r="B8667" s="1" t="n">
        <v>44938</v>
      </c>
      <c r="C8667" s="1" t="n">
        <v>45736</v>
      </c>
      <c r="D8667" t="inlineStr">
        <is>
          <t>VÄRMLANDS LÄN</t>
        </is>
      </c>
      <c r="E8667" t="inlineStr">
        <is>
          <t>ÅRJÄNG</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1734-2023</t>
        </is>
      </c>
      <c r="B8668" s="1" t="n">
        <v>44938</v>
      </c>
      <c r="C8668" s="1" t="n">
        <v>45736</v>
      </c>
      <c r="D8668" t="inlineStr">
        <is>
          <t>VÄRMLANDS LÄN</t>
        </is>
      </c>
      <c r="E8668" t="inlineStr">
        <is>
          <t>HAGFORS</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1675-2023</t>
        </is>
      </c>
      <c r="B8669" s="1" t="n">
        <v>44938</v>
      </c>
      <c r="C8669" s="1" t="n">
        <v>45736</v>
      </c>
      <c r="D8669" t="inlineStr">
        <is>
          <t>VÄRMLANDS LÄN</t>
        </is>
      </c>
      <c r="E8669" t="inlineStr">
        <is>
          <t>KARLSTAD</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1840-2023</t>
        </is>
      </c>
      <c r="B8670" s="1" t="n">
        <v>44938</v>
      </c>
      <c r="C8670" s="1" t="n">
        <v>45736</v>
      </c>
      <c r="D8670" t="inlineStr">
        <is>
          <t>VÄRMLANDS LÄN</t>
        </is>
      </c>
      <c r="E8670" t="inlineStr">
        <is>
          <t>STORFORS</t>
        </is>
      </c>
      <c r="F8670" t="inlineStr">
        <is>
          <t>Kyrkan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2046-2023</t>
        </is>
      </c>
      <c r="B8671" s="1" t="n">
        <v>44938</v>
      </c>
      <c r="C8671" s="1" t="n">
        <v>45736</v>
      </c>
      <c r="D8671" t="inlineStr">
        <is>
          <t>VÄRMLANDS LÄN</t>
        </is>
      </c>
      <c r="E8671" t="inlineStr">
        <is>
          <t>ARVIKA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1825-2023</t>
        </is>
      </c>
      <c r="B8672" s="1" t="n">
        <v>44938</v>
      </c>
      <c r="C8672" s="1" t="n">
        <v>45736</v>
      </c>
      <c r="D8672" t="inlineStr">
        <is>
          <t>VÄRMLANDS LÄN</t>
        </is>
      </c>
      <c r="E8672" t="inlineStr">
        <is>
          <t>STORFORS</t>
        </is>
      </c>
      <c r="F8672" t="inlineStr">
        <is>
          <t>Kyrkan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1834-2023</t>
        </is>
      </c>
      <c r="B8673" s="1" t="n">
        <v>44938</v>
      </c>
      <c r="C8673" s="1" t="n">
        <v>45736</v>
      </c>
      <c r="D8673" t="inlineStr">
        <is>
          <t>VÄRMLANDS LÄN</t>
        </is>
      </c>
      <c r="E8673" t="inlineStr">
        <is>
          <t>SÄFFLE</t>
        </is>
      </c>
      <c r="G8673" t="n">
        <v>10.7</v>
      </c>
      <c r="H8673" t="n">
        <v>0</v>
      </c>
      <c r="I8673" t="n">
        <v>0</v>
      </c>
      <c r="J8673" t="n">
        <v>0</v>
      </c>
      <c r="K8673" t="n">
        <v>0</v>
      </c>
      <c r="L8673" t="n">
        <v>0</v>
      </c>
      <c r="M8673" t="n">
        <v>0</v>
      </c>
      <c r="N8673" t="n">
        <v>0</v>
      </c>
      <c r="O8673" t="n">
        <v>0</v>
      </c>
      <c r="P8673" t="n">
        <v>0</v>
      </c>
      <c r="Q8673" t="n">
        <v>0</v>
      </c>
      <c r="R8673" s="2" t="inlineStr"/>
    </row>
    <row r="8674" ht="15" customHeight="1">
      <c r="A8674" t="inlineStr">
        <is>
          <t>A 1838-2023</t>
        </is>
      </c>
      <c r="B8674" s="1" t="n">
        <v>44938</v>
      </c>
      <c r="C8674" s="1" t="n">
        <v>45736</v>
      </c>
      <c r="D8674" t="inlineStr">
        <is>
          <t>VÄRMLANDS LÄN</t>
        </is>
      </c>
      <c r="E8674" t="inlineStr">
        <is>
          <t>SÄFFLE</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2342-2023</t>
        </is>
      </c>
      <c r="B8675" s="1" t="n">
        <v>44938</v>
      </c>
      <c r="C8675" s="1" t="n">
        <v>45736</v>
      </c>
      <c r="D8675" t="inlineStr">
        <is>
          <t>VÄRMLANDS LÄN</t>
        </is>
      </c>
      <c r="E8675" t="inlineStr">
        <is>
          <t>STORFORS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2352-2023</t>
        </is>
      </c>
      <c r="B8676" s="1" t="n">
        <v>44938</v>
      </c>
      <c r="C8676" s="1" t="n">
        <v>45736</v>
      </c>
      <c r="D8676" t="inlineStr">
        <is>
          <t>VÄRMLANDS LÄN</t>
        </is>
      </c>
      <c r="E8676" t="inlineStr">
        <is>
          <t>STORFORS</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2363-2023</t>
        </is>
      </c>
      <c r="B8677" s="1" t="n">
        <v>44938</v>
      </c>
      <c r="C8677" s="1" t="n">
        <v>45736</v>
      </c>
      <c r="D8677" t="inlineStr">
        <is>
          <t>VÄRMLANDS LÄN</t>
        </is>
      </c>
      <c r="E8677" t="inlineStr">
        <is>
          <t>STORFORS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1882-2023</t>
        </is>
      </c>
      <c r="B8678" s="1" t="n">
        <v>44939</v>
      </c>
      <c r="C8678" s="1" t="n">
        <v>45736</v>
      </c>
      <c r="D8678" t="inlineStr">
        <is>
          <t>VÄRMLANDS LÄN</t>
        </is>
      </c>
      <c r="E8678" t="inlineStr">
        <is>
          <t>ARVIKA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2014-2023</t>
        </is>
      </c>
      <c r="B8679" s="1" t="n">
        <v>44939</v>
      </c>
      <c r="C8679" s="1" t="n">
        <v>45736</v>
      </c>
      <c r="D8679" t="inlineStr">
        <is>
          <t>VÄRMLANDS LÄN</t>
        </is>
      </c>
      <c r="E8679" t="inlineStr">
        <is>
          <t>SUNNE</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2037-2023</t>
        </is>
      </c>
      <c r="B8680" s="1" t="n">
        <v>44939</v>
      </c>
      <c r="C8680" s="1" t="n">
        <v>45736</v>
      </c>
      <c r="D8680" t="inlineStr">
        <is>
          <t>VÄRMLANDS LÄN</t>
        </is>
      </c>
      <c r="E8680" t="inlineStr">
        <is>
          <t>STORFORS</t>
        </is>
      </c>
      <c r="F8680" t="inlineStr">
        <is>
          <t>Kyrkan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1947-2023</t>
        </is>
      </c>
      <c r="B8681" s="1" t="n">
        <v>44939</v>
      </c>
      <c r="C8681" s="1" t="n">
        <v>45736</v>
      </c>
      <c r="D8681" t="inlineStr">
        <is>
          <t>VÄRMLANDS LÄN</t>
        </is>
      </c>
      <c r="E8681" t="inlineStr">
        <is>
          <t>TORSBY</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1969-2023</t>
        </is>
      </c>
      <c r="B8682" s="1" t="n">
        <v>44939</v>
      </c>
      <c r="C8682" s="1" t="n">
        <v>45736</v>
      </c>
      <c r="D8682" t="inlineStr">
        <is>
          <t>VÄRMLANDS LÄN</t>
        </is>
      </c>
      <c r="E8682" t="inlineStr">
        <is>
          <t>ARVIKA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1979-2023</t>
        </is>
      </c>
      <c r="B8683" s="1" t="n">
        <v>44939</v>
      </c>
      <c r="C8683" s="1" t="n">
        <v>45736</v>
      </c>
      <c r="D8683" t="inlineStr">
        <is>
          <t>VÄRMLANDS LÄN</t>
        </is>
      </c>
      <c r="E8683" t="inlineStr">
        <is>
          <t>TORSBY</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2526-2023</t>
        </is>
      </c>
      <c r="B8684" s="1" t="n">
        <v>44939</v>
      </c>
      <c r="C8684" s="1" t="n">
        <v>45736</v>
      </c>
      <c r="D8684" t="inlineStr">
        <is>
          <t>VÄRMLANDS LÄN</t>
        </is>
      </c>
      <c r="E8684" t="inlineStr">
        <is>
          <t>ARVIKA</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1996-2023</t>
        </is>
      </c>
      <c r="B8685" s="1" t="n">
        <v>44939</v>
      </c>
      <c r="C8685" s="1" t="n">
        <v>45736</v>
      </c>
      <c r="D8685" t="inlineStr">
        <is>
          <t>VÄRMLANDS LÄN</t>
        </is>
      </c>
      <c r="E8685" t="inlineStr">
        <is>
          <t>EDA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2156-2023</t>
        </is>
      </c>
      <c r="B8686" s="1" t="n">
        <v>44941</v>
      </c>
      <c r="C8686" s="1" t="n">
        <v>45736</v>
      </c>
      <c r="D8686" t="inlineStr">
        <is>
          <t>VÄRMLANDS LÄN</t>
        </is>
      </c>
      <c r="E8686" t="inlineStr">
        <is>
          <t>ARVIKA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2172-2023</t>
        </is>
      </c>
      <c r="B8687" s="1" t="n">
        <v>44941</v>
      </c>
      <c r="C8687" s="1" t="n">
        <v>45736</v>
      </c>
      <c r="D8687" t="inlineStr">
        <is>
          <t>VÄRMLANDS LÄN</t>
        </is>
      </c>
      <c r="E8687" t="inlineStr">
        <is>
          <t>HAGFORS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2154-2023</t>
        </is>
      </c>
      <c r="B8688" s="1" t="n">
        <v>44941</v>
      </c>
      <c r="C8688" s="1" t="n">
        <v>45736</v>
      </c>
      <c r="D8688" t="inlineStr">
        <is>
          <t>VÄRMLANDS LÄN</t>
        </is>
      </c>
      <c r="E8688" t="inlineStr">
        <is>
          <t>ARVIKA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2263-2023</t>
        </is>
      </c>
      <c r="B8689" s="1" t="n">
        <v>44941</v>
      </c>
      <c r="C8689" s="1" t="n">
        <v>45736</v>
      </c>
      <c r="D8689" t="inlineStr">
        <is>
          <t>VÄRMLANDS LÄN</t>
        </is>
      </c>
      <c r="E8689" t="inlineStr">
        <is>
          <t>KIL</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2157-2023</t>
        </is>
      </c>
      <c r="B8690" s="1" t="n">
        <v>44941</v>
      </c>
      <c r="C8690" s="1" t="n">
        <v>45736</v>
      </c>
      <c r="D8690" t="inlineStr">
        <is>
          <t>VÄRMLANDS LÄN</t>
        </is>
      </c>
      <c r="E8690" t="inlineStr">
        <is>
          <t>ARVIKA</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2173-2023</t>
        </is>
      </c>
      <c r="B8691" s="1" t="n">
        <v>44941</v>
      </c>
      <c r="C8691" s="1" t="n">
        <v>45736</v>
      </c>
      <c r="D8691" t="inlineStr">
        <is>
          <t>VÄRMLANDS LÄN</t>
        </is>
      </c>
      <c r="E8691" t="inlineStr">
        <is>
          <t>SUNNE</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2155-2023</t>
        </is>
      </c>
      <c r="B8692" s="1" t="n">
        <v>44941</v>
      </c>
      <c r="C8692" s="1" t="n">
        <v>45736</v>
      </c>
      <c r="D8692" t="inlineStr">
        <is>
          <t>VÄRMLANDS LÄN</t>
        </is>
      </c>
      <c r="E8692" t="inlineStr">
        <is>
          <t>ARVIKA</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2160-2023</t>
        </is>
      </c>
      <c r="B8693" s="1" t="n">
        <v>44941</v>
      </c>
      <c r="C8693" s="1" t="n">
        <v>45736</v>
      </c>
      <c r="D8693" t="inlineStr">
        <is>
          <t>VÄRMLANDS LÄN</t>
        </is>
      </c>
      <c r="E8693" t="inlineStr">
        <is>
          <t>KRISTINEHAMN</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2171-2023</t>
        </is>
      </c>
      <c r="B8694" s="1" t="n">
        <v>44941</v>
      </c>
      <c r="C8694" s="1" t="n">
        <v>45736</v>
      </c>
      <c r="D8694" t="inlineStr">
        <is>
          <t>VÄRMLANDS LÄN</t>
        </is>
      </c>
      <c r="E8694" t="inlineStr">
        <is>
          <t>SUNNE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2222-2023</t>
        </is>
      </c>
      <c r="B8695" s="1" t="n">
        <v>44942</v>
      </c>
      <c r="C8695" s="1" t="n">
        <v>45736</v>
      </c>
      <c r="D8695" t="inlineStr">
        <is>
          <t>VÄRMLANDS LÄN</t>
        </is>
      </c>
      <c r="E8695" t="inlineStr">
        <is>
          <t>ÅRJÄNG</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2319-2023</t>
        </is>
      </c>
      <c r="B8696" s="1" t="n">
        <v>44942</v>
      </c>
      <c r="C8696" s="1" t="n">
        <v>45736</v>
      </c>
      <c r="D8696" t="inlineStr">
        <is>
          <t>VÄRMLANDS LÄN</t>
        </is>
      </c>
      <c r="E8696" t="inlineStr">
        <is>
          <t>EDA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2377-2023</t>
        </is>
      </c>
      <c r="B8697" s="1" t="n">
        <v>44942</v>
      </c>
      <c r="C8697" s="1" t="n">
        <v>45736</v>
      </c>
      <c r="D8697" t="inlineStr">
        <is>
          <t>VÄRMLANDS LÄN</t>
        </is>
      </c>
      <c r="E8697" t="inlineStr">
        <is>
          <t>ARVIKA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2326-2023</t>
        </is>
      </c>
      <c r="B8698" s="1" t="n">
        <v>44942</v>
      </c>
      <c r="C8698" s="1" t="n">
        <v>45736</v>
      </c>
      <c r="D8698" t="inlineStr">
        <is>
          <t>VÄRMLANDS LÄN</t>
        </is>
      </c>
      <c r="E8698" t="inlineStr">
        <is>
          <t>EDA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2358-2023</t>
        </is>
      </c>
      <c r="B8699" s="1" t="n">
        <v>44942</v>
      </c>
      <c r="C8699" s="1" t="n">
        <v>45736</v>
      </c>
      <c r="D8699" t="inlineStr">
        <is>
          <t>VÄRMLANDS LÄN</t>
        </is>
      </c>
      <c r="E8699" t="inlineStr">
        <is>
          <t>SUNNE</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2317-2023</t>
        </is>
      </c>
      <c r="B8700" s="1" t="n">
        <v>44942</v>
      </c>
      <c r="C8700" s="1" t="n">
        <v>45736</v>
      </c>
      <c r="D8700" t="inlineStr">
        <is>
          <t>VÄRMLANDS LÄN</t>
        </is>
      </c>
      <c r="E8700" t="inlineStr">
        <is>
          <t>SUNNE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2688-2023</t>
        </is>
      </c>
      <c r="B8701" s="1" t="n">
        <v>44942</v>
      </c>
      <c r="C8701" s="1" t="n">
        <v>45736</v>
      </c>
      <c r="D8701" t="inlineStr">
        <is>
          <t>VÄRMLANDS LÄN</t>
        </is>
      </c>
      <c r="E8701" t="inlineStr">
        <is>
          <t>KIL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2708-2023</t>
        </is>
      </c>
      <c r="B8702" s="1" t="n">
        <v>44942</v>
      </c>
      <c r="C8702" s="1" t="n">
        <v>45736</v>
      </c>
      <c r="D8702" t="inlineStr">
        <is>
          <t>VÄRMLANDS LÄN</t>
        </is>
      </c>
      <c r="E8702" t="inlineStr">
        <is>
          <t>KIL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2471-2023</t>
        </is>
      </c>
      <c r="B8703" s="1" t="n">
        <v>44943</v>
      </c>
      <c r="C8703" s="1" t="n">
        <v>45736</v>
      </c>
      <c r="D8703" t="inlineStr">
        <is>
          <t>VÄRMLANDS LÄN</t>
        </is>
      </c>
      <c r="E8703" t="inlineStr">
        <is>
          <t>TORSBY</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2484-2023</t>
        </is>
      </c>
      <c r="B8704" s="1" t="n">
        <v>44943</v>
      </c>
      <c r="C8704" s="1" t="n">
        <v>45736</v>
      </c>
      <c r="D8704" t="inlineStr">
        <is>
          <t>VÄRMLANDS LÄN</t>
        </is>
      </c>
      <c r="E8704" t="inlineStr">
        <is>
          <t>SÄFFLE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2514-2023</t>
        </is>
      </c>
      <c r="B8705" s="1" t="n">
        <v>44943</v>
      </c>
      <c r="C8705" s="1" t="n">
        <v>45736</v>
      </c>
      <c r="D8705" t="inlineStr">
        <is>
          <t>VÄRMLANDS LÄN</t>
        </is>
      </c>
      <c r="E8705" t="inlineStr">
        <is>
          <t>SUNNE</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2512-2023</t>
        </is>
      </c>
      <c r="B8706" s="1" t="n">
        <v>44943</v>
      </c>
      <c r="C8706" s="1" t="n">
        <v>45736</v>
      </c>
      <c r="D8706" t="inlineStr">
        <is>
          <t>VÄRMLANDS LÄN</t>
        </is>
      </c>
      <c r="E8706" t="inlineStr">
        <is>
          <t>TORSBY</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2525-2023</t>
        </is>
      </c>
      <c r="B8707" s="1" t="n">
        <v>44943</v>
      </c>
      <c r="C8707" s="1" t="n">
        <v>45736</v>
      </c>
      <c r="D8707" t="inlineStr">
        <is>
          <t>VÄRMLANDS LÄN</t>
        </is>
      </c>
      <c r="E8707" t="inlineStr">
        <is>
          <t>SUNNE</t>
        </is>
      </c>
      <c r="G8707" t="n">
        <v>15.2</v>
      </c>
      <c r="H8707" t="n">
        <v>0</v>
      </c>
      <c r="I8707" t="n">
        <v>0</v>
      </c>
      <c r="J8707" t="n">
        <v>0</v>
      </c>
      <c r="K8707" t="n">
        <v>0</v>
      </c>
      <c r="L8707" t="n">
        <v>0</v>
      </c>
      <c r="M8707" t="n">
        <v>0</v>
      </c>
      <c r="N8707" t="n">
        <v>0</v>
      </c>
      <c r="O8707" t="n">
        <v>0</v>
      </c>
      <c r="P8707" t="n">
        <v>0</v>
      </c>
      <c r="Q8707" t="n">
        <v>0</v>
      </c>
      <c r="R8707" s="2" t="inlineStr"/>
    </row>
    <row r="8708" ht="15" customHeight="1">
      <c r="A8708" t="inlineStr">
        <is>
          <t>A 2532-2023</t>
        </is>
      </c>
      <c r="B8708" s="1" t="n">
        <v>44943</v>
      </c>
      <c r="C8708" s="1" t="n">
        <v>45736</v>
      </c>
      <c r="D8708" t="inlineStr">
        <is>
          <t>VÄRMLANDS LÄN</t>
        </is>
      </c>
      <c r="E8708" t="inlineStr">
        <is>
          <t>SÄFFLE</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2589-2023</t>
        </is>
      </c>
      <c r="B8709" s="1" t="n">
        <v>44943</v>
      </c>
      <c r="C8709" s="1" t="n">
        <v>45736</v>
      </c>
      <c r="D8709" t="inlineStr">
        <is>
          <t>VÄRMLANDS LÄN</t>
        </is>
      </c>
      <c r="E8709" t="inlineStr">
        <is>
          <t>STORFORS</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2740-2023</t>
        </is>
      </c>
      <c r="B8710" s="1" t="n">
        <v>44943</v>
      </c>
      <c r="C8710" s="1" t="n">
        <v>45736</v>
      </c>
      <c r="D8710" t="inlineStr">
        <is>
          <t>VÄRMLANDS LÄN</t>
        </is>
      </c>
      <c r="E8710" t="inlineStr">
        <is>
          <t>SÄFFLE</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2905-2023</t>
        </is>
      </c>
      <c r="B8711" s="1" t="n">
        <v>44943</v>
      </c>
      <c r="C8711" s="1" t="n">
        <v>45736</v>
      </c>
      <c r="D8711" t="inlineStr">
        <is>
          <t>VÄRMLANDS LÄN</t>
        </is>
      </c>
      <c r="E8711" t="inlineStr">
        <is>
          <t>EDA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2912-2023</t>
        </is>
      </c>
      <c r="B8712" s="1" t="n">
        <v>44943</v>
      </c>
      <c r="C8712" s="1" t="n">
        <v>45736</v>
      </c>
      <c r="D8712" t="inlineStr">
        <is>
          <t>VÄRMLANDS LÄN</t>
        </is>
      </c>
      <c r="E8712" t="inlineStr">
        <is>
          <t>SÄFFLE</t>
        </is>
      </c>
      <c r="F8712" t="inlineStr">
        <is>
          <t>Bergvik skog väst AB</t>
        </is>
      </c>
      <c r="G8712" t="n">
        <v>8</v>
      </c>
      <c r="H8712" t="n">
        <v>0</v>
      </c>
      <c r="I8712" t="n">
        <v>0</v>
      </c>
      <c r="J8712" t="n">
        <v>0</v>
      </c>
      <c r="K8712" t="n">
        <v>0</v>
      </c>
      <c r="L8712" t="n">
        <v>0</v>
      </c>
      <c r="M8712" t="n">
        <v>0</v>
      </c>
      <c r="N8712" t="n">
        <v>0</v>
      </c>
      <c r="O8712" t="n">
        <v>0</v>
      </c>
      <c r="P8712" t="n">
        <v>0</v>
      </c>
      <c r="Q8712" t="n">
        <v>0</v>
      </c>
      <c r="R8712" s="2" t="inlineStr"/>
    </row>
    <row r="8713" ht="15" customHeight="1">
      <c r="A8713" t="inlineStr">
        <is>
          <t>A 2769-2023</t>
        </is>
      </c>
      <c r="B8713" s="1" t="n">
        <v>44944</v>
      </c>
      <c r="C8713" s="1" t="n">
        <v>45736</v>
      </c>
      <c r="D8713" t="inlineStr">
        <is>
          <t>VÄRMLANDS LÄN</t>
        </is>
      </c>
      <c r="E8713" t="inlineStr">
        <is>
          <t>HAMMARÖ</t>
        </is>
      </c>
      <c r="G8713" t="n">
        <v>8.699999999999999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2770-2023</t>
        </is>
      </c>
      <c r="B8714" s="1" t="n">
        <v>44944</v>
      </c>
      <c r="C8714" s="1" t="n">
        <v>45736</v>
      </c>
      <c r="D8714" t="inlineStr">
        <is>
          <t>VÄRMLANDS LÄN</t>
        </is>
      </c>
      <c r="E8714" t="inlineStr">
        <is>
          <t>ARVIKA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2812-2023</t>
        </is>
      </c>
      <c r="B8715" s="1" t="n">
        <v>44944</v>
      </c>
      <c r="C8715" s="1" t="n">
        <v>45736</v>
      </c>
      <c r="D8715" t="inlineStr">
        <is>
          <t>VÄRMLANDS LÄN</t>
        </is>
      </c>
      <c r="E8715" t="inlineStr">
        <is>
          <t>FORSHAGA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2849-2023</t>
        </is>
      </c>
      <c r="B8716" s="1" t="n">
        <v>44945</v>
      </c>
      <c r="C8716" s="1" t="n">
        <v>45736</v>
      </c>
      <c r="D8716" t="inlineStr">
        <is>
          <t>VÄRMLANDS LÄN</t>
        </is>
      </c>
      <c r="E8716" t="inlineStr">
        <is>
          <t>ARVIKA</t>
        </is>
      </c>
      <c r="F8716" t="inlineStr">
        <is>
          <t>Bergvik skog väst AB</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2933-2023</t>
        </is>
      </c>
      <c r="B8717" s="1" t="n">
        <v>44945</v>
      </c>
      <c r="C8717" s="1" t="n">
        <v>45736</v>
      </c>
      <c r="D8717" t="inlineStr">
        <is>
          <t>VÄRMLANDS LÄN</t>
        </is>
      </c>
      <c r="E8717" t="inlineStr">
        <is>
          <t>SÄFFLE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2978-2023</t>
        </is>
      </c>
      <c r="B8718" s="1" t="n">
        <v>44945</v>
      </c>
      <c r="C8718" s="1" t="n">
        <v>45736</v>
      </c>
      <c r="D8718" t="inlineStr">
        <is>
          <t>VÄRMLANDS LÄN</t>
        </is>
      </c>
      <c r="E8718" t="inlineStr">
        <is>
          <t>KARLSTAD</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2984-2023</t>
        </is>
      </c>
      <c r="B8719" s="1" t="n">
        <v>44945</v>
      </c>
      <c r="C8719" s="1" t="n">
        <v>45736</v>
      </c>
      <c r="D8719" t="inlineStr">
        <is>
          <t>VÄRMLANDS LÄN</t>
        </is>
      </c>
      <c r="E8719" t="inlineStr">
        <is>
          <t>KARLSTAD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3283-2023</t>
        </is>
      </c>
      <c r="B8720" s="1" t="n">
        <v>44945</v>
      </c>
      <c r="C8720" s="1" t="n">
        <v>45736</v>
      </c>
      <c r="D8720" t="inlineStr">
        <is>
          <t>VÄRMLANDS LÄN</t>
        </is>
      </c>
      <c r="E8720" t="inlineStr">
        <is>
          <t>SÄFFLE</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3098-2023</t>
        </is>
      </c>
      <c r="B8721" s="1" t="n">
        <v>44946</v>
      </c>
      <c r="C8721" s="1" t="n">
        <v>45736</v>
      </c>
      <c r="D8721" t="inlineStr">
        <is>
          <t>VÄRMLANDS LÄN</t>
        </is>
      </c>
      <c r="E8721" t="inlineStr">
        <is>
          <t>TORSBY</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3103-2023</t>
        </is>
      </c>
      <c r="B8722" s="1" t="n">
        <v>44946</v>
      </c>
      <c r="C8722" s="1" t="n">
        <v>45736</v>
      </c>
      <c r="D8722" t="inlineStr">
        <is>
          <t>VÄRMLANDS LÄN</t>
        </is>
      </c>
      <c r="E8722" t="inlineStr">
        <is>
          <t>TORSBY</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3723-2023</t>
        </is>
      </c>
      <c r="B8723" s="1" t="n">
        <v>44946</v>
      </c>
      <c r="C8723" s="1" t="n">
        <v>45736</v>
      </c>
      <c r="D8723" t="inlineStr">
        <is>
          <t>VÄRMLANDS LÄN</t>
        </is>
      </c>
      <c r="E8723" t="inlineStr">
        <is>
          <t>SÄFFLE</t>
        </is>
      </c>
      <c r="G8723" t="n">
        <v>9</v>
      </c>
      <c r="H8723" t="n">
        <v>0</v>
      </c>
      <c r="I8723" t="n">
        <v>0</v>
      </c>
      <c r="J8723" t="n">
        <v>0</v>
      </c>
      <c r="K8723" t="n">
        <v>0</v>
      </c>
      <c r="L8723" t="n">
        <v>0</v>
      </c>
      <c r="M8723" t="n">
        <v>0</v>
      </c>
      <c r="N8723" t="n">
        <v>0</v>
      </c>
      <c r="O8723" t="n">
        <v>0</v>
      </c>
      <c r="P8723" t="n">
        <v>0</v>
      </c>
      <c r="Q8723" t="n">
        <v>0</v>
      </c>
      <c r="R8723" s="2" t="inlineStr"/>
    </row>
    <row r="8724" ht="15" customHeight="1">
      <c r="A8724" t="inlineStr">
        <is>
          <t>A 3734-2023</t>
        </is>
      </c>
      <c r="B8724" s="1" t="n">
        <v>44948</v>
      </c>
      <c r="C8724" s="1" t="n">
        <v>45736</v>
      </c>
      <c r="D8724" t="inlineStr">
        <is>
          <t>VÄRMLANDS LÄN</t>
        </is>
      </c>
      <c r="E8724" t="inlineStr">
        <is>
          <t>ÅRJÄNG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3256-2023</t>
        </is>
      </c>
      <c r="B8725" s="1" t="n">
        <v>44948</v>
      </c>
      <c r="C8725" s="1" t="n">
        <v>45736</v>
      </c>
      <c r="D8725" t="inlineStr">
        <is>
          <t>VÄRMLANDS LÄN</t>
        </is>
      </c>
      <c r="E8725" t="inlineStr">
        <is>
          <t>TORSBY</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3284-2023</t>
        </is>
      </c>
      <c r="B8726" s="1" t="n">
        <v>44949</v>
      </c>
      <c r="C8726" s="1" t="n">
        <v>45736</v>
      </c>
      <c r="D8726" t="inlineStr">
        <is>
          <t>VÄRMLANDS LÄN</t>
        </is>
      </c>
      <c r="E8726" t="inlineStr">
        <is>
          <t>SUNNE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3346-2023</t>
        </is>
      </c>
      <c r="B8727" s="1" t="n">
        <v>44949</v>
      </c>
      <c r="C8727" s="1" t="n">
        <v>45736</v>
      </c>
      <c r="D8727" t="inlineStr">
        <is>
          <t>VÄRMLANDS LÄN</t>
        </is>
      </c>
      <c r="E8727" t="inlineStr">
        <is>
          <t>ARVIKA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3412-2023</t>
        </is>
      </c>
      <c r="B8728" s="1" t="n">
        <v>44949</v>
      </c>
      <c r="C8728" s="1" t="n">
        <v>45736</v>
      </c>
      <c r="D8728" t="inlineStr">
        <is>
          <t>VÄRMLANDS LÄN</t>
        </is>
      </c>
      <c r="E8728" t="inlineStr">
        <is>
          <t>ARVIKA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3421-2023</t>
        </is>
      </c>
      <c r="B8729" s="1" t="n">
        <v>44949</v>
      </c>
      <c r="C8729" s="1" t="n">
        <v>45736</v>
      </c>
      <c r="D8729" t="inlineStr">
        <is>
          <t>VÄRMLANDS LÄN</t>
        </is>
      </c>
      <c r="E8729" t="inlineStr">
        <is>
          <t>TORSBY</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3460-2023</t>
        </is>
      </c>
      <c r="B8730" s="1" t="n">
        <v>44949</v>
      </c>
      <c r="C8730" s="1" t="n">
        <v>45736</v>
      </c>
      <c r="D8730" t="inlineStr">
        <is>
          <t>VÄRMLANDS LÄN</t>
        </is>
      </c>
      <c r="E8730" t="inlineStr">
        <is>
          <t>HAGFORS</t>
        </is>
      </c>
      <c r="F8730" t="inlineStr">
        <is>
          <t>Bergvik skog väst AB</t>
        </is>
      </c>
      <c r="G8730" t="n">
        <v>17.7</v>
      </c>
      <c r="H8730" t="n">
        <v>0</v>
      </c>
      <c r="I8730" t="n">
        <v>0</v>
      </c>
      <c r="J8730" t="n">
        <v>0</v>
      </c>
      <c r="K8730" t="n">
        <v>0</v>
      </c>
      <c r="L8730" t="n">
        <v>0</v>
      </c>
      <c r="M8730" t="n">
        <v>0</v>
      </c>
      <c r="N8730" t="n">
        <v>0</v>
      </c>
      <c r="O8730" t="n">
        <v>0</v>
      </c>
      <c r="P8730" t="n">
        <v>0</v>
      </c>
      <c r="Q8730" t="n">
        <v>0</v>
      </c>
      <c r="R8730" s="2" t="inlineStr"/>
    </row>
    <row r="8731" ht="15" customHeight="1">
      <c r="A8731" t="inlineStr">
        <is>
          <t>A 3471-2023</t>
        </is>
      </c>
      <c r="B8731" s="1" t="n">
        <v>44949</v>
      </c>
      <c r="C8731" s="1" t="n">
        <v>45736</v>
      </c>
      <c r="D8731" t="inlineStr">
        <is>
          <t>VÄRMLANDS LÄN</t>
        </is>
      </c>
      <c r="E8731" t="inlineStr">
        <is>
          <t>ÅRJÄNG</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3489-2023</t>
        </is>
      </c>
      <c r="B8732" s="1" t="n">
        <v>44949</v>
      </c>
      <c r="C8732" s="1" t="n">
        <v>45736</v>
      </c>
      <c r="D8732" t="inlineStr">
        <is>
          <t>VÄRMLANDS LÄN</t>
        </is>
      </c>
      <c r="E8732" t="inlineStr">
        <is>
          <t>TORSBY</t>
        </is>
      </c>
      <c r="F8732" t="inlineStr">
        <is>
          <t>Kommuner</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3426-2023</t>
        </is>
      </c>
      <c r="B8733" s="1" t="n">
        <v>44949</v>
      </c>
      <c r="C8733" s="1" t="n">
        <v>45736</v>
      </c>
      <c r="D8733" t="inlineStr">
        <is>
          <t>VÄRMLANDS LÄN</t>
        </is>
      </c>
      <c r="E8733" t="inlineStr">
        <is>
          <t>HAGFORS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3462-2023</t>
        </is>
      </c>
      <c r="B8734" s="1" t="n">
        <v>44949</v>
      </c>
      <c r="C8734" s="1" t="n">
        <v>45736</v>
      </c>
      <c r="D8734" t="inlineStr">
        <is>
          <t>VÄRMLANDS LÄN</t>
        </is>
      </c>
      <c r="E8734" t="inlineStr">
        <is>
          <t>SÄFFLE</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3491-2023</t>
        </is>
      </c>
      <c r="B8735" s="1" t="n">
        <v>44949</v>
      </c>
      <c r="C8735" s="1" t="n">
        <v>45736</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3736-2023</t>
        </is>
      </c>
      <c r="B8736" s="1" t="n">
        <v>44949</v>
      </c>
      <c r="C8736" s="1" t="n">
        <v>45736</v>
      </c>
      <c r="D8736" t="inlineStr">
        <is>
          <t>VÄRMLANDS LÄN</t>
        </is>
      </c>
      <c r="E8736" t="inlineStr">
        <is>
          <t>KARLSTAD</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3542-2023</t>
        </is>
      </c>
      <c r="B8737" s="1" t="n">
        <v>44950</v>
      </c>
      <c r="C8737" s="1" t="n">
        <v>45736</v>
      </c>
      <c r="D8737" t="inlineStr">
        <is>
          <t>VÄRMLANDS LÄN</t>
        </is>
      </c>
      <c r="E8737" t="inlineStr">
        <is>
          <t>TORSBY</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3573-2023</t>
        </is>
      </c>
      <c r="B8738" s="1" t="n">
        <v>44950</v>
      </c>
      <c r="C8738" s="1" t="n">
        <v>45736</v>
      </c>
      <c r="D8738" t="inlineStr">
        <is>
          <t>VÄRMLANDS LÄN</t>
        </is>
      </c>
      <c r="E8738" t="inlineStr">
        <is>
          <t>SÄFFLE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3636-2023</t>
        </is>
      </c>
      <c r="B8739" s="1" t="n">
        <v>44950</v>
      </c>
      <c r="C8739" s="1" t="n">
        <v>45736</v>
      </c>
      <c r="D8739" t="inlineStr">
        <is>
          <t>VÄRMLANDS LÄN</t>
        </is>
      </c>
      <c r="E8739" t="inlineStr">
        <is>
          <t>ARVIKA</t>
        </is>
      </c>
      <c r="F8739" t="inlineStr">
        <is>
          <t>Bergvik skog väst AB</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3566-2023</t>
        </is>
      </c>
      <c r="B8740" s="1" t="n">
        <v>44950</v>
      </c>
      <c r="C8740" s="1" t="n">
        <v>45736</v>
      </c>
      <c r="D8740" t="inlineStr">
        <is>
          <t>VÄRMLANDS LÄN</t>
        </is>
      </c>
      <c r="E8740" t="inlineStr">
        <is>
          <t>HAGFORS</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3557-2023</t>
        </is>
      </c>
      <c r="B8741" s="1" t="n">
        <v>44950</v>
      </c>
      <c r="C8741" s="1" t="n">
        <v>45736</v>
      </c>
      <c r="D8741" t="inlineStr">
        <is>
          <t>VÄRMLANDS LÄN</t>
        </is>
      </c>
      <c r="E8741" t="inlineStr">
        <is>
          <t>HAGFORS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3586-2023</t>
        </is>
      </c>
      <c r="B8742" s="1" t="n">
        <v>44950</v>
      </c>
      <c r="C8742" s="1" t="n">
        <v>45736</v>
      </c>
      <c r="D8742" t="inlineStr">
        <is>
          <t>VÄRMLANDS LÄN</t>
        </is>
      </c>
      <c r="E8742" t="inlineStr">
        <is>
          <t>HAGFORS</t>
        </is>
      </c>
      <c r="F8742" t="inlineStr">
        <is>
          <t>Kyrkan</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3645-2023</t>
        </is>
      </c>
      <c r="B8743" s="1" t="n">
        <v>44950</v>
      </c>
      <c r="C8743" s="1" t="n">
        <v>45736</v>
      </c>
      <c r="D8743" t="inlineStr">
        <is>
          <t>VÄRMLANDS LÄN</t>
        </is>
      </c>
      <c r="E8743" t="inlineStr">
        <is>
          <t>ARVIKA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3666-2023</t>
        </is>
      </c>
      <c r="B8744" s="1" t="n">
        <v>44950</v>
      </c>
      <c r="C8744" s="1" t="n">
        <v>45736</v>
      </c>
      <c r="D8744" t="inlineStr">
        <is>
          <t>VÄRMLANDS LÄN</t>
        </is>
      </c>
      <c r="E8744" t="inlineStr">
        <is>
          <t>TORSBY</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3670-2023</t>
        </is>
      </c>
      <c r="B8745" s="1" t="n">
        <v>44950</v>
      </c>
      <c r="C8745" s="1" t="n">
        <v>45736</v>
      </c>
      <c r="D8745" t="inlineStr">
        <is>
          <t>VÄRMLANDS LÄN</t>
        </is>
      </c>
      <c r="E8745" t="inlineStr">
        <is>
          <t>TORSBY</t>
        </is>
      </c>
      <c r="G8745" t="n">
        <v>15.4</v>
      </c>
      <c r="H8745" t="n">
        <v>0</v>
      </c>
      <c r="I8745" t="n">
        <v>0</v>
      </c>
      <c r="J8745" t="n">
        <v>0</v>
      </c>
      <c r="K8745" t="n">
        <v>0</v>
      </c>
      <c r="L8745" t="n">
        <v>0</v>
      </c>
      <c r="M8745" t="n">
        <v>0</v>
      </c>
      <c r="N8745" t="n">
        <v>0</v>
      </c>
      <c r="O8745" t="n">
        <v>0</v>
      </c>
      <c r="P8745" t="n">
        <v>0</v>
      </c>
      <c r="Q8745" t="n">
        <v>0</v>
      </c>
      <c r="R8745" s="2" t="inlineStr"/>
    </row>
    <row r="8746" ht="15" customHeight="1">
      <c r="A8746" t="inlineStr">
        <is>
          <t>A 3640-2023</t>
        </is>
      </c>
      <c r="B8746" s="1" t="n">
        <v>44950</v>
      </c>
      <c r="C8746" s="1" t="n">
        <v>45736</v>
      </c>
      <c r="D8746" t="inlineStr">
        <is>
          <t>VÄRMLANDS LÄN</t>
        </is>
      </c>
      <c r="E8746" t="inlineStr">
        <is>
          <t>ARVIKA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3667-2023</t>
        </is>
      </c>
      <c r="B8747" s="1" t="n">
        <v>44950</v>
      </c>
      <c r="C8747" s="1" t="n">
        <v>45736</v>
      </c>
      <c r="D8747" t="inlineStr">
        <is>
          <t>VÄRMLANDS LÄN</t>
        </is>
      </c>
      <c r="E8747" t="inlineStr">
        <is>
          <t>TORSBY</t>
        </is>
      </c>
      <c r="G8747" t="n">
        <v>21.2</v>
      </c>
      <c r="H8747" t="n">
        <v>0</v>
      </c>
      <c r="I8747" t="n">
        <v>0</v>
      </c>
      <c r="J8747" t="n">
        <v>0</v>
      </c>
      <c r="K8747" t="n">
        <v>0</v>
      </c>
      <c r="L8747" t="n">
        <v>0</v>
      </c>
      <c r="M8747" t="n">
        <v>0</v>
      </c>
      <c r="N8747" t="n">
        <v>0</v>
      </c>
      <c r="O8747" t="n">
        <v>0</v>
      </c>
      <c r="P8747" t="n">
        <v>0</v>
      </c>
      <c r="Q8747" t="n">
        <v>0</v>
      </c>
      <c r="R8747" s="2" t="inlineStr"/>
    </row>
    <row r="8748" ht="15" customHeight="1">
      <c r="A8748" t="inlineStr">
        <is>
          <t>A 3672-2023</t>
        </is>
      </c>
      <c r="B8748" s="1" t="n">
        <v>44950</v>
      </c>
      <c r="C8748" s="1" t="n">
        <v>45736</v>
      </c>
      <c r="D8748" t="inlineStr">
        <is>
          <t>VÄRMLANDS LÄN</t>
        </is>
      </c>
      <c r="E8748" t="inlineStr">
        <is>
          <t>TORSBY</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3724-2023</t>
        </is>
      </c>
      <c r="B8749" s="1" t="n">
        <v>44951</v>
      </c>
      <c r="C8749" s="1" t="n">
        <v>45736</v>
      </c>
      <c r="D8749" t="inlineStr">
        <is>
          <t>VÄRMLANDS LÄN</t>
        </is>
      </c>
      <c r="E8749" t="inlineStr">
        <is>
          <t>HAGFORS</t>
        </is>
      </c>
      <c r="F8749" t="inlineStr">
        <is>
          <t>Kyrkan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3760-2023</t>
        </is>
      </c>
      <c r="B8750" s="1" t="n">
        <v>44951</v>
      </c>
      <c r="C8750" s="1" t="n">
        <v>45736</v>
      </c>
      <c r="D8750" t="inlineStr">
        <is>
          <t>VÄRMLANDS LÄN</t>
        </is>
      </c>
      <c r="E8750" t="inlineStr">
        <is>
          <t>ARVIKA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3815-2023</t>
        </is>
      </c>
      <c r="B8751" s="1" t="n">
        <v>44951</v>
      </c>
      <c r="C8751" s="1" t="n">
        <v>45736</v>
      </c>
      <c r="D8751" t="inlineStr">
        <is>
          <t>VÄRMLANDS LÄN</t>
        </is>
      </c>
      <c r="E8751" t="inlineStr">
        <is>
          <t>ARVIKA</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3844-2023</t>
        </is>
      </c>
      <c r="B8752" s="1" t="n">
        <v>44951</v>
      </c>
      <c r="C8752" s="1" t="n">
        <v>45736</v>
      </c>
      <c r="D8752" t="inlineStr">
        <is>
          <t>VÄRMLANDS LÄN</t>
        </is>
      </c>
      <c r="E8752" t="inlineStr">
        <is>
          <t>FILIPSTAD</t>
        </is>
      </c>
      <c r="F8752" t="inlineStr">
        <is>
          <t>Bergvik skog väst AB</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3742-2023</t>
        </is>
      </c>
      <c r="B8753" s="1" t="n">
        <v>44951</v>
      </c>
      <c r="C8753" s="1" t="n">
        <v>45736</v>
      </c>
      <c r="D8753" t="inlineStr">
        <is>
          <t>VÄRMLANDS LÄN</t>
        </is>
      </c>
      <c r="E8753" t="inlineStr">
        <is>
          <t>ARVIKA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3790-2023</t>
        </is>
      </c>
      <c r="B8754" s="1" t="n">
        <v>44951</v>
      </c>
      <c r="C8754" s="1" t="n">
        <v>45736</v>
      </c>
      <c r="D8754" t="inlineStr">
        <is>
          <t>VÄRMLANDS LÄN</t>
        </is>
      </c>
      <c r="E8754" t="inlineStr">
        <is>
          <t>ARVIKA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3881-2023</t>
        </is>
      </c>
      <c r="B8755" s="1" t="n">
        <v>44951</v>
      </c>
      <c r="C8755" s="1" t="n">
        <v>45736</v>
      </c>
      <c r="D8755" t="inlineStr">
        <is>
          <t>VÄRMLANDS LÄN</t>
        </is>
      </c>
      <c r="E8755" t="inlineStr">
        <is>
          <t>TORSBY</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3846-2023</t>
        </is>
      </c>
      <c r="B8756" s="1" t="n">
        <v>44951</v>
      </c>
      <c r="C8756" s="1" t="n">
        <v>45736</v>
      </c>
      <c r="D8756" t="inlineStr">
        <is>
          <t>VÄRMLANDS LÄN</t>
        </is>
      </c>
      <c r="E8756" t="inlineStr">
        <is>
          <t>HAGFORS</t>
        </is>
      </c>
      <c r="F8756" t="inlineStr">
        <is>
          <t>Kommuner</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3885-2023</t>
        </is>
      </c>
      <c r="B8757" s="1" t="n">
        <v>44951</v>
      </c>
      <c r="C8757" s="1" t="n">
        <v>45736</v>
      </c>
      <c r="D8757" t="inlineStr">
        <is>
          <t>VÄRMLANDS LÄN</t>
        </is>
      </c>
      <c r="E8757" t="inlineStr">
        <is>
          <t>EDA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3879-2023</t>
        </is>
      </c>
      <c r="B8758" s="1" t="n">
        <v>44951</v>
      </c>
      <c r="C8758" s="1" t="n">
        <v>45736</v>
      </c>
      <c r="D8758" t="inlineStr">
        <is>
          <t>VÄRMLANDS LÄN</t>
        </is>
      </c>
      <c r="E8758" t="inlineStr">
        <is>
          <t>KRISTINEHAMN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3883-2023</t>
        </is>
      </c>
      <c r="B8759" s="1" t="n">
        <v>44951</v>
      </c>
      <c r="C8759" s="1" t="n">
        <v>45736</v>
      </c>
      <c r="D8759" t="inlineStr">
        <is>
          <t>VÄRMLANDS LÄN</t>
        </is>
      </c>
      <c r="E8759" t="inlineStr">
        <is>
          <t>KRISTINEHAMN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4610-2023</t>
        </is>
      </c>
      <c r="B8760" s="1" t="n">
        <v>44951</v>
      </c>
      <c r="C8760" s="1" t="n">
        <v>45736</v>
      </c>
      <c r="D8760" t="inlineStr">
        <is>
          <t>VÄRMLANDS LÄN</t>
        </is>
      </c>
      <c r="E8760" t="inlineStr">
        <is>
          <t>MUNKFORS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3962-2023</t>
        </is>
      </c>
      <c r="B8761" s="1" t="n">
        <v>44952</v>
      </c>
      <c r="C8761" s="1" t="n">
        <v>45736</v>
      </c>
      <c r="D8761" t="inlineStr">
        <is>
          <t>VÄRMLANDS LÄN</t>
        </is>
      </c>
      <c r="E8761" t="inlineStr">
        <is>
          <t>KARLSTAD</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3980-2023</t>
        </is>
      </c>
      <c r="B8762" s="1" t="n">
        <v>44952</v>
      </c>
      <c r="C8762" s="1" t="n">
        <v>45736</v>
      </c>
      <c r="D8762" t="inlineStr">
        <is>
          <t>VÄRMLANDS LÄN</t>
        </is>
      </c>
      <c r="E8762" t="inlineStr">
        <is>
          <t>ARVIKA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3961-2023</t>
        </is>
      </c>
      <c r="B8763" s="1" t="n">
        <v>44952</v>
      </c>
      <c r="C8763" s="1" t="n">
        <v>45736</v>
      </c>
      <c r="D8763" t="inlineStr">
        <is>
          <t>VÄRMLANDS LÄN</t>
        </is>
      </c>
      <c r="E8763" t="inlineStr">
        <is>
          <t>KARLSTAD</t>
        </is>
      </c>
      <c r="G8763" t="n">
        <v>10.7</v>
      </c>
      <c r="H8763" t="n">
        <v>0</v>
      </c>
      <c r="I8763" t="n">
        <v>0</v>
      </c>
      <c r="J8763" t="n">
        <v>0</v>
      </c>
      <c r="K8763" t="n">
        <v>0</v>
      </c>
      <c r="L8763" t="n">
        <v>0</v>
      </c>
      <c r="M8763" t="n">
        <v>0</v>
      </c>
      <c r="N8763" t="n">
        <v>0</v>
      </c>
      <c r="O8763" t="n">
        <v>0</v>
      </c>
      <c r="P8763" t="n">
        <v>0</v>
      </c>
      <c r="Q8763" t="n">
        <v>0</v>
      </c>
      <c r="R8763" s="2" t="inlineStr"/>
    </row>
    <row r="8764" ht="15" customHeight="1">
      <c r="A8764" t="inlineStr">
        <is>
          <t>A 4071-2023</t>
        </is>
      </c>
      <c r="B8764" s="1" t="n">
        <v>44952</v>
      </c>
      <c r="C8764" s="1" t="n">
        <v>45736</v>
      </c>
      <c r="D8764" t="inlineStr">
        <is>
          <t>VÄRMLANDS LÄN</t>
        </is>
      </c>
      <c r="E8764" t="inlineStr">
        <is>
          <t>KARLSTAD</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3954-2023</t>
        </is>
      </c>
      <c r="B8765" s="1" t="n">
        <v>44952</v>
      </c>
      <c r="C8765" s="1" t="n">
        <v>45736</v>
      </c>
      <c r="D8765" t="inlineStr">
        <is>
          <t>VÄRMLANDS LÄN</t>
        </is>
      </c>
      <c r="E8765" t="inlineStr">
        <is>
          <t>KARLSTAD</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3974-2023</t>
        </is>
      </c>
      <c r="B8766" s="1" t="n">
        <v>44952</v>
      </c>
      <c r="C8766" s="1" t="n">
        <v>45736</v>
      </c>
      <c r="D8766" t="inlineStr">
        <is>
          <t>VÄRMLANDS LÄN</t>
        </is>
      </c>
      <c r="E8766" t="inlineStr">
        <is>
          <t>ARVIKA</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4848-2023</t>
        </is>
      </c>
      <c r="B8767" s="1" t="n">
        <v>44952</v>
      </c>
      <c r="C8767" s="1" t="n">
        <v>45736</v>
      </c>
      <c r="D8767" t="inlineStr">
        <is>
          <t>VÄRMLANDS LÄN</t>
        </is>
      </c>
      <c r="E8767" t="inlineStr">
        <is>
          <t>SÄFFLE</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4851-2023</t>
        </is>
      </c>
      <c r="B8768" s="1" t="n">
        <v>44952</v>
      </c>
      <c r="C8768" s="1" t="n">
        <v>45736</v>
      </c>
      <c r="D8768" t="inlineStr">
        <is>
          <t>VÄRMLANDS LÄN</t>
        </is>
      </c>
      <c r="E8768" t="inlineStr">
        <is>
          <t>SÄFFLE</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4842-2023</t>
        </is>
      </c>
      <c r="B8769" s="1" t="n">
        <v>44952</v>
      </c>
      <c r="C8769" s="1" t="n">
        <v>45736</v>
      </c>
      <c r="D8769" t="inlineStr">
        <is>
          <t>VÄRMLANDS LÄN</t>
        </is>
      </c>
      <c r="E8769" t="inlineStr">
        <is>
          <t>SÄFFLE</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4171-2023</t>
        </is>
      </c>
      <c r="B8770" s="1" t="n">
        <v>44953</v>
      </c>
      <c r="C8770" s="1" t="n">
        <v>45736</v>
      </c>
      <c r="D8770" t="inlineStr">
        <is>
          <t>VÄRMLANDS LÄN</t>
        </is>
      </c>
      <c r="E8770" t="inlineStr">
        <is>
          <t>ÅRJÄNG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4250-2023</t>
        </is>
      </c>
      <c r="B8771" s="1" t="n">
        <v>44953</v>
      </c>
      <c r="C8771" s="1" t="n">
        <v>45736</v>
      </c>
      <c r="D8771" t="inlineStr">
        <is>
          <t>VÄRMLANDS LÄN</t>
        </is>
      </c>
      <c r="E8771" t="inlineStr">
        <is>
          <t>TORSBY</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4314-2023</t>
        </is>
      </c>
      <c r="B8772" s="1" t="n">
        <v>44953</v>
      </c>
      <c r="C8772" s="1" t="n">
        <v>45736</v>
      </c>
      <c r="D8772" t="inlineStr">
        <is>
          <t>VÄRMLANDS LÄN</t>
        </is>
      </c>
      <c r="E8772" t="inlineStr">
        <is>
          <t>KRISTINEHAMN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4236-2023</t>
        </is>
      </c>
      <c r="B8773" s="1" t="n">
        <v>44953</v>
      </c>
      <c r="C8773" s="1" t="n">
        <v>45736</v>
      </c>
      <c r="D8773" t="inlineStr">
        <is>
          <t>VÄRMLANDS LÄN</t>
        </is>
      </c>
      <c r="E8773" t="inlineStr">
        <is>
          <t>TORSBY</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4260-2023</t>
        </is>
      </c>
      <c r="B8774" s="1" t="n">
        <v>44953</v>
      </c>
      <c r="C8774" s="1" t="n">
        <v>45736</v>
      </c>
      <c r="D8774" t="inlineStr">
        <is>
          <t>VÄRMLANDS LÄN</t>
        </is>
      </c>
      <c r="E8774" t="inlineStr">
        <is>
          <t>HAGFORS</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5012-2023</t>
        </is>
      </c>
      <c r="B8775" s="1" t="n">
        <v>44953</v>
      </c>
      <c r="C8775" s="1" t="n">
        <v>45736</v>
      </c>
      <c r="D8775" t="inlineStr">
        <is>
          <t>VÄRMLANDS LÄN</t>
        </is>
      </c>
      <c r="E8775" t="inlineStr">
        <is>
          <t>SUNNE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5095-2023</t>
        </is>
      </c>
      <c r="B8776" s="1" t="n">
        <v>44953</v>
      </c>
      <c r="C8776" s="1" t="n">
        <v>45736</v>
      </c>
      <c r="D8776" t="inlineStr">
        <is>
          <t>VÄRMLANDS LÄN</t>
        </is>
      </c>
      <c r="E8776" t="inlineStr">
        <is>
          <t>ÅRJÄNG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5115-2023</t>
        </is>
      </c>
      <c r="B8777" s="1" t="n">
        <v>44953</v>
      </c>
      <c r="C8777" s="1" t="n">
        <v>45736</v>
      </c>
      <c r="D8777" t="inlineStr">
        <is>
          <t>VÄRMLANDS LÄN</t>
        </is>
      </c>
      <c r="E8777" t="inlineStr">
        <is>
          <t>ÅRJÄNG</t>
        </is>
      </c>
      <c r="G8777" t="n">
        <v>8.6</v>
      </c>
      <c r="H8777" t="n">
        <v>0</v>
      </c>
      <c r="I8777" t="n">
        <v>0</v>
      </c>
      <c r="J8777" t="n">
        <v>0</v>
      </c>
      <c r="K8777" t="n">
        <v>0</v>
      </c>
      <c r="L8777" t="n">
        <v>0</v>
      </c>
      <c r="M8777" t="n">
        <v>0</v>
      </c>
      <c r="N8777" t="n">
        <v>0</v>
      </c>
      <c r="O8777" t="n">
        <v>0</v>
      </c>
      <c r="P8777" t="n">
        <v>0</v>
      </c>
      <c r="Q8777" t="n">
        <v>0</v>
      </c>
      <c r="R8777" s="2" t="inlineStr"/>
    </row>
    <row r="8778" ht="15" customHeight="1">
      <c r="A8778" t="inlineStr">
        <is>
          <t>A 5106-2023</t>
        </is>
      </c>
      <c r="B8778" s="1" t="n">
        <v>44953</v>
      </c>
      <c r="C8778" s="1" t="n">
        <v>45736</v>
      </c>
      <c r="D8778" t="inlineStr">
        <is>
          <t>VÄRMLANDS LÄN</t>
        </is>
      </c>
      <c r="E8778" t="inlineStr">
        <is>
          <t>ÅRJÄNG</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4433-2023</t>
        </is>
      </c>
      <c r="B8779" s="1" t="n">
        <v>44956</v>
      </c>
      <c r="C8779" s="1" t="n">
        <v>45736</v>
      </c>
      <c r="D8779" t="inlineStr">
        <is>
          <t>VÄRMLANDS LÄN</t>
        </is>
      </c>
      <c r="E8779" t="inlineStr">
        <is>
          <t>TORSBY</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4421-2023</t>
        </is>
      </c>
      <c r="B8780" s="1" t="n">
        <v>44956</v>
      </c>
      <c r="C8780" s="1" t="n">
        <v>45736</v>
      </c>
      <c r="D8780" t="inlineStr">
        <is>
          <t>VÄRMLANDS LÄN</t>
        </is>
      </c>
      <c r="E8780" t="inlineStr">
        <is>
          <t>EDA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4456-2023</t>
        </is>
      </c>
      <c r="B8781" s="1" t="n">
        <v>44956</v>
      </c>
      <c r="C8781" s="1" t="n">
        <v>45736</v>
      </c>
      <c r="D8781" t="inlineStr">
        <is>
          <t>VÄRMLANDS LÄN</t>
        </is>
      </c>
      <c r="E8781" t="inlineStr">
        <is>
          <t>ARVIKA</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4430-2023</t>
        </is>
      </c>
      <c r="B8782" s="1" t="n">
        <v>44956</v>
      </c>
      <c r="C8782" s="1" t="n">
        <v>45736</v>
      </c>
      <c r="D8782" t="inlineStr">
        <is>
          <t>VÄRMLANDS LÄN</t>
        </is>
      </c>
      <c r="E8782" t="inlineStr">
        <is>
          <t>ARVIKA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4510-2023</t>
        </is>
      </c>
      <c r="B8783" s="1" t="n">
        <v>44956</v>
      </c>
      <c r="C8783" s="1" t="n">
        <v>45736</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4492-2023</t>
        </is>
      </c>
      <c r="B8784" s="1" t="n">
        <v>44956</v>
      </c>
      <c r="C8784" s="1" t="n">
        <v>45736</v>
      </c>
      <c r="D8784" t="inlineStr">
        <is>
          <t>VÄRMLANDS LÄN</t>
        </is>
      </c>
      <c r="E8784" t="inlineStr">
        <is>
          <t>SUNNE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4568-2023</t>
        </is>
      </c>
      <c r="B8785" s="1" t="n">
        <v>44956</v>
      </c>
      <c r="C8785" s="1" t="n">
        <v>45736</v>
      </c>
      <c r="D8785" t="inlineStr">
        <is>
          <t>VÄRMLANDS LÄN</t>
        </is>
      </c>
      <c r="E8785" t="inlineStr">
        <is>
          <t>TORSBY</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4424-2023</t>
        </is>
      </c>
      <c r="B8786" s="1" t="n">
        <v>44956</v>
      </c>
      <c r="C8786" s="1" t="n">
        <v>45736</v>
      </c>
      <c r="D8786" t="inlineStr">
        <is>
          <t>VÄRMLANDS LÄN</t>
        </is>
      </c>
      <c r="E8786" t="inlineStr">
        <is>
          <t>EDA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4585-2023</t>
        </is>
      </c>
      <c r="B8787" s="1" t="n">
        <v>44956</v>
      </c>
      <c r="C8787" s="1" t="n">
        <v>45736</v>
      </c>
      <c r="D8787" t="inlineStr">
        <is>
          <t>VÄRMLANDS LÄN</t>
        </is>
      </c>
      <c r="E8787" t="inlineStr">
        <is>
          <t>TORSBY</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5231-2023</t>
        </is>
      </c>
      <c r="B8788" s="1" t="n">
        <v>44956</v>
      </c>
      <c r="C8788" s="1" t="n">
        <v>45736</v>
      </c>
      <c r="D8788" t="inlineStr">
        <is>
          <t>VÄRMLANDS LÄN</t>
        </is>
      </c>
      <c r="E8788" t="inlineStr">
        <is>
          <t>GRUMS</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4536-2023</t>
        </is>
      </c>
      <c r="B8789" s="1" t="n">
        <v>44956</v>
      </c>
      <c r="C8789" s="1" t="n">
        <v>45736</v>
      </c>
      <c r="D8789" t="inlineStr">
        <is>
          <t>VÄRMLANDS LÄN</t>
        </is>
      </c>
      <c r="E8789" t="inlineStr">
        <is>
          <t>SUNNE</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4576-2023</t>
        </is>
      </c>
      <c r="B8790" s="1" t="n">
        <v>44956</v>
      </c>
      <c r="C8790" s="1" t="n">
        <v>45736</v>
      </c>
      <c r="D8790" t="inlineStr">
        <is>
          <t>VÄRMLANDS LÄN</t>
        </is>
      </c>
      <c r="E8790" t="inlineStr">
        <is>
          <t>STORFORS</t>
        </is>
      </c>
      <c r="F8790" t="inlineStr">
        <is>
          <t>Kyrkan</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5220-2023</t>
        </is>
      </c>
      <c r="B8791" s="1" t="n">
        <v>44956</v>
      </c>
      <c r="C8791" s="1" t="n">
        <v>45736</v>
      </c>
      <c r="D8791" t="inlineStr">
        <is>
          <t>VÄRMLANDS LÄN</t>
        </is>
      </c>
      <c r="E8791" t="inlineStr">
        <is>
          <t>GRUMS</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5236-2023</t>
        </is>
      </c>
      <c r="B8792" s="1" t="n">
        <v>44956</v>
      </c>
      <c r="C8792" s="1" t="n">
        <v>45736</v>
      </c>
      <c r="D8792" t="inlineStr">
        <is>
          <t>VÄRMLANDS LÄN</t>
        </is>
      </c>
      <c r="E8792" t="inlineStr">
        <is>
          <t>GRUMS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4792-2023</t>
        </is>
      </c>
      <c r="B8793" s="1" t="n">
        <v>44957</v>
      </c>
      <c r="C8793" s="1" t="n">
        <v>45736</v>
      </c>
      <c r="D8793" t="inlineStr">
        <is>
          <t>VÄRMLANDS LÄN</t>
        </is>
      </c>
      <c r="E8793" t="inlineStr">
        <is>
          <t>MUNKFORS</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4707-2023</t>
        </is>
      </c>
      <c r="B8794" s="1" t="n">
        <v>44957</v>
      </c>
      <c r="C8794" s="1" t="n">
        <v>45736</v>
      </c>
      <c r="D8794" t="inlineStr">
        <is>
          <t>VÄRMLANDS LÄN</t>
        </is>
      </c>
      <c r="E8794" t="inlineStr">
        <is>
          <t>TORSBY</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4748-2023</t>
        </is>
      </c>
      <c r="B8795" s="1" t="n">
        <v>44957</v>
      </c>
      <c r="C8795" s="1" t="n">
        <v>45736</v>
      </c>
      <c r="D8795" t="inlineStr">
        <is>
          <t>VÄRMLANDS LÄN</t>
        </is>
      </c>
      <c r="E8795" t="inlineStr">
        <is>
          <t>ÅRJÄNG</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4795-2023</t>
        </is>
      </c>
      <c r="B8796" s="1" t="n">
        <v>44957</v>
      </c>
      <c r="C8796" s="1" t="n">
        <v>45736</v>
      </c>
      <c r="D8796" t="inlineStr">
        <is>
          <t>VÄRMLANDS LÄN</t>
        </is>
      </c>
      <c r="E8796" t="inlineStr">
        <is>
          <t>MUNKFORS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4802-2023</t>
        </is>
      </c>
      <c r="B8797" s="1" t="n">
        <v>44957</v>
      </c>
      <c r="C8797" s="1" t="n">
        <v>45736</v>
      </c>
      <c r="D8797" t="inlineStr">
        <is>
          <t>VÄRMLANDS LÄN</t>
        </is>
      </c>
      <c r="E8797" t="inlineStr">
        <is>
          <t>KRISTINEHAMN</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4731-2023</t>
        </is>
      </c>
      <c r="B8798" s="1" t="n">
        <v>44957</v>
      </c>
      <c r="C8798" s="1" t="n">
        <v>45736</v>
      </c>
      <c r="D8798" t="inlineStr">
        <is>
          <t>VÄRMLANDS LÄN</t>
        </is>
      </c>
      <c r="E8798" t="inlineStr">
        <is>
          <t>ÅRJÄNG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4799-2023</t>
        </is>
      </c>
      <c r="B8799" s="1" t="n">
        <v>44957</v>
      </c>
      <c r="C8799" s="1" t="n">
        <v>45736</v>
      </c>
      <c r="D8799" t="inlineStr">
        <is>
          <t>VÄRMLANDS LÄN</t>
        </is>
      </c>
      <c r="E8799" t="inlineStr">
        <is>
          <t>KRISTINEHAMN</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4819-2023</t>
        </is>
      </c>
      <c r="B8800" s="1" t="n">
        <v>44957</v>
      </c>
      <c r="C8800" s="1" t="n">
        <v>45736</v>
      </c>
      <c r="D8800" t="inlineStr">
        <is>
          <t>VÄRMLANDS LÄN</t>
        </is>
      </c>
      <c r="E8800" t="inlineStr">
        <is>
          <t>FILIPSTAD</t>
        </is>
      </c>
      <c r="F8800" t="inlineStr">
        <is>
          <t>Bergvik skog väst AB</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4704-2023</t>
        </is>
      </c>
      <c r="B8801" s="1" t="n">
        <v>44957</v>
      </c>
      <c r="C8801" s="1" t="n">
        <v>45736</v>
      </c>
      <c r="D8801" t="inlineStr">
        <is>
          <t>VÄRMLANDS LÄN</t>
        </is>
      </c>
      <c r="E8801" t="inlineStr">
        <is>
          <t>ÅRJÄNG</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4709-2023</t>
        </is>
      </c>
      <c r="B8802" s="1" t="n">
        <v>44957</v>
      </c>
      <c r="C8802" s="1" t="n">
        <v>45736</v>
      </c>
      <c r="D8802" t="inlineStr">
        <is>
          <t>VÄRMLANDS LÄN</t>
        </is>
      </c>
      <c r="E8802" t="inlineStr">
        <is>
          <t>ARVIKA</t>
        </is>
      </c>
      <c r="F8802" t="inlineStr">
        <is>
          <t>Bergvik skog väst AB</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4763-2023</t>
        </is>
      </c>
      <c r="B8803" s="1" t="n">
        <v>44957</v>
      </c>
      <c r="C8803" s="1" t="n">
        <v>45736</v>
      </c>
      <c r="D8803" t="inlineStr">
        <is>
          <t>VÄRMLANDS LÄN</t>
        </is>
      </c>
      <c r="E8803" t="inlineStr">
        <is>
          <t>ÅRJÄNG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4784-2023</t>
        </is>
      </c>
      <c r="B8804" s="1" t="n">
        <v>44957</v>
      </c>
      <c r="C8804" s="1" t="n">
        <v>45736</v>
      </c>
      <c r="D8804" t="inlineStr">
        <is>
          <t>VÄRMLANDS LÄN</t>
        </is>
      </c>
      <c r="E8804" t="inlineStr">
        <is>
          <t>ÅRJÄNG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4807-2023</t>
        </is>
      </c>
      <c r="B8805" s="1" t="n">
        <v>44957</v>
      </c>
      <c r="C8805" s="1" t="n">
        <v>45736</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4897-2023</t>
        </is>
      </c>
      <c r="B8806" s="1" t="n">
        <v>44958</v>
      </c>
      <c r="C8806" s="1" t="n">
        <v>45736</v>
      </c>
      <c r="D8806" t="inlineStr">
        <is>
          <t>VÄRMLANDS LÄN</t>
        </is>
      </c>
      <c r="E8806" t="inlineStr">
        <is>
          <t>SUNNE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4940-2023</t>
        </is>
      </c>
      <c r="B8807" s="1" t="n">
        <v>44958</v>
      </c>
      <c r="C8807" s="1" t="n">
        <v>45736</v>
      </c>
      <c r="D8807" t="inlineStr">
        <is>
          <t>VÄRMLANDS LÄN</t>
        </is>
      </c>
      <c r="E8807" t="inlineStr">
        <is>
          <t>ÅRJÄNG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5084-2023</t>
        </is>
      </c>
      <c r="B8808" s="1" t="n">
        <v>44958</v>
      </c>
      <c r="C8808" s="1" t="n">
        <v>45736</v>
      </c>
      <c r="D8808" t="inlineStr">
        <is>
          <t>VÄRMLANDS LÄN</t>
        </is>
      </c>
      <c r="E8808" t="inlineStr">
        <is>
          <t>GRUMS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5126-2023</t>
        </is>
      </c>
      <c r="B8809" s="1" t="n">
        <v>44958</v>
      </c>
      <c r="C8809" s="1" t="n">
        <v>45736</v>
      </c>
      <c r="D8809" t="inlineStr">
        <is>
          <t>VÄRMLANDS LÄN</t>
        </is>
      </c>
      <c r="E8809" t="inlineStr">
        <is>
          <t>GRUMS</t>
        </is>
      </c>
      <c r="G8809" t="n">
        <v>14.3</v>
      </c>
      <c r="H8809" t="n">
        <v>0</v>
      </c>
      <c r="I8809" t="n">
        <v>0</v>
      </c>
      <c r="J8809" t="n">
        <v>0</v>
      </c>
      <c r="K8809" t="n">
        <v>0</v>
      </c>
      <c r="L8809" t="n">
        <v>0</v>
      </c>
      <c r="M8809" t="n">
        <v>0</v>
      </c>
      <c r="N8809" t="n">
        <v>0</v>
      </c>
      <c r="O8809" t="n">
        <v>0</v>
      </c>
      <c r="P8809" t="n">
        <v>0</v>
      </c>
      <c r="Q8809" t="n">
        <v>0</v>
      </c>
      <c r="R8809" s="2" t="inlineStr"/>
    </row>
    <row r="8810" ht="15" customHeight="1">
      <c r="A8810" t="inlineStr">
        <is>
          <t>A 4993-2023</t>
        </is>
      </c>
      <c r="B8810" s="1" t="n">
        <v>44958</v>
      </c>
      <c r="C8810" s="1" t="n">
        <v>45736</v>
      </c>
      <c r="D8810" t="inlineStr">
        <is>
          <t>VÄRMLANDS LÄN</t>
        </is>
      </c>
      <c r="E8810" t="inlineStr">
        <is>
          <t>EDA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5000-2023</t>
        </is>
      </c>
      <c r="B8811" s="1" t="n">
        <v>44958</v>
      </c>
      <c r="C8811" s="1" t="n">
        <v>45736</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5025-2023</t>
        </is>
      </c>
      <c r="B8812" s="1" t="n">
        <v>44958</v>
      </c>
      <c r="C8812" s="1" t="n">
        <v>45736</v>
      </c>
      <c r="D8812" t="inlineStr">
        <is>
          <t>VÄRMLANDS LÄN</t>
        </is>
      </c>
      <c r="E8812" t="inlineStr">
        <is>
          <t>GRUMS</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5200-2023</t>
        </is>
      </c>
      <c r="B8813" s="1" t="n">
        <v>44959</v>
      </c>
      <c r="C8813" s="1" t="n">
        <v>45736</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5269-2023</t>
        </is>
      </c>
      <c r="B8814" s="1" t="n">
        <v>44959</v>
      </c>
      <c r="C8814" s="1" t="n">
        <v>45736</v>
      </c>
      <c r="D8814" t="inlineStr">
        <is>
          <t>VÄRMLANDS LÄN</t>
        </is>
      </c>
      <c r="E8814" t="inlineStr">
        <is>
          <t>HAGFORS</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5322-2023</t>
        </is>
      </c>
      <c r="B8815" s="1" t="n">
        <v>44959</v>
      </c>
      <c r="C8815" s="1" t="n">
        <v>45736</v>
      </c>
      <c r="D8815" t="inlineStr">
        <is>
          <t>VÄRMLANDS LÄN</t>
        </is>
      </c>
      <c r="E8815" t="inlineStr">
        <is>
          <t>ARVIKA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5357-2023</t>
        </is>
      </c>
      <c r="B8816" s="1" t="n">
        <v>44959</v>
      </c>
      <c r="C8816" s="1" t="n">
        <v>45736</v>
      </c>
      <c r="D8816" t="inlineStr">
        <is>
          <t>VÄRMLANDS LÄN</t>
        </is>
      </c>
      <c r="E8816" t="inlineStr">
        <is>
          <t>HAGFORS</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5395-2023</t>
        </is>
      </c>
      <c r="B8817" s="1" t="n">
        <v>44959</v>
      </c>
      <c r="C8817" s="1" t="n">
        <v>45736</v>
      </c>
      <c r="D8817" t="inlineStr">
        <is>
          <t>VÄRMLANDS LÄN</t>
        </is>
      </c>
      <c r="E8817" t="inlineStr">
        <is>
          <t>ÅRJÄNG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5256-2023</t>
        </is>
      </c>
      <c r="B8818" s="1" t="n">
        <v>44959</v>
      </c>
      <c r="C8818" s="1" t="n">
        <v>45736</v>
      </c>
      <c r="D8818" t="inlineStr">
        <is>
          <t>VÄRMLANDS LÄN</t>
        </is>
      </c>
      <c r="E8818" t="inlineStr">
        <is>
          <t>ÅRJÄNG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5377-2023</t>
        </is>
      </c>
      <c r="B8819" s="1" t="n">
        <v>44959</v>
      </c>
      <c r="C8819" s="1" t="n">
        <v>45736</v>
      </c>
      <c r="D8819" t="inlineStr">
        <is>
          <t>VÄRMLANDS LÄN</t>
        </is>
      </c>
      <c r="E8819" t="inlineStr">
        <is>
          <t>HAGFORS</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5206-2023</t>
        </is>
      </c>
      <c r="B8820" s="1" t="n">
        <v>44959</v>
      </c>
      <c r="C8820" s="1" t="n">
        <v>45736</v>
      </c>
      <c r="D8820" t="inlineStr">
        <is>
          <t>VÄRMLANDS LÄN</t>
        </is>
      </c>
      <c r="E8820" t="inlineStr">
        <is>
          <t>EDA</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5216-2023</t>
        </is>
      </c>
      <c r="B8821" s="1" t="n">
        <v>44959</v>
      </c>
      <c r="C8821" s="1" t="n">
        <v>45736</v>
      </c>
      <c r="D8821" t="inlineStr">
        <is>
          <t>VÄRMLANDS LÄN</t>
        </is>
      </c>
      <c r="E8821" t="inlineStr">
        <is>
          <t>TORSBY</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5250-2023</t>
        </is>
      </c>
      <c r="B8822" s="1" t="n">
        <v>44959</v>
      </c>
      <c r="C8822" s="1" t="n">
        <v>45736</v>
      </c>
      <c r="D8822" t="inlineStr">
        <is>
          <t>VÄRMLANDS LÄN</t>
        </is>
      </c>
      <c r="E8822" t="inlineStr">
        <is>
          <t>KRISTINEHAMN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5411-2023</t>
        </is>
      </c>
      <c r="B8823" s="1" t="n">
        <v>44959</v>
      </c>
      <c r="C8823" s="1" t="n">
        <v>45736</v>
      </c>
      <c r="D8823" t="inlineStr">
        <is>
          <t>VÄRMLANDS LÄN</t>
        </is>
      </c>
      <c r="E8823" t="inlineStr">
        <is>
          <t>ÅRJÄNG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5286-2023</t>
        </is>
      </c>
      <c r="B8824" s="1" t="n">
        <v>44959</v>
      </c>
      <c r="C8824" s="1" t="n">
        <v>45736</v>
      </c>
      <c r="D8824" t="inlineStr">
        <is>
          <t>VÄRMLANDS LÄN</t>
        </is>
      </c>
      <c r="E8824" t="inlineStr">
        <is>
          <t>KIL</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5331-2023</t>
        </is>
      </c>
      <c r="B8825" s="1" t="n">
        <v>44959</v>
      </c>
      <c r="C8825" s="1" t="n">
        <v>45736</v>
      </c>
      <c r="D8825" t="inlineStr">
        <is>
          <t>VÄRMLANDS LÄN</t>
        </is>
      </c>
      <c r="E8825" t="inlineStr">
        <is>
          <t>SÄFFLE</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5421-2023</t>
        </is>
      </c>
      <c r="B8826" s="1" t="n">
        <v>44959</v>
      </c>
      <c r="C8826" s="1" t="n">
        <v>45736</v>
      </c>
      <c r="D8826" t="inlineStr">
        <is>
          <t>VÄRMLANDS LÄN</t>
        </is>
      </c>
      <c r="E8826" t="inlineStr">
        <is>
          <t>EDA</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5492-2023</t>
        </is>
      </c>
      <c r="B8827" s="1" t="n">
        <v>44959</v>
      </c>
      <c r="C8827" s="1" t="n">
        <v>45736</v>
      </c>
      <c r="D8827" t="inlineStr">
        <is>
          <t>VÄRMLANDS LÄN</t>
        </is>
      </c>
      <c r="E8827" t="inlineStr">
        <is>
          <t>TORSBY</t>
        </is>
      </c>
      <c r="F8827" t="inlineStr">
        <is>
          <t>Övriga Aktiebolag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5992-2023</t>
        </is>
      </c>
      <c r="B8828" s="1" t="n">
        <v>44959</v>
      </c>
      <c r="C8828" s="1" t="n">
        <v>45736</v>
      </c>
      <c r="D8828" t="inlineStr">
        <is>
          <t>VÄRMLANDS LÄN</t>
        </is>
      </c>
      <c r="E8828" t="inlineStr">
        <is>
          <t>FILIPSTAD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5861-2023</t>
        </is>
      </c>
      <c r="B8829" s="1" t="n">
        <v>44959</v>
      </c>
      <c r="C8829" s="1" t="n">
        <v>45736</v>
      </c>
      <c r="D8829" t="inlineStr">
        <is>
          <t>VÄRMLANDS LÄN</t>
        </is>
      </c>
      <c r="E8829" t="inlineStr">
        <is>
          <t>SUNNE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6263-2023</t>
        </is>
      </c>
      <c r="B8830" s="1" t="n">
        <v>44959</v>
      </c>
      <c r="C8830" s="1" t="n">
        <v>45736</v>
      </c>
      <c r="D8830" t="inlineStr">
        <is>
          <t>VÄRMLANDS LÄN</t>
        </is>
      </c>
      <c r="E8830" t="inlineStr">
        <is>
          <t>KARLSTAD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6260-2023</t>
        </is>
      </c>
      <c r="B8831" s="1" t="n">
        <v>44959</v>
      </c>
      <c r="C8831" s="1" t="n">
        <v>45736</v>
      </c>
      <c r="D8831" t="inlineStr">
        <is>
          <t>VÄRMLANDS LÄN</t>
        </is>
      </c>
      <c r="E8831" t="inlineStr">
        <is>
          <t>KARLSTAD</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5624-2023</t>
        </is>
      </c>
      <c r="B8832" s="1" t="n">
        <v>44960</v>
      </c>
      <c r="C8832" s="1" t="n">
        <v>45736</v>
      </c>
      <c r="D8832" t="inlineStr">
        <is>
          <t>VÄRMLANDS LÄN</t>
        </is>
      </c>
      <c r="E8832" t="inlineStr">
        <is>
          <t>HAGFORS</t>
        </is>
      </c>
      <c r="F8832" t="inlineStr">
        <is>
          <t>Bergvik skog väst AB</t>
        </is>
      </c>
      <c r="G8832" t="n">
        <v>11.2</v>
      </c>
      <c r="H8832" t="n">
        <v>0</v>
      </c>
      <c r="I8832" t="n">
        <v>0</v>
      </c>
      <c r="J8832" t="n">
        <v>0</v>
      </c>
      <c r="K8832" t="n">
        <v>0</v>
      </c>
      <c r="L8832" t="n">
        <v>0</v>
      </c>
      <c r="M8832" t="n">
        <v>0</v>
      </c>
      <c r="N8832" t="n">
        <v>0</v>
      </c>
      <c r="O8832" t="n">
        <v>0</v>
      </c>
      <c r="P8832" t="n">
        <v>0</v>
      </c>
      <c r="Q8832" t="n">
        <v>0</v>
      </c>
      <c r="R8832" s="2" t="inlineStr"/>
    </row>
    <row r="8833" ht="15" customHeight="1">
      <c r="A8833" t="inlineStr">
        <is>
          <t>A 5653-2023</t>
        </is>
      </c>
      <c r="B8833" s="1" t="n">
        <v>44960</v>
      </c>
      <c r="C8833" s="1" t="n">
        <v>45736</v>
      </c>
      <c r="D8833" t="inlineStr">
        <is>
          <t>VÄRMLANDS LÄN</t>
        </is>
      </c>
      <c r="E8833" t="inlineStr">
        <is>
          <t>ARVIKA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5655-2023</t>
        </is>
      </c>
      <c r="B8834" s="1" t="n">
        <v>44960</v>
      </c>
      <c r="C8834" s="1" t="n">
        <v>45736</v>
      </c>
      <c r="D8834" t="inlineStr">
        <is>
          <t>VÄRMLANDS LÄN</t>
        </is>
      </c>
      <c r="E8834" t="inlineStr">
        <is>
          <t>ARVIKA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5468-2023</t>
        </is>
      </c>
      <c r="B8835" s="1" t="n">
        <v>44960</v>
      </c>
      <c r="C8835" s="1" t="n">
        <v>45736</v>
      </c>
      <c r="D8835" t="inlineStr">
        <is>
          <t>VÄRMLANDS LÄN</t>
        </is>
      </c>
      <c r="E8835" t="inlineStr">
        <is>
          <t>SÄFFLE</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6555-2023</t>
        </is>
      </c>
      <c r="B8836" s="1" t="n">
        <v>44960</v>
      </c>
      <c r="C8836" s="1" t="n">
        <v>45736</v>
      </c>
      <c r="D8836" t="inlineStr">
        <is>
          <t>VÄRMLANDS LÄN</t>
        </is>
      </c>
      <c r="E8836" t="inlineStr">
        <is>
          <t>FILIPSTAD</t>
        </is>
      </c>
      <c r="F8836" t="inlineStr">
        <is>
          <t>Kommuner</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6520-2023</t>
        </is>
      </c>
      <c r="B8837" s="1" t="n">
        <v>44960</v>
      </c>
      <c r="C8837" s="1" t="n">
        <v>45736</v>
      </c>
      <c r="D8837" t="inlineStr">
        <is>
          <t>VÄRMLANDS LÄN</t>
        </is>
      </c>
      <c r="E8837" t="inlineStr">
        <is>
          <t>FILIPSTAD</t>
        </is>
      </c>
      <c r="F8837" t="inlineStr">
        <is>
          <t>Kommuner</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6561-2023</t>
        </is>
      </c>
      <c r="B8838" s="1" t="n">
        <v>44960</v>
      </c>
      <c r="C8838" s="1" t="n">
        <v>45736</v>
      </c>
      <c r="D8838" t="inlineStr">
        <is>
          <t>VÄRMLANDS LÄN</t>
        </is>
      </c>
      <c r="E8838" t="inlineStr">
        <is>
          <t>FILIPSTAD</t>
        </is>
      </c>
      <c r="F8838" t="inlineStr">
        <is>
          <t>Kommuner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6708-2023</t>
        </is>
      </c>
      <c r="B8839" s="1" t="n">
        <v>44960</v>
      </c>
      <c r="C8839" s="1" t="n">
        <v>45736</v>
      </c>
      <c r="D8839" t="inlineStr">
        <is>
          <t>VÄRMLANDS LÄN</t>
        </is>
      </c>
      <c r="E8839" t="inlineStr">
        <is>
          <t>TORSBY</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6702-2023</t>
        </is>
      </c>
      <c r="B8840" s="1" t="n">
        <v>44960</v>
      </c>
      <c r="C8840" s="1" t="n">
        <v>45736</v>
      </c>
      <c r="D8840" t="inlineStr">
        <is>
          <t>VÄRMLANDS LÄN</t>
        </is>
      </c>
      <c r="E8840" t="inlineStr">
        <is>
          <t>TORSBY</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6715-2023</t>
        </is>
      </c>
      <c r="B8841" s="1" t="n">
        <v>44960</v>
      </c>
      <c r="C8841" s="1" t="n">
        <v>45736</v>
      </c>
      <c r="D8841" t="inlineStr">
        <is>
          <t>VÄRMLANDS LÄN</t>
        </is>
      </c>
      <c r="E8841" t="inlineStr">
        <is>
          <t>TORSBY</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6523-2023</t>
        </is>
      </c>
      <c r="B8842" s="1" t="n">
        <v>44960</v>
      </c>
      <c r="C8842" s="1" t="n">
        <v>45736</v>
      </c>
      <c r="D8842" t="inlineStr">
        <is>
          <t>VÄRMLANDS LÄN</t>
        </is>
      </c>
      <c r="E8842" t="inlineStr">
        <is>
          <t>FILIPSTAD</t>
        </is>
      </c>
      <c r="F8842" t="inlineStr">
        <is>
          <t>Kommuner</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6568-2023</t>
        </is>
      </c>
      <c r="B8843" s="1" t="n">
        <v>44960</v>
      </c>
      <c r="C8843" s="1" t="n">
        <v>45736</v>
      </c>
      <c r="D8843" t="inlineStr">
        <is>
          <t>VÄRMLANDS LÄN</t>
        </is>
      </c>
      <c r="E8843" t="inlineStr">
        <is>
          <t>FILIPSTAD</t>
        </is>
      </c>
      <c r="F8843" t="inlineStr">
        <is>
          <t>Kommuner</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6711-2023</t>
        </is>
      </c>
      <c r="B8844" s="1" t="n">
        <v>44960</v>
      </c>
      <c r="C8844" s="1" t="n">
        <v>45736</v>
      </c>
      <c r="D8844" t="inlineStr">
        <is>
          <t>VÄRMLANDS LÄN</t>
        </is>
      </c>
      <c r="E8844" t="inlineStr">
        <is>
          <t>TORSBY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6573-2023</t>
        </is>
      </c>
      <c r="B8845" s="1" t="n">
        <v>44960</v>
      </c>
      <c r="C8845" s="1" t="n">
        <v>45736</v>
      </c>
      <c r="D8845" t="inlineStr">
        <is>
          <t>VÄRMLANDS LÄN</t>
        </is>
      </c>
      <c r="E8845" t="inlineStr">
        <is>
          <t>FILIPSTAD</t>
        </is>
      </c>
      <c r="F8845" t="inlineStr">
        <is>
          <t>Kommuner</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6713-2023</t>
        </is>
      </c>
      <c r="B8846" s="1" t="n">
        <v>44960</v>
      </c>
      <c r="C8846" s="1" t="n">
        <v>45736</v>
      </c>
      <c r="D8846" t="inlineStr">
        <is>
          <t>VÄRMLANDS LÄN</t>
        </is>
      </c>
      <c r="E8846" t="inlineStr">
        <is>
          <t>TORSBY</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5810-2023</t>
        </is>
      </c>
      <c r="B8847" s="1" t="n">
        <v>44963</v>
      </c>
      <c r="C8847" s="1" t="n">
        <v>45736</v>
      </c>
      <c r="D8847" t="inlineStr">
        <is>
          <t>VÄRMLANDS LÄN</t>
        </is>
      </c>
      <c r="E8847" t="inlineStr">
        <is>
          <t>GRUMS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5846-2023</t>
        </is>
      </c>
      <c r="B8848" s="1" t="n">
        <v>44963</v>
      </c>
      <c r="C8848" s="1" t="n">
        <v>45736</v>
      </c>
      <c r="D8848" t="inlineStr">
        <is>
          <t>VÄRMLANDS LÄN</t>
        </is>
      </c>
      <c r="E8848" t="inlineStr">
        <is>
          <t>FILIPSTAD</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5830-2023</t>
        </is>
      </c>
      <c r="B8849" s="1" t="n">
        <v>44963</v>
      </c>
      <c r="C8849" s="1" t="n">
        <v>45736</v>
      </c>
      <c r="D8849" t="inlineStr">
        <is>
          <t>VÄRMLANDS LÄN</t>
        </is>
      </c>
      <c r="E8849" t="inlineStr">
        <is>
          <t>TORSBY</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5863-2023</t>
        </is>
      </c>
      <c r="B8850" s="1" t="n">
        <v>44963</v>
      </c>
      <c r="C8850" s="1" t="n">
        <v>45736</v>
      </c>
      <c r="D8850" t="inlineStr">
        <is>
          <t>VÄRMLANDS LÄN</t>
        </is>
      </c>
      <c r="E8850" t="inlineStr">
        <is>
          <t>ÅRJÄNG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5763-2023</t>
        </is>
      </c>
      <c r="B8851" s="1" t="n">
        <v>44963</v>
      </c>
      <c r="C8851" s="1" t="n">
        <v>45736</v>
      </c>
      <c r="D8851" t="inlineStr">
        <is>
          <t>VÄRMLANDS LÄN</t>
        </is>
      </c>
      <c r="E8851" t="inlineStr">
        <is>
          <t>TORSBY</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5778-2023</t>
        </is>
      </c>
      <c r="B8852" s="1" t="n">
        <v>44963</v>
      </c>
      <c r="C8852" s="1" t="n">
        <v>45736</v>
      </c>
      <c r="D8852" t="inlineStr">
        <is>
          <t>VÄRMLANDS LÄN</t>
        </is>
      </c>
      <c r="E8852" t="inlineStr">
        <is>
          <t>MUNKFORS</t>
        </is>
      </c>
      <c r="F8852" t="inlineStr">
        <is>
          <t>Bergvik skog väst AB</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5798-2023</t>
        </is>
      </c>
      <c r="B8853" s="1" t="n">
        <v>44963</v>
      </c>
      <c r="C8853" s="1" t="n">
        <v>45736</v>
      </c>
      <c r="D8853" t="inlineStr">
        <is>
          <t>VÄRMLANDS LÄN</t>
        </is>
      </c>
      <c r="E8853" t="inlineStr">
        <is>
          <t>ARVIKA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5803-2023</t>
        </is>
      </c>
      <c r="B8854" s="1" t="n">
        <v>44963</v>
      </c>
      <c r="C8854" s="1" t="n">
        <v>45736</v>
      </c>
      <c r="D8854" t="inlineStr">
        <is>
          <t>VÄRMLANDS LÄN</t>
        </is>
      </c>
      <c r="E8854" t="inlineStr">
        <is>
          <t>FILIPSTAD</t>
        </is>
      </c>
      <c r="F8854" t="inlineStr">
        <is>
          <t>Bergvik skog väst AB</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5811-2023</t>
        </is>
      </c>
      <c r="B8855" s="1" t="n">
        <v>44963</v>
      </c>
      <c r="C8855" s="1" t="n">
        <v>45736</v>
      </c>
      <c r="D8855" t="inlineStr">
        <is>
          <t>VÄRMLANDS LÄN</t>
        </is>
      </c>
      <c r="E8855" t="inlineStr">
        <is>
          <t>ARVIKA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5837-2023</t>
        </is>
      </c>
      <c r="B8856" s="1" t="n">
        <v>44963</v>
      </c>
      <c r="C8856" s="1" t="n">
        <v>45736</v>
      </c>
      <c r="D8856" t="inlineStr">
        <is>
          <t>VÄRMLANDS LÄN</t>
        </is>
      </c>
      <c r="E8856" t="inlineStr">
        <is>
          <t>ARVIKA</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5924-2023</t>
        </is>
      </c>
      <c r="B8857" s="1" t="n">
        <v>44963</v>
      </c>
      <c r="C8857" s="1" t="n">
        <v>45736</v>
      </c>
      <c r="D8857" t="inlineStr">
        <is>
          <t>VÄRMLANDS LÄN</t>
        </is>
      </c>
      <c r="E8857" t="inlineStr">
        <is>
          <t>SUNNE</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6669-2023</t>
        </is>
      </c>
      <c r="B8858" s="1" t="n">
        <v>44963</v>
      </c>
      <c r="C8858" s="1" t="n">
        <v>45736</v>
      </c>
      <c r="D8858" t="inlineStr">
        <is>
          <t>VÄRMLANDS LÄN</t>
        </is>
      </c>
      <c r="E8858" t="inlineStr">
        <is>
          <t>SUNNE</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5931-2023</t>
        </is>
      </c>
      <c r="B8859" s="1" t="n">
        <v>44963</v>
      </c>
      <c r="C8859" s="1" t="n">
        <v>45736</v>
      </c>
      <c r="D8859" t="inlineStr">
        <is>
          <t>VÄRMLANDS LÄN</t>
        </is>
      </c>
      <c r="E8859" t="inlineStr">
        <is>
          <t>ÅRJÄNG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6096-2023</t>
        </is>
      </c>
      <c r="B8860" s="1" t="n">
        <v>44964</v>
      </c>
      <c r="C8860" s="1" t="n">
        <v>45736</v>
      </c>
      <c r="D8860" t="inlineStr">
        <is>
          <t>VÄRMLANDS LÄN</t>
        </is>
      </c>
      <c r="E8860" t="inlineStr">
        <is>
          <t>SUNNE</t>
        </is>
      </c>
      <c r="F8860" t="inlineStr">
        <is>
          <t>Bergvik skog väst AB</t>
        </is>
      </c>
      <c r="G8860" t="n">
        <v>13.3</v>
      </c>
      <c r="H8860" t="n">
        <v>0</v>
      </c>
      <c r="I8860" t="n">
        <v>0</v>
      </c>
      <c r="J8860" t="n">
        <v>0</v>
      </c>
      <c r="K8860" t="n">
        <v>0</v>
      </c>
      <c r="L8860" t="n">
        <v>0</v>
      </c>
      <c r="M8860" t="n">
        <v>0</v>
      </c>
      <c r="N8860" t="n">
        <v>0</v>
      </c>
      <c r="O8860" t="n">
        <v>0</v>
      </c>
      <c r="P8860" t="n">
        <v>0</v>
      </c>
      <c r="Q8860" t="n">
        <v>0</v>
      </c>
      <c r="R8860" s="2" t="inlineStr"/>
    </row>
    <row r="8861" ht="15" customHeight="1">
      <c r="A8861" t="inlineStr">
        <is>
          <t>A 5961-2023</t>
        </is>
      </c>
      <c r="B8861" s="1" t="n">
        <v>44964</v>
      </c>
      <c r="C8861" s="1" t="n">
        <v>45736</v>
      </c>
      <c r="D8861" t="inlineStr">
        <is>
          <t>VÄRMLANDS LÄN</t>
        </is>
      </c>
      <c r="E8861" t="inlineStr">
        <is>
          <t>ARVIKA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6863-2023</t>
        </is>
      </c>
      <c r="B8862" s="1" t="n">
        <v>44964</v>
      </c>
      <c r="C8862" s="1" t="n">
        <v>45736</v>
      </c>
      <c r="D8862" t="inlineStr">
        <is>
          <t>VÄRMLANDS LÄN</t>
        </is>
      </c>
      <c r="E8862" t="inlineStr">
        <is>
          <t>TORSBY</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6015-2023</t>
        </is>
      </c>
      <c r="B8863" s="1" t="n">
        <v>44964</v>
      </c>
      <c r="C8863" s="1" t="n">
        <v>45736</v>
      </c>
      <c r="D8863" t="inlineStr">
        <is>
          <t>VÄRMLANDS LÄN</t>
        </is>
      </c>
      <c r="E8863" t="inlineStr">
        <is>
          <t>KIL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6030-2023</t>
        </is>
      </c>
      <c r="B8864" s="1" t="n">
        <v>44964</v>
      </c>
      <c r="C8864" s="1" t="n">
        <v>45736</v>
      </c>
      <c r="D8864" t="inlineStr">
        <is>
          <t>VÄRMLANDS LÄN</t>
        </is>
      </c>
      <c r="E8864" t="inlineStr">
        <is>
          <t>ARVIKA</t>
        </is>
      </c>
      <c r="G8864" t="n">
        <v>10.5</v>
      </c>
      <c r="H8864" t="n">
        <v>0</v>
      </c>
      <c r="I8864" t="n">
        <v>0</v>
      </c>
      <c r="J8864" t="n">
        <v>0</v>
      </c>
      <c r="K8864" t="n">
        <v>0</v>
      </c>
      <c r="L8864" t="n">
        <v>0</v>
      </c>
      <c r="M8864" t="n">
        <v>0</v>
      </c>
      <c r="N8864" t="n">
        <v>0</v>
      </c>
      <c r="O8864" t="n">
        <v>0</v>
      </c>
      <c r="P8864" t="n">
        <v>0</v>
      </c>
      <c r="Q8864" t="n">
        <v>0</v>
      </c>
      <c r="R8864" s="2" t="inlineStr"/>
    </row>
    <row r="8865" ht="15" customHeight="1">
      <c r="A8865" t="inlineStr">
        <is>
          <t>A 6037-2023</t>
        </is>
      </c>
      <c r="B8865" s="1" t="n">
        <v>44964</v>
      </c>
      <c r="C8865" s="1" t="n">
        <v>45736</v>
      </c>
      <c r="D8865" t="inlineStr">
        <is>
          <t>VÄRMLANDS LÄN</t>
        </is>
      </c>
      <c r="E8865" t="inlineStr">
        <is>
          <t>SUNNE</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6132-2023</t>
        </is>
      </c>
      <c r="B8866" s="1" t="n">
        <v>44964</v>
      </c>
      <c r="C8866" s="1" t="n">
        <v>45736</v>
      </c>
      <c r="D8866" t="inlineStr">
        <is>
          <t>VÄRMLANDS LÄN</t>
        </is>
      </c>
      <c r="E8866" t="inlineStr">
        <is>
          <t>SUNNE</t>
        </is>
      </c>
      <c r="F8866" t="inlineStr">
        <is>
          <t>Bergvik skog väst AB</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6138-2023</t>
        </is>
      </c>
      <c r="B8867" s="1" t="n">
        <v>44964</v>
      </c>
      <c r="C8867" s="1" t="n">
        <v>45736</v>
      </c>
      <c r="D8867" t="inlineStr">
        <is>
          <t>VÄRMLANDS LÄN</t>
        </is>
      </c>
      <c r="E8867" t="inlineStr">
        <is>
          <t>ARVIKA</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6147-2023</t>
        </is>
      </c>
      <c r="B8868" s="1" t="n">
        <v>44964</v>
      </c>
      <c r="C8868" s="1" t="n">
        <v>45736</v>
      </c>
      <c r="D8868" t="inlineStr">
        <is>
          <t>VÄRMLANDS LÄN</t>
        </is>
      </c>
      <c r="E8868" t="inlineStr">
        <is>
          <t>KRISTINEHAMN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6276-2023</t>
        </is>
      </c>
      <c r="B8869" s="1" t="n">
        <v>44965</v>
      </c>
      <c r="C8869" s="1" t="n">
        <v>45736</v>
      </c>
      <c r="D8869" t="inlineStr">
        <is>
          <t>VÄRMLANDS LÄN</t>
        </is>
      </c>
      <c r="E8869" t="inlineStr">
        <is>
          <t>KARLSTAD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6253-2023</t>
        </is>
      </c>
      <c r="B8870" s="1" t="n">
        <v>44965</v>
      </c>
      <c r="C8870" s="1" t="n">
        <v>45736</v>
      </c>
      <c r="D8870" t="inlineStr">
        <is>
          <t>VÄRMLANDS LÄN</t>
        </is>
      </c>
      <c r="E8870" t="inlineStr">
        <is>
          <t>HAGFORS</t>
        </is>
      </c>
      <c r="F8870" t="inlineStr">
        <is>
          <t>Bergvik skog väst AB</t>
        </is>
      </c>
      <c r="G8870" t="n">
        <v>20.8</v>
      </c>
      <c r="H8870" t="n">
        <v>0</v>
      </c>
      <c r="I8870" t="n">
        <v>0</v>
      </c>
      <c r="J8870" t="n">
        <v>0</v>
      </c>
      <c r="K8870" t="n">
        <v>0</v>
      </c>
      <c r="L8870" t="n">
        <v>0</v>
      </c>
      <c r="M8870" t="n">
        <v>0</v>
      </c>
      <c r="N8870" t="n">
        <v>0</v>
      </c>
      <c r="O8870" t="n">
        <v>0</v>
      </c>
      <c r="P8870" t="n">
        <v>0</v>
      </c>
      <c r="Q8870" t="n">
        <v>0</v>
      </c>
      <c r="R8870" s="2" t="inlineStr"/>
    </row>
    <row r="8871" ht="15" customHeight="1">
      <c r="A8871" t="inlineStr">
        <is>
          <t>A 6362-2023</t>
        </is>
      </c>
      <c r="B8871" s="1" t="n">
        <v>44965</v>
      </c>
      <c r="C8871" s="1" t="n">
        <v>45736</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6278-2023</t>
        </is>
      </c>
      <c r="B8872" s="1" t="n">
        <v>44965</v>
      </c>
      <c r="C8872" s="1" t="n">
        <v>45736</v>
      </c>
      <c r="D8872" t="inlineStr">
        <is>
          <t>VÄRMLANDS LÄN</t>
        </is>
      </c>
      <c r="E8872" t="inlineStr">
        <is>
          <t>KRISTINEHAMN</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6255-2023</t>
        </is>
      </c>
      <c r="B8873" s="1" t="n">
        <v>44965</v>
      </c>
      <c r="C8873" s="1" t="n">
        <v>45736</v>
      </c>
      <c r="D8873" t="inlineStr">
        <is>
          <t>VÄRMLANDS LÄN</t>
        </is>
      </c>
      <c r="E8873" t="inlineStr">
        <is>
          <t>ARVIKA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6434-2023</t>
        </is>
      </c>
      <c r="B8874" s="1" t="n">
        <v>44965</v>
      </c>
      <c r="C8874" s="1" t="n">
        <v>45736</v>
      </c>
      <c r="D8874" t="inlineStr">
        <is>
          <t>VÄRMLANDS LÄN</t>
        </is>
      </c>
      <c r="E8874" t="inlineStr">
        <is>
          <t>SUNNE</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6254-2023</t>
        </is>
      </c>
      <c r="B8875" s="1" t="n">
        <v>44965</v>
      </c>
      <c r="C8875" s="1" t="n">
        <v>45736</v>
      </c>
      <c r="D8875" t="inlineStr">
        <is>
          <t>VÄRMLANDS LÄN</t>
        </is>
      </c>
      <c r="E8875" t="inlineStr">
        <is>
          <t>SUNNE</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6328-2023</t>
        </is>
      </c>
      <c r="B8876" s="1" t="n">
        <v>44965</v>
      </c>
      <c r="C8876" s="1" t="n">
        <v>45736</v>
      </c>
      <c r="D8876" t="inlineStr">
        <is>
          <t>VÄRMLANDS LÄN</t>
        </is>
      </c>
      <c r="E8876" t="inlineStr">
        <is>
          <t>SUNNE</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6349-2023</t>
        </is>
      </c>
      <c r="B8877" s="1" t="n">
        <v>44965</v>
      </c>
      <c r="C8877" s="1" t="n">
        <v>45736</v>
      </c>
      <c r="D8877" t="inlineStr">
        <is>
          <t>VÄRMLANDS LÄN</t>
        </is>
      </c>
      <c r="E8877" t="inlineStr">
        <is>
          <t>MUNKFORS</t>
        </is>
      </c>
      <c r="F8877" t="inlineStr">
        <is>
          <t>Bergvik skog väst AB</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6403-2023</t>
        </is>
      </c>
      <c r="B8878" s="1" t="n">
        <v>44965</v>
      </c>
      <c r="C8878" s="1" t="n">
        <v>45736</v>
      </c>
      <c r="D8878" t="inlineStr">
        <is>
          <t>VÄRMLANDS LÄN</t>
        </is>
      </c>
      <c r="E8878" t="inlineStr">
        <is>
          <t>SUNNE</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6490-2023</t>
        </is>
      </c>
      <c r="B8879" s="1" t="n">
        <v>44966</v>
      </c>
      <c r="C8879" s="1" t="n">
        <v>45736</v>
      </c>
      <c r="D8879" t="inlineStr">
        <is>
          <t>VÄRMLANDS LÄN</t>
        </is>
      </c>
      <c r="E8879" t="inlineStr">
        <is>
          <t>EDA</t>
        </is>
      </c>
      <c r="F8879" t="inlineStr">
        <is>
          <t>Övriga statliga verk och myndigheter</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6503-2023</t>
        </is>
      </c>
      <c r="B8880" s="1" t="n">
        <v>44966</v>
      </c>
      <c r="C8880" s="1" t="n">
        <v>45736</v>
      </c>
      <c r="D8880" t="inlineStr">
        <is>
          <t>VÄRMLANDS LÄN</t>
        </is>
      </c>
      <c r="E8880" t="inlineStr">
        <is>
          <t>FILIPSTAD</t>
        </is>
      </c>
      <c r="F8880" t="inlineStr">
        <is>
          <t>Bergvik skog väst AB</t>
        </is>
      </c>
      <c r="G8880" t="n">
        <v>13.1</v>
      </c>
      <c r="H8880" t="n">
        <v>0</v>
      </c>
      <c r="I8880" t="n">
        <v>0</v>
      </c>
      <c r="J8880" t="n">
        <v>0</v>
      </c>
      <c r="K8880" t="n">
        <v>0</v>
      </c>
      <c r="L8880" t="n">
        <v>0</v>
      </c>
      <c r="M8880" t="n">
        <v>0</v>
      </c>
      <c r="N8880" t="n">
        <v>0</v>
      </c>
      <c r="O8880" t="n">
        <v>0</v>
      </c>
      <c r="P8880" t="n">
        <v>0</v>
      </c>
      <c r="Q8880" t="n">
        <v>0</v>
      </c>
      <c r="R8880" s="2" t="inlineStr"/>
    </row>
    <row r="8881" ht="15" customHeight="1">
      <c r="A8881" t="inlineStr">
        <is>
          <t>A 6524-2023</t>
        </is>
      </c>
      <c r="B8881" s="1" t="n">
        <v>44966</v>
      </c>
      <c r="C8881" s="1" t="n">
        <v>45736</v>
      </c>
      <c r="D8881" t="inlineStr">
        <is>
          <t>VÄRMLANDS LÄN</t>
        </is>
      </c>
      <c r="E8881" t="inlineStr">
        <is>
          <t>MUNKFORS</t>
        </is>
      </c>
      <c r="F8881" t="inlineStr">
        <is>
          <t>Bergvik skog väst AB</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6653-2023</t>
        </is>
      </c>
      <c r="B8882" s="1" t="n">
        <v>44966</v>
      </c>
      <c r="C8882" s="1" t="n">
        <v>45736</v>
      </c>
      <c r="D8882" t="inlineStr">
        <is>
          <t>VÄRMLANDS LÄN</t>
        </is>
      </c>
      <c r="E8882" t="inlineStr">
        <is>
          <t>MUNKFORS</t>
        </is>
      </c>
      <c r="F8882" t="inlineStr">
        <is>
          <t>Kyrkan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6504-2023</t>
        </is>
      </c>
      <c r="B8883" s="1" t="n">
        <v>44966</v>
      </c>
      <c r="C8883" s="1" t="n">
        <v>45736</v>
      </c>
      <c r="D8883" t="inlineStr">
        <is>
          <t>VÄRMLANDS LÄN</t>
        </is>
      </c>
      <c r="E8883" t="inlineStr">
        <is>
          <t>EDA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6531-2023</t>
        </is>
      </c>
      <c r="B8884" s="1" t="n">
        <v>44966</v>
      </c>
      <c r="C8884" s="1" t="n">
        <v>45736</v>
      </c>
      <c r="D8884" t="inlineStr">
        <is>
          <t>VÄRMLANDS LÄN</t>
        </is>
      </c>
      <c r="E8884" t="inlineStr">
        <is>
          <t>EDA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6537-2023</t>
        </is>
      </c>
      <c r="B8885" s="1" t="n">
        <v>44966</v>
      </c>
      <c r="C8885" s="1" t="n">
        <v>45736</v>
      </c>
      <c r="D8885" t="inlineStr">
        <is>
          <t>VÄRMLANDS LÄN</t>
        </is>
      </c>
      <c r="E8885" t="inlineStr">
        <is>
          <t>EDA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6654-2023</t>
        </is>
      </c>
      <c r="B8886" s="1" t="n">
        <v>44966</v>
      </c>
      <c r="C8886" s="1" t="n">
        <v>45736</v>
      </c>
      <c r="D8886" t="inlineStr">
        <is>
          <t>VÄRMLANDS LÄN</t>
        </is>
      </c>
      <c r="E8886" t="inlineStr">
        <is>
          <t>MUNKFORS</t>
        </is>
      </c>
      <c r="F8886" t="inlineStr">
        <is>
          <t>Bergvik skog väst AB</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6687-2023</t>
        </is>
      </c>
      <c r="B8887" s="1" t="n">
        <v>44966</v>
      </c>
      <c r="C8887" s="1" t="n">
        <v>45736</v>
      </c>
      <c r="D8887" t="inlineStr">
        <is>
          <t>VÄRMLANDS LÄN</t>
        </is>
      </c>
      <c r="E8887" t="inlineStr">
        <is>
          <t>KIL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6494-2023</t>
        </is>
      </c>
      <c r="B8888" s="1" t="n">
        <v>44966</v>
      </c>
      <c r="C8888" s="1" t="n">
        <v>45736</v>
      </c>
      <c r="D8888" t="inlineStr">
        <is>
          <t>VÄRMLANDS LÄN</t>
        </is>
      </c>
      <c r="E8888" t="inlineStr">
        <is>
          <t>EDA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6724-2023</t>
        </is>
      </c>
      <c r="B8889" s="1" t="n">
        <v>44966</v>
      </c>
      <c r="C8889" s="1" t="n">
        <v>45736</v>
      </c>
      <c r="D8889" t="inlineStr">
        <is>
          <t>VÄRMLANDS LÄN</t>
        </is>
      </c>
      <c r="E8889" t="inlineStr">
        <is>
          <t>FORSHAGA</t>
        </is>
      </c>
      <c r="F8889" t="inlineStr">
        <is>
          <t>Kyrkan</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6498-2023</t>
        </is>
      </c>
      <c r="B8890" s="1" t="n">
        <v>44966</v>
      </c>
      <c r="C8890" s="1" t="n">
        <v>45736</v>
      </c>
      <c r="D8890" t="inlineStr">
        <is>
          <t>VÄRMLANDS LÄN</t>
        </is>
      </c>
      <c r="E8890" t="inlineStr">
        <is>
          <t>FILIPSTAD</t>
        </is>
      </c>
      <c r="F8890" t="inlineStr">
        <is>
          <t>Bergvik skog väst AB</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6554-2023</t>
        </is>
      </c>
      <c r="B8891" s="1" t="n">
        <v>44966</v>
      </c>
      <c r="C8891" s="1" t="n">
        <v>45736</v>
      </c>
      <c r="D8891" t="inlineStr">
        <is>
          <t>VÄRMLANDS LÄN</t>
        </is>
      </c>
      <c r="E8891" t="inlineStr">
        <is>
          <t>ARVIKA</t>
        </is>
      </c>
      <c r="F8891" t="inlineStr">
        <is>
          <t>Bergvik skog väst AB</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6562-2023</t>
        </is>
      </c>
      <c r="B8892" s="1" t="n">
        <v>44966</v>
      </c>
      <c r="C8892" s="1" t="n">
        <v>45736</v>
      </c>
      <c r="D8892" t="inlineStr">
        <is>
          <t>VÄRMLANDS LÄN</t>
        </is>
      </c>
      <c r="E8892" t="inlineStr">
        <is>
          <t>ÅRJÄNG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6566-2023</t>
        </is>
      </c>
      <c r="B8893" s="1" t="n">
        <v>44966</v>
      </c>
      <c r="C8893" s="1" t="n">
        <v>45736</v>
      </c>
      <c r="D8893" t="inlineStr">
        <is>
          <t>VÄRMLANDS LÄN</t>
        </is>
      </c>
      <c r="E8893" t="inlineStr">
        <is>
          <t>SUNNE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6609-2023</t>
        </is>
      </c>
      <c r="B8894" s="1" t="n">
        <v>44966</v>
      </c>
      <c r="C8894" s="1" t="n">
        <v>45736</v>
      </c>
      <c r="D8894" t="inlineStr">
        <is>
          <t>VÄRMLANDS LÄN</t>
        </is>
      </c>
      <c r="E8894" t="inlineStr">
        <is>
          <t>EDA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6569-2023</t>
        </is>
      </c>
      <c r="B8895" s="1" t="n">
        <v>44966</v>
      </c>
      <c r="C8895" s="1" t="n">
        <v>45736</v>
      </c>
      <c r="D8895" t="inlineStr">
        <is>
          <t>VÄRMLANDS LÄN</t>
        </is>
      </c>
      <c r="E8895" t="inlineStr">
        <is>
          <t>SUNNE</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6652-2023</t>
        </is>
      </c>
      <c r="B8896" s="1" t="n">
        <v>44966</v>
      </c>
      <c r="C8896" s="1" t="n">
        <v>45736</v>
      </c>
      <c r="D8896" t="inlineStr">
        <is>
          <t>VÄRMLANDS LÄN</t>
        </is>
      </c>
      <c r="E8896" t="inlineStr">
        <is>
          <t>HAGFORS</t>
        </is>
      </c>
      <c r="F8896" t="inlineStr">
        <is>
          <t>Bergvik skog väst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6709-2023</t>
        </is>
      </c>
      <c r="B8897" s="1" t="n">
        <v>44966</v>
      </c>
      <c r="C8897" s="1" t="n">
        <v>45736</v>
      </c>
      <c r="D8897" t="inlineStr">
        <is>
          <t>VÄRMLANDS LÄN</t>
        </is>
      </c>
      <c r="E8897" t="inlineStr">
        <is>
          <t>FILIPSTAD</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6737-2023</t>
        </is>
      </c>
      <c r="B8898" s="1" t="n">
        <v>44966</v>
      </c>
      <c r="C8898" s="1" t="n">
        <v>45736</v>
      </c>
      <c r="D8898" t="inlineStr">
        <is>
          <t>VÄRMLANDS LÄN</t>
        </is>
      </c>
      <c r="E8898" t="inlineStr">
        <is>
          <t>EDA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6871-2023</t>
        </is>
      </c>
      <c r="B8899" s="1" t="n">
        <v>44967</v>
      </c>
      <c r="C8899" s="1" t="n">
        <v>45736</v>
      </c>
      <c r="D8899" t="inlineStr">
        <is>
          <t>VÄRMLANDS LÄN</t>
        </is>
      </c>
      <c r="E8899" t="inlineStr">
        <is>
          <t>MUNKFORS</t>
        </is>
      </c>
      <c r="F8899" t="inlineStr">
        <is>
          <t>Bergvik skog väst AB</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6859-2023</t>
        </is>
      </c>
      <c r="B8900" s="1" t="n">
        <v>44967</v>
      </c>
      <c r="C8900" s="1" t="n">
        <v>45736</v>
      </c>
      <c r="D8900" t="inlineStr">
        <is>
          <t>VÄRMLANDS LÄN</t>
        </is>
      </c>
      <c r="E8900" t="inlineStr">
        <is>
          <t>MUNKFORS</t>
        </is>
      </c>
      <c r="F8900" t="inlineStr">
        <is>
          <t>Bergvik skog väst AB</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6877-2023</t>
        </is>
      </c>
      <c r="B8901" s="1" t="n">
        <v>44967</v>
      </c>
      <c r="C8901" s="1" t="n">
        <v>45736</v>
      </c>
      <c r="D8901" t="inlineStr">
        <is>
          <t>VÄRMLANDS LÄN</t>
        </is>
      </c>
      <c r="E8901" t="inlineStr">
        <is>
          <t>MUNKFORS</t>
        </is>
      </c>
      <c r="F8901" t="inlineStr">
        <is>
          <t>Bergvik skog väst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6901-2023</t>
        </is>
      </c>
      <c r="B8902" s="1" t="n">
        <v>44967</v>
      </c>
      <c r="C8902" s="1" t="n">
        <v>45736</v>
      </c>
      <c r="D8902" t="inlineStr">
        <is>
          <t>VÄRMLANDS LÄN</t>
        </is>
      </c>
      <c r="E8902" t="inlineStr">
        <is>
          <t>MUNKFORS</t>
        </is>
      </c>
      <c r="F8902" t="inlineStr">
        <is>
          <t>Bergvik skog väst AB</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6986-2023</t>
        </is>
      </c>
      <c r="B8903" s="1" t="n">
        <v>44967</v>
      </c>
      <c r="C8903" s="1" t="n">
        <v>45736</v>
      </c>
      <c r="D8903" t="inlineStr">
        <is>
          <t>VÄRMLANDS LÄN</t>
        </is>
      </c>
      <c r="E8903" t="inlineStr">
        <is>
          <t>FORSHAGA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6993-2023</t>
        </is>
      </c>
      <c r="B8904" s="1" t="n">
        <v>44967</v>
      </c>
      <c r="C8904" s="1" t="n">
        <v>45736</v>
      </c>
      <c r="D8904" t="inlineStr">
        <is>
          <t>VÄRMLANDS LÄN</t>
        </is>
      </c>
      <c r="E8904" t="inlineStr">
        <is>
          <t>ARVIKA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7619-2023</t>
        </is>
      </c>
      <c r="B8905" s="1" t="n">
        <v>44967</v>
      </c>
      <c r="C8905" s="1" t="n">
        <v>45736</v>
      </c>
      <c r="D8905" t="inlineStr">
        <is>
          <t>VÄRMLANDS LÄN</t>
        </is>
      </c>
      <c r="E8905" t="inlineStr">
        <is>
          <t>ÅRJÄNG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7700-2023</t>
        </is>
      </c>
      <c r="B8906" s="1" t="n">
        <v>44967</v>
      </c>
      <c r="C8906" s="1" t="n">
        <v>45736</v>
      </c>
      <c r="D8906" t="inlineStr">
        <is>
          <t>VÄRMLANDS LÄN</t>
        </is>
      </c>
      <c r="E8906" t="inlineStr">
        <is>
          <t>ÅRJÄNG</t>
        </is>
      </c>
      <c r="F8906" t="inlineStr">
        <is>
          <t>Övriga Aktiebolag</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7699-2023</t>
        </is>
      </c>
      <c r="B8907" s="1" t="n">
        <v>44967</v>
      </c>
      <c r="C8907" s="1" t="n">
        <v>45736</v>
      </c>
      <c r="D8907" t="inlineStr">
        <is>
          <t>VÄRMLANDS LÄN</t>
        </is>
      </c>
      <c r="E8907" t="inlineStr">
        <is>
          <t>ÅRJÄNG</t>
        </is>
      </c>
      <c r="F8907" t="inlineStr">
        <is>
          <t>Övriga Aktiebolag</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7703-2023</t>
        </is>
      </c>
      <c r="B8908" s="1" t="n">
        <v>44968</v>
      </c>
      <c r="C8908" s="1" t="n">
        <v>45736</v>
      </c>
      <c r="D8908" t="inlineStr">
        <is>
          <t>VÄRMLANDS LÄN</t>
        </is>
      </c>
      <c r="E8908" t="inlineStr">
        <is>
          <t>ÅRJÄNG</t>
        </is>
      </c>
      <c r="F8908" t="inlineStr">
        <is>
          <t>Övriga Aktiebolag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7054-2023</t>
        </is>
      </c>
      <c r="B8909" s="1" t="n">
        <v>44969</v>
      </c>
      <c r="C8909" s="1" t="n">
        <v>45736</v>
      </c>
      <c r="D8909" t="inlineStr">
        <is>
          <t>VÄRMLANDS LÄN</t>
        </is>
      </c>
      <c r="E8909" t="inlineStr">
        <is>
          <t>SUNNE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7052-2023</t>
        </is>
      </c>
      <c r="B8910" s="1" t="n">
        <v>44969</v>
      </c>
      <c r="C8910" s="1" t="n">
        <v>45736</v>
      </c>
      <c r="D8910" t="inlineStr">
        <is>
          <t>VÄRMLANDS LÄN</t>
        </is>
      </c>
      <c r="E8910" t="inlineStr">
        <is>
          <t>SUNNE</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7056-2023</t>
        </is>
      </c>
      <c r="B8911" s="1" t="n">
        <v>44969</v>
      </c>
      <c r="C8911" s="1" t="n">
        <v>45736</v>
      </c>
      <c r="D8911" t="inlineStr">
        <is>
          <t>VÄRMLANDS LÄN</t>
        </is>
      </c>
      <c r="E8911" t="inlineStr">
        <is>
          <t>SUNNE</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7072-2023</t>
        </is>
      </c>
      <c r="B8912" s="1" t="n">
        <v>44969</v>
      </c>
      <c r="C8912" s="1" t="n">
        <v>45736</v>
      </c>
      <c r="D8912" t="inlineStr">
        <is>
          <t>VÄRMLANDS LÄN</t>
        </is>
      </c>
      <c r="E8912" t="inlineStr">
        <is>
          <t>STORFORS</t>
        </is>
      </c>
      <c r="F8912" t="inlineStr">
        <is>
          <t>Bergvik skog väst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7051-2023</t>
        </is>
      </c>
      <c r="B8913" s="1" t="n">
        <v>44969</v>
      </c>
      <c r="C8913" s="1" t="n">
        <v>45736</v>
      </c>
      <c r="D8913" t="inlineStr">
        <is>
          <t>VÄRMLANDS LÄN</t>
        </is>
      </c>
      <c r="E8913" t="inlineStr">
        <is>
          <t>SUNNE</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7055-2023</t>
        </is>
      </c>
      <c r="B8914" s="1" t="n">
        <v>44969</v>
      </c>
      <c r="C8914" s="1" t="n">
        <v>45736</v>
      </c>
      <c r="D8914" t="inlineStr">
        <is>
          <t>VÄRMLANDS LÄN</t>
        </is>
      </c>
      <c r="E8914" t="inlineStr">
        <is>
          <t>SUNNE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7059-2023</t>
        </is>
      </c>
      <c r="B8915" s="1" t="n">
        <v>44969</v>
      </c>
      <c r="C8915" s="1" t="n">
        <v>45736</v>
      </c>
      <c r="D8915" t="inlineStr">
        <is>
          <t>VÄRMLANDS LÄN</t>
        </is>
      </c>
      <c r="E8915" t="inlineStr">
        <is>
          <t>ÅRJÄNG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7053-2023</t>
        </is>
      </c>
      <c r="B8916" s="1" t="n">
        <v>44969</v>
      </c>
      <c r="C8916" s="1" t="n">
        <v>45736</v>
      </c>
      <c r="D8916" t="inlineStr">
        <is>
          <t>VÄRMLANDS LÄN</t>
        </is>
      </c>
      <c r="E8916" t="inlineStr">
        <is>
          <t>SUNNE</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7057-2023</t>
        </is>
      </c>
      <c r="B8917" s="1" t="n">
        <v>44969</v>
      </c>
      <c r="C8917" s="1" t="n">
        <v>45736</v>
      </c>
      <c r="D8917" t="inlineStr">
        <is>
          <t>VÄRMLANDS LÄN</t>
        </is>
      </c>
      <c r="E8917" t="inlineStr">
        <is>
          <t>SUNNE</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7097-2023</t>
        </is>
      </c>
      <c r="B8918" s="1" t="n">
        <v>44970</v>
      </c>
      <c r="C8918" s="1" t="n">
        <v>45736</v>
      </c>
      <c r="D8918" t="inlineStr">
        <is>
          <t>VÄRMLANDS LÄN</t>
        </is>
      </c>
      <c r="E8918" t="inlineStr">
        <is>
          <t>KARLSTAD</t>
        </is>
      </c>
      <c r="F8918" t="inlineStr">
        <is>
          <t>Kommuner</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7273-2023</t>
        </is>
      </c>
      <c r="B8919" s="1" t="n">
        <v>44970</v>
      </c>
      <c r="C8919" s="1" t="n">
        <v>45736</v>
      </c>
      <c r="D8919" t="inlineStr">
        <is>
          <t>VÄRMLANDS LÄN</t>
        </is>
      </c>
      <c r="E8919" t="inlineStr">
        <is>
          <t>FORSHAGA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7073-2023</t>
        </is>
      </c>
      <c r="B8920" s="1" t="n">
        <v>44970</v>
      </c>
      <c r="C8920" s="1" t="n">
        <v>45736</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7092-2023</t>
        </is>
      </c>
      <c r="B8921" s="1" t="n">
        <v>44970</v>
      </c>
      <c r="C8921" s="1" t="n">
        <v>45736</v>
      </c>
      <c r="D8921" t="inlineStr">
        <is>
          <t>VÄRMLANDS LÄN</t>
        </is>
      </c>
      <c r="E8921" t="inlineStr">
        <is>
          <t>ÅRJÄNG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7114-2023</t>
        </is>
      </c>
      <c r="B8922" s="1" t="n">
        <v>44970</v>
      </c>
      <c r="C8922" s="1" t="n">
        <v>45736</v>
      </c>
      <c r="D8922" t="inlineStr">
        <is>
          <t>VÄRMLANDS LÄN</t>
        </is>
      </c>
      <c r="E8922" t="inlineStr">
        <is>
          <t>ÅRJÄNG</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7131-2023</t>
        </is>
      </c>
      <c r="B8923" s="1" t="n">
        <v>44970</v>
      </c>
      <c r="C8923" s="1" t="n">
        <v>45736</v>
      </c>
      <c r="D8923" t="inlineStr">
        <is>
          <t>VÄRMLANDS LÄN</t>
        </is>
      </c>
      <c r="E8923" t="inlineStr">
        <is>
          <t>SUNNE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7278-2023</t>
        </is>
      </c>
      <c r="B8924" s="1" t="n">
        <v>44970</v>
      </c>
      <c r="C8924" s="1" t="n">
        <v>45736</v>
      </c>
      <c r="D8924" t="inlineStr">
        <is>
          <t>VÄRMLANDS LÄN</t>
        </is>
      </c>
      <c r="E8924" t="inlineStr">
        <is>
          <t>ARVIKA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7283-2023</t>
        </is>
      </c>
      <c r="B8925" s="1" t="n">
        <v>44970</v>
      </c>
      <c r="C8925" s="1" t="n">
        <v>45736</v>
      </c>
      <c r="D8925" t="inlineStr">
        <is>
          <t>VÄRMLANDS LÄN</t>
        </is>
      </c>
      <c r="E8925" t="inlineStr">
        <is>
          <t>TORSBY</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7297-2023</t>
        </is>
      </c>
      <c r="B8926" s="1" t="n">
        <v>44970</v>
      </c>
      <c r="C8926" s="1" t="n">
        <v>45736</v>
      </c>
      <c r="D8926" t="inlineStr">
        <is>
          <t>VÄRMLANDS LÄN</t>
        </is>
      </c>
      <c r="E8926" t="inlineStr">
        <is>
          <t>FORSHAGA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7104-2023</t>
        </is>
      </c>
      <c r="B8927" s="1" t="n">
        <v>44970</v>
      </c>
      <c r="C8927" s="1" t="n">
        <v>45736</v>
      </c>
      <c r="D8927" t="inlineStr">
        <is>
          <t>VÄRMLANDS LÄN</t>
        </is>
      </c>
      <c r="E8927" t="inlineStr">
        <is>
          <t>ÅRJÄNG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7127-2023</t>
        </is>
      </c>
      <c r="B8928" s="1" t="n">
        <v>44970</v>
      </c>
      <c r="C8928" s="1" t="n">
        <v>45736</v>
      </c>
      <c r="D8928" t="inlineStr">
        <is>
          <t>VÄRMLANDS LÄN</t>
        </is>
      </c>
      <c r="E8928" t="inlineStr">
        <is>
          <t>TORSBY</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7133-2023</t>
        </is>
      </c>
      <c r="B8929" s="1" t="n">
        <v>44970</v>
      </c>
      <c r="C8929" s="1" t="n">
        <v>45736</v>
      </c>
      <c r="D8929" t="inlineStr">
        <is>
          <t>VÄRMLANDS LÄN</t>
        </is>
      </c>
      <c r="E8929" t="inlineStr">
        <is>
          <t>TORSBY</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7244-2023</t>
        </is>
      </c>
      <c r="B8930" s="1" t="n">
        <v>44970</v>
      </c>
      <c r="C8930" s="1" t="n">
        <v>45736</v>
      </c>
      <c r="D8930" t="inlineStr">
        <is>
          <t>VÄRMLANDS LÄN</t>
        </is>
      </c>
      <c r="E8930" t="inlineStr">
        <is>
          <t>EDA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7281-2023</t>
        </is>
      </c>
      <c r="B8931" s="1" t="n">
        <v>44970</v>
      </c>
      <c r="C8931" s="1" t="n">
        <v>45736</v>
      </c>
      <c r="D8931" t="inlineStr">
        <is>
          <t>VÄRMLANDS LÄN</t>
        </is>
      </c>
      <c r="E8931" t="inlineStr">
        <is>
          <t>SÄFFLE</t>
        </is>
      </c>
      <c r="F8931" t="inlineStr">
        <is>
          <t>Bergvik skog väst AB</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7299-2023</t>
        </is>
      </c>
      <c r="B8932" s="1" t="n">
        <v>44970</v>
      </c>
      <c r="C8932" s="1" t="n">
        <v>45736</v>
      </c>
      <c r="D8932" t="inlineStr">
        <is>
          <t>VÄRMLANDS LÄN</t>
        </is>
      </c>
      <c r="E8932" t="inlineStr">
        <is>
          <t>FORSHAGA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7199-2023</t>
        </is>
      </c>
      <c r="B8933" s="1" t="n">
        <v>44970</v>
      </c>
      <c r="C8933" s="1" t="n">
        <v>45736</v>
      </c>
      <c r="D8933" t="inlineStr">
        <is>
          <t>VÄRMLANDS LÄN</t>
        </is>
      </c>
      <c r="E8933" t="inlineStr">
        <is>
          <t>SUNNE</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7248-2023</t>
        </is>
      </c>
      <c r="B8934" s="1" t="n">
        <v>44970</v>
      </c>
      <c r="C8934" s="1" t="n">
        <v>45736</v>
      </c>
      <c r="D8934" t="inlineStr">
        <is>
          <t>VÄRMLANDS LÄN</t>
        </is>
      </c>
      <c r="E8934" t="inlineStr">
        <is>
          <t>FILIPSTAD</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7282-2023</t>
        </is>
      </c>
      <c r="B8935" s="1" t="n">
        <v>44970</v>
      </c>
      <c r="C8935" s="1" t="n">
        <v>45736</v>
      </c>
      <c r="D8935" t="inlineStr">
        <is>
          <t>VÄRMLANDS LÄN</t>
        </is>
      </c>
      <c r="E8935" t="inlineStr">
        <is>
          <t>EDA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7294-2023</t>
        </is>
      </c>
      <c r="B8936" s="1" t="n">
        <v>44970</v>
      </c>
      <c r="C8936" s="1" t="n">
        <v>45736</v>
      </c>
      <c r="D8936" t="inlineStr">
        <is>
          <t>VÄRMLANDS LÄN</t>
        </is>
      </c>
      <c r="E8936" t="inlineStr">
        <is>
          <t>FORSHAGA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7311-2023</t>
        </is>
      </c>
      <c r="B8937" s="1" t="n">
        <v>44970</v>
      </c>
      <c r="C8937" s="1" t="n">
        <v>45736</v>
      </c>
      <c r="D8937" t="inlineStr">
        <is>
          <t>VÄRMLANDS LÄN</t>
        </is>
      </c>
      <c r="E8937" t="inlineStr">
        <is>
          <t>KRISTINEHAMN</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7350-2023</t>
        </is>
      </c>
      <c r="B8938" s="1" t="n">
        <v>44971</v>
      </c>
      <c r="C8938" s="1" t="n">
        <v>45736</v>
      </c>
      <c r="D8938" t="inlineStr">
        <is>
          <t>VÄRMLANDS LÄN</t>
        </is>
      </c>
      <c r="E8938" t="inlineStr">
        <is>
          <t>ARVIKA</t>
        </is>
      </c>
      <c r="G8938" t="n">
        <v>9.300000000000001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7395-2023</t>
        </is>
      </c>
      <c r="B8939" s="1" t="n">
        <v>44971</v>
      </c>
      <c r="C8939" s="1" t="n">
        <v>45736</v>
      </c>
      <c r="D8939" t="inlineStr">
        <is>
          <t>VÄRMLANDS LÄN</t>
        </is>
      </c>
      <c r="E8939" t="inlineStr">
        <is>
          <t>SUNNE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7402-2023</t>
        </is>
      </c>
      <c r="B8940" s="1" t="n">
        <v>44971</v>
      </c>
      <c r="C8940" s="1" t="n">
        <v>45736</v>
      </c>
      <c r="D8940" t="inlineStr">
        <is>
          <t>VÄRMLANDS LÄN</t>
        </is>
      </c>
      <c r="E8940" t="inlineStr">
        <is>
          <t>ARVIKA</t>
        </is>
      </c>
      <c r="F8940" t="inlineStr">
        <is>
          <t>Bergvik skog väst AB</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7407-2023</t>
        </is>
      </c>
      <c r="B8941" s="1" t="n">
        <v>44971</v>
      </c>
      <c r="C8941" s="1" t="n">
        <v>45736</v>
      </c>
      <c r="D8941" t="inlineStr">
        <is>
          <t>VÄRMLANDS LÄN</t>
        </is>
      </c>
      <c r="E8941" t="inlineStr">
        <is>
          <t>KIL</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7400-2023</t>
        </is>
      </c>
      <c r="B8942" s="1" t="n">
        <v>44971</v>
      </c>
      <c r="C8942" s="1" t="n">
        <v>45736</v>
      </c>
      <c r="D8942" t="inlineStr">
        <is>
          <t>VÄRMLANDS LÄN</t>
        </is>
      </c>
      <c r="E8942" t="inlineStr">
        <is>
          <t>SUNNE</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7405-2023</t>
        </is>
      </c>
      <c r="B8943" s="1" t="n">
        <v>44971</v>
      </c>
      <c r="C8943" s="1" t="n">
        <v>45736</v>
      </c>
      <c r="D8943" t="inlineStr">
        <is>
          <t>VÄRMLANDS LÄN</t>
        </is>
      </c>
      <c r="E8943" t="inlineStr">
        <is>
          <t>TORSBY</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7456-2023</t>
        </is>
      </c>
      <c r="B8944" s="1" t="n">
        <v>44971</v>
      </c>
      <c r="C8944" s="1" t="n">
        <v>45736</v>
      </c>
      <c r="D8944" t="inlineStr">
        <is>
          <t>VÄRMLANDS LÄN</t>
        </is>
      </c>
      <c r="E8944" t="inlineStr">
        <is>
          <t>ARVIKA</t>
        </is>
      </c>
      <c r="F8944" t="inlineStr">
        <is>
          <t>Bergvik skog väst AB</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7486-2023</t>
        </is>
      </c>
      <c r="B8945" s="1" t="n">
        <v>44971</v>
      </c>
      <c r="C8945" s="1" t="n">
        <v>45736</v>
      </c>
      <c r="D8945" t="inlineStr">
        <is>
          <t>VÄRMLANDS LÄN</t>
        </is>
      </c>
      <c r="E8945" t="inlineStr">
        <is>
          <t>FORSHAGA</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8194-2023</t>
        </is>
      </c>
      <c r="B8946" s="1" t="n">
        <v>44971</v>
      </c>
      <c r="C8946" s="1" t="n">
        <v>45736</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8192-2023</t>
        </is>
      </c>
      <c r="B8947" s="1" t="n">
        <v>44971</v>
      </c>
      <c r="C8947" s="1" t="n">
        <v>45736</v>
      </c>
      <c r="D8947" t="inlineStr">
        <is>
          <t>VÄRMLANDS LÄN</t>
        </is>
      </c>
      <c r="E8947" t="inlineStr">
        <is>
          <t>TORSBY</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7601-2023</t>
        </is>
      </c>
      <c r="B8948" s="1" t="n">
        <v>44972</v>
      </c>
      <c r="C8948" s="1" t="n">
        <v>45736</v>
      </c>
      <c r="D8948" t="inlineStr">
        <is>
          <t>VÄRMLANDS LÄN</t>
        </is>
      </c>
      <c r="E8948" t="inlineStr">
        <is>
          <t>ÅRJÄNG</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7615-2023</t>
        </is>
      </c>
      <c r="B8949" s="1" t="n">
        <v>44972</v>
      </c>
      <c r="C8949" s="1" t="n">
        <v>45736</v>
      </c>
      <c r="D8949" t="inlineStr">
        <is>
          <t>VÄRMLANDS LÄN</t>
        </is>
      </c>
      <c r="E8949" t="inlineStr">
        <is>
          <t>ÅRJÄNG</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7622-2023</t>
        </is>
      </c>
      <c r="B8950" s="1" t="n">
        <v>44972</v>
      </c>
      <c r="C8950" s="1" t="n">
        <v>45736</v>
      </c>
      <c r="D8950" t="inlineStr">
        <is>
          <t>VÄRMLANDS LÄN</t>
        </is>
      </c>
      <c r="E8950" t="inlineStr">
        <is>
          <t>ÅRJÄNG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7617-2023</t>
        </is>
      </c>
      <c r="B8951" s="1" t="n">
        <v>44972</v>
      </c>
      <c r="C8951" s="1" t="n">
        <v>45736</v>
      </c>
      <c r="D8951" t="inlineStr">
        <is>
          <t>VÄRMLANDS LÄN</t>
        </is>
      </c>
      <c r="E8951" t="inlineStr">
        <is>
          <t>ÅRJÄNG</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7625-2023</t>
        </is>
      </c>
      <c r="B8952" s="1" t="n">
        <v>44972</v>
      </c>
      <c r="C8952" s="1" t="n">
        <v>45736</v>
      </c>
      <c r="D8952" t="inlineStr">
        <is>
          <t>VÄRMLANDS LÄN</t>
        </is>
      </c>
      <c r="E8952" t="inlineStr">
        <is>
          <t>ÅRJÄNG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7633-2023</t>
        </is>
      </c>
      <c r="B8953" s="1" t="n">
        <v>44972</v>
      </c>
      <c r="C8953" s="1" t="n">
        <v>45736</v>
      </c>
      <c r="D8953" t="inlineStr">
        <is>
          <t>VÄRMLANDS LÄN</t>
        </is>
      </c>
      <c r="E8953" t="inlineStr">
        <is>
          <t>ÅRJÄNG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7614-2023</t>
        </is>
      </c>
      <c r="B8954" s="1" t="n">
        <v>44972</v>
      </c>
      <c r="C8954" s="1" t="n">
        <v>45736</v>
      </c>
      <c r="D8954" t="inlineStr">
        <is>
          <t>VÄRMLANDS LÄN</t>
        </is>
      </c>
      <c r="E8954" t="inlineStr">
        <is>
          <t>MUNKFORS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7618-2023</t>
        </is>
      </c>
      <c r="B8955" s="1" t="n">
        <v>44972</v>
      </c>
      <c r="C8955" s="1" t="n">
        <v>45736</v>
      </c>
      <c r="D8955" t="inlineStr">
        <is>
          <t>VÄRMLANDS LÄN</t>
        </is>
      </c>
      <c r="E8955" t="inlineStr">
        <is>
          <t>MUNKFORS</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7646-2023</t>
        </is>
      </c>
      <c r="B8956" s="1" t="n">
        <v>44972</v>
      </c>
      <c r="C8956" s="1" t="n">
        <v>45736</v>
      </c>
      <c r="D8956" t="inlineStr">
        <is>
          <t>VÄRMLANDS LÄN</t>
        </is>
      </c>
      <c r="E8956" t="inlineStr">
        <is>
          <t>MUNKFORS</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7678-2023</t>
        </is>
      </c>
      <c r="B8957" s="1" t="n">
        <v>44972</v>
      </c>
      <c r="C8957" s="1" t="n">
        <v>45736</v>
      </c>
      <c r="D8957" t="inlineStr">
        <is>
          <t>VÄRMLANDS LÄN</t>
        </is>
      </c>
      <c r="E8957" t="inlineStr">
        <is>
          <t>MUNKFORS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7683-2023</t>
        </is>
      </c>
      <c r="B8958" s="1" t="n">
        <v>44972</v>
      </c>
      <c r="C8958" s="1" t="n">
        <v>45736</v>
      </c>
      <c r="D8958" t="inlineStr">
        <is>
          <t>VÄRMLANDS LÄN</t>
        </is>
      </c>
      <c r="E8958" t="inlineStr">
        <is>
          <t>MUNKFORS</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7688-2023</t>
        </is>
      </c>
      <c r="B8959" s="1" t="n">
        <v>44972</v>
      </c>
      <c r="C8959" s="1" t="n">
        <v>45736</v>
      </c>
      <c r="D8959" t="inlineStr">
        <is>
          <t>VÄRMLANDS LÄN</t>
        </is>
      </c>
      <c r="E8959" t="inlineStr">
        <is>
          <t>MUNKFORS</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7686-2023</t>
        </is>
      </c>
      <c r="B8960" s="1" t="n">
        <v>44972</v>
      </c>
      <c r="C8960" s="1" t="n">
        <v>45736</v>
      </c>
      <c r="D8960" t="inlineStr">
        <is>
          <t>VÄRMLANDS LÄN</t>
        </is>
      </c>
      <c r="E8960" t="inlineStr">
        <is>
          <t>ARVIKA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7706-2023</t>
        </is>
      </c>
      <c r="B8961" s="1" t="n">
        <v>44972</v>
      </c>
      <c r="C8961" s="1" t="n">
        <v>45736</v>
      </c>
      <c r="D8961" t="inlineStr">
        <is>
          <t>VÄRMLANDS LÄN</t>
        </is>
      </c>
      <c r="E8961" t="inlineStr">
        <is>
          <t>GRUMS</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8557-2023</t>
        </is>
      </c>
      <c r="B8962" s="1" t="n">
        <v>44972</v>
      </c>
      <c r="C8962" s="1" t="n">
        <v>45736</v>
      </c>
      <c r="D8962" t="inlineStr">
        <is>
          <t>VÄRMLANDS LÄN</t>
        </is>
      </c>
      <c r="E8962" t="inlineStr">
        <is>
          <t>KRISTINEHAMN</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7665-2023</t>
        </is>
      </c>
      <c r="B8963" s="1" t="n">
        <v>44972</v>
      </c>
      <c r="C8963" s="1" t="n">
        <v>45736</v>
      </c>
      <c r="D8963" t="inlineStr">
        <is>
          <t>VÄRMLANDS LÄN</t>
        </is>
      </c>
      <c r="E8963" t="inlineStr">
        <is>
          <t>SUNNE</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8741-2023</t>
        </is>
      </c>
      <c r="B8964" s="1" t="n">
        <v>44972</v>
      </c>
      <c r="C8964" s="1" t="n">
        <v>45736</v>
      </c>
      <c r="D8964" t="inlineStr">
        <is>
          <t>VÄRMLANDS LÄN</t>
        </is>
      </c>
      <c r="E8964" t="inlineStr">
        <is>
          <t>ARVIKA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7687-2023</t>
        </is>
      </c>
      <c r="B8965" s="1" t="n">
        <v>44972</v>
      </c>
      <c r="C8965" s="1" t="n">
        <v>45736</v>
      </c>
      <c r="D8965" t="inlineStr">
        <is>
          <t>VÄRMLANDS LÄN</t>
        </is>
      </c>
      <c r="E8965" t="inlineStr">
        <is>
          <t>MUNKFORS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7658-2023</t>
        </is>
      </c>
      <c r="B8966" s="1" t="n">
        <v>44972</v>
      </c>
      <c r="C8966" s="1" t="n">
        <v>45736</v>
      </c>
      <c r="D8966" t="inlineStr">
        <is>
          <t>VÄRMLANDS LÄN</t>
        </is>
      </c>
      <c r="E8966" t="inlineStr">
        <is>
          <t>SUNNE</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7685-2023</t>
        </is>
      </c>
      <c r="B8967" s="1" t="n">
        <v>44972</v>
      </c>
      <c r="C8967" s="1" t="n">
        <v>45736</v>
      </c>
      <c r="D8967" t="inlineStr">
        <is>
          <t>VÄRMLANDS LÄN</t>
        </is>
      </c>
      <c r="E8967" t="inlineStr">
        <is>
          <t>ARVIKA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7690-2023</t>
        </is>
      </c>
      <c r="B8968" s="1" t="n">
        <v>44972</v>
      </c>
      <c r="C8968" s="1" t="n">
        <v>45736</v>
      </c>
      <c r="D8968" t="inlineStr">
        <is>
          <t>VÄRMLANDS LÄN</t>
        </is>
      </c>
      <c r="E8968" t="inlineStr">
        <is>
          <t>FORSHAGA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7697-2023</t>
        </is>
      </c>
      <c r="B8969" s="1" t="n">
        <v>44972</v>
      </c>
      <c r="C8969" s="1" t="n">
        <v>45736</v>
      </c>
      <c r="D8969" t="inlineStr">
        <is>
          <t>VÄRMLANDS LÄN</t>
        </is>
      </c>
      <c r="E8969" t="inlineStr">
        <is>
          <t>FORSHAGA</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7745-2023</t>
        </is>
      </c>
      <c r="B8970" s="1" t="n">
        <v>44973</v>
      </c>
      <c r="C8970" s="1" t="n">
        <v>45736</v>
      </c>
      <c r="D8970" t="inlineStr">
        <is>
          <t>VÄRMLANDS LÄN</t>
        </is>
      </c>
      <c r="E8970" t="inlineStr">
        <is>
          <t>TORSBY</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7854-2023</t>
        </is>
      </c>
      <c r="B8971" s="1" t="n">
        <v>44973</v>
      </c>
      <c r="C8971" s="1" t="n">
        <v>45736</v>
      </c>
      <c r="D8971" t="inlineStr">
        <is>
          <t>VÄRMLANDS LÄN</t>
        </is>
      </c>
      <c r="E8971" t="inlineStr">
        <is>
          <t>ÅRJÄNG</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7753-2023</t>
        </is>
      </c>
      <c r="B8972" s="1" t="n">
        <v>44973</v>
      </c>
      <c r="C8972" s="1" t="n">
        <v>45736</v>
      </c>
      <c r="D8972" t="inlineStr">
        <is>
          <t>VÄRMLANDS LÄN</t>
        </is>
      </c>
      <c r="E8972" t="inlineStr">
        <is>
          <t>TORSBY</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7855-2023</t>
        </is>
      </c>
      <c r="B8973" s="1" t="n">
        <v>44973</v>
      </c>
      <c r="C8973" s="1" t="n">
        <v>45736</v>
      </c>
      <c r="D8973" t="inlineStr">
        <is>
          <t>VÄRMLANDS LÄN</t>
        </is>
      </c>
      <c r="E8973" t="inlineStr">
        <is>
          <t>ARVIKA</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7840-2023</t>
        </is>
      </c>
      <c r="B8974" s="1" t="n">
        <v>44973</v>
      </c>
      <c r="C8974" s="1" t="n">
        <v>45736</v>
      </c>
      <c r="D8974" t="inlineStr">
        <is>
          <t>VÄRMLANDS LÄN</t>
        </is>
      </c>
      <c r="E8974" t="inlineStr">
        <is>
          <t>KARLSTAD</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7866-2023</t>
        </is>
      </c>
      <c r="B8975" s="1" t="n">
        <v>44973</v>
      </c>
      <c r="C8975" s="1" t="n">
        <v>45736</v>
      </c>
      <c r="D8975" t="inlineStr">
        <is>
          <t>VÄRMLANDS LÄN</t>
        </is>
      </c>
      <c r="E8975" t="inlineStr">
        <is>
          <t>KARLSTAD</t>
        </is>
      </c>
      <c r="G8975" t="n">
        <v>15.8</v>
      </c>
      <c r="H8975" t="n">
        <v>0</v>
      </c>
      <c r="I8975" t="n">
        <v>0</v>
      </c>
      <c r="J8975" t="n">
        <v>0</v>
      </c>
      <c r="K8975" t="n">
        <v>0</v>
      </c>
      <c r="L8975" t="n">
        <v>0</v>
      </c>
      <c r="M8975" t="n">
        <v>0</v>
      </c>
      <c r="N8975" t="n">
        <v>0</v>
      </c>
      <c r="O8975" t="n">
        <v>0</v>
      </c>
      <c r="P8975" t="n">
        <v>0</v>
      </c>
      <c r="Q8975" t="n">
        <v>0</v>
      </c>
      <c r="R8975" s="2" t="inlineStr"/>
    </row>
    <row r="8976" ht="15" customHeight="1">
      <c r="A8976" t="inlineStr">
        <is>
          <t>A 7919-2023</t>
        </is>
      </c>
      <c r="B8976" s="1" t="n">
        <v>44973</v>
      </c>
      <c r="C8976" s="1" t="n">
        <v>45736</v>
      </c>
      <c r="D8976" t="inlineStr">
        <is>
          <t>VÄRMLANDS LÄN</t>
        </is>
      </c>
      <c r="E8976" t="inlineStr">
        <is>
          <t>FORSHAGA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7877-2023</t>
        </is>
      </c>
      <c r="B8977" s="1" t="n">
        <v>44973</v>
      </c>
      <c r="C8977" s="1" t="n">
        <v>45736</v>
      </c>
      <c r="D8977" t="inlineStr">
        <is>
          <t>VÄRMLANDS LÄN</t>
        </is>
      </c>
      <c r="E8977" t="inlineStr">
        <is>
          <t>ARVIKA</t>
        </is>
      </c>
      <c r="F8977" t="inlineStr">
        <is>
          <t>Bergvik skog väst AB</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7892-2023</t>
        </is>
      </c>
      <c r="B8978" s="1" t="n">
        <v>44973</v>
      </c>
      <c r="C8978" s="1" t="n">
        <v>45736</v>
      </c>
      <c r="D8978" t="inlineStr">
        <is>
          <t>VÄRMLANDS LÄN</t>
        </is>
      </c>
      <c r="E8978" t="inlineStr">
        <is>
          <t>KARLSTAD</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8016-2023</t>
        </is>
      </c>
      <c r="B8979" s="1" t="n">
        <v>44973</v>
      </c>
      <c r="C8979" s="1" t="n">
        <v>45736</v>
      </c>
      <c r="D8979" t="inlineStr">
        <is>
          <t>VÄRMLANDS LÄN</t>
        </is>
      </c>
      <c r="E8979" t="inlineStr">
        <is>
          <t>TORSBY</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8910-2023</t>
        </is>
      </c>
      <c r="B8980" s="1" t="n">
        <v>44973</v>
      </c>
      <c r="C8980" s="1" t="n">
        <v>45736</v>
      </c>
      <c r="D8980" t="inlineStr">
        <is>
          <t>VÄRMLANDS LÄN</t>
        </is>
      </c>
      <c r="E8980" t="inlineStr">
        <is>
          <t>TORSBY</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8012-2023</t>
        </is>
      </c>
      <c r="B8981" s="1" t="n">
        <v>44973</v>
      </c>
      <c r="C8981" s="1" t="n">
        <v>45736</v>
      </c>
      <c r="D8981" t="inlineStr">
        <is>
          <t>VÄRMLANDS LÄN</t>
        </is>
      </c>
      <c r="E8981" t="inlineStr">
        <is>
          <t>TORSBY</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8828-2023</t>
        </is>
      </c>
      <c r="B8982" s="1" t="n">
        <v>44973</v>
      </c>
      <c r="C8982" s="1" t="n">
        <v>45736</v>
      </c>
      <c r="D8982" t="inlineStr">
        <is>
          <t>VÄRMLANDS LÄN</t>
        </is>
      </c>
      <c r="E8982" t="inlineStr">
        <is>
          <t>ÅRJÄNG</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8909-2023</t>
        </is>
      </c>
      <c r="B8983" s="1" t="n">
        <v>44973</v>
      </c>
      <c r="C8983" s="1" t="n">
        <v>45736</v>
      </c>
      <c r="D8983" t="inlineStr">
        <is>
          <t>VÄRMLANDS LÄN</t>
        </is>
      </c>
      <c r="E8983" t="inlineStr">
        <is>
          <t>SÄFFLE</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8101-2023</t>
        </is>
      </c>
      <c r="B8984" s="1" t="n">
        <v>44974</v>
      </c>
      <c r="C8984" s="1" t="n">
        <v>45736</v>
      </c>
      <c r="D8984" t="inlineStr">
        <is>
          <t>VÄRMLANDS LÄN</t>
        </is>
      </c>
      <c r="E8984" t="inlineStr">
        <is>
          <t>ÅRJÄNG</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8109-2023</t>
        </is>
      </c>
      <c r="B8985" s="1" t="n">
        <v>44974</v>
      </c>
      <c r="C8985" s="1" t="n">
        <v>45736</v>
      </c>
      <c r="D8985" t="inlineStr">
        <is>
          <t>VÄRMLANDS LÄN</t>
        </is>
      </c>
      <c r="E8985" t="inlineStr">
        <is>
          <t>ARVIKA</t>
        </is>
      </c>
      <c r="G8985" t="n">
        <v>13.8</v>
      </c>
      <c r="H8985" t="n">
        <v>0</v>
      </c>
      <c r="I8985" t="n">
        <v>0</v>
      </c>
      <c r="J8985" t="n">
        <v>0</v>
      </c>
      <c r="K8985" t="n">
        <v>0</v>
      </c>
      <c r="L8985" t="n">
        <v>0</v>
      </c>
      <c r="M8985" t="n">
        <v>0</v>
      </c>
      <c r="N8985" t="n">
        <v>0</v>
      </c>
      <c r="O8985" t="n">
        <v>0</v>
      </c>
      <c r="P8985" t="n">
        <v>0</v>
      </c>
      <c r="Q8985" t="n">
        <v>0</v>
      </c>
      <c r="R8985" s="2" t="inlineStr"/>
    </row>
    <row r="8986" ht="15" customHeight="1">
      <c r="A8986" t="inlineStr">
        <is>
          <t>A 8115-2023</t>
        </is>
      </c>
      <c r="B8986" s="1" t="n">
        <v>44974</v>
      </c>
      <c r="C8986" s="1" t="n">
        <v>45736</v>
      </c>
      <c r="D8986" t="inlineStr">
        <is>
          <t>VÄRMLANDS LÄN</t>
        </is>
      </c>
      <c r="E8986" t="inlineStr">
        <is>
          <t>ÅRJÄNG</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8173-2023</t>
        </is>
      </c>
      <c r="B8987" s="1" t="n">
        <v>44974</v>
      </c>
      <c r="C8987" s="1" t="n">
        <v>45736</v>
      </c>
      <c r="D8987" t="inlineStr">
        <is>
          <t>VÄRMLANDS LÄN</t>
        </is>
      </c>
      <c r="E8987" t="inlineStr">
        <is>
          <t>KRISTINEHAMN</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8083-2023</t>
        </is>
      </c>
      <c r="B8988" s="1" t="n">
        <v>44974</v>
      </c>
      <c r="C8988" s="1" t="n">
        <v>45736</v>
      </c>
      <c r="D8988" t="inlineStr">
        <is>
          <t>VÄRMLANDS LÄN</t>
        </is>
      </c>
      <c r="E8988" t="inlineStr">
        <is>
          <t>ARVIKA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8108-2023</t>
        </is>
      </c>
      <c r="B8989" s="1" t="n">
        <v>44974</v>
      </c>
      <c r="C8989" s="1" t="n">
        <v>45736</v>
      </c>
      <c r="D8989" t="inlineStr">
        <is>
          <t>VÄRMLANDS LÄN</t>
        </is>
      </c>
      <c r="E8989" t="inlineStr">
        <is>
          <t>ÅRJÄNG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8195-2023</t>
        </is>
      </c>
      <c r="B8990" s="1" t="n">
        <v>44974</v>
      </c>
      <c r="C8990" s="1" t="n">
        <v>45736</v>
      </c>
      <c r="D8990" t="inlineStr">
        <is>
          <t>VÄRMLANDS LÄN</t>
        </is>
      </c>
      <c r="E8990" t="inlineStr">
        <is>
          <t>KARLSTAD</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8301-2023</t>
        </is>
      </c>
      <c r="B8991" s="1" t="n">
        <v>44974</v>
      </c>
      <c r="C8991" s="1" t="n">
        <v>45736</v>
      </c>
      <c r="D8991" t="inlineStr">
        <is>
          <t>VÄRMLANDS LÄN</t>
        </is>
      </c>
      <c r="E8991" t="inlineStr">
        <is>
          <t>FILIPSTAD</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8284-2023</t>
        </is>
      </c>
      <c r="B8992" s="1" t="n">
        <v>44974</v>
      </c>
      <c r="C8992" s="1" t="n">
        <v>45736</v>
      </c>
      <c r="D8992" t="inlineStr">
        <is>
          <t>VÄRMLANDS LÄN</t>
        </is>
      </c>
      <c r="E8992" t="inlineStr">
        <is>
          <t>TORSBY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8281-2023</t>
        </is>
      </c>
      <c r="B8993" s="1" t="n">
        <v>44974</v>
      </c>
      <c r="C8993" s="1" t="n">
        <v>45736</v>
      </c>
      <c r="D8993" t="inlineStr">
        <is>
          <t>VÄRMLANDS LÄN</t>
        </is>
      </c>
      <c r="E8993" t="inlineStr">
        <is>
          <t>TORSBY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8285-2023</t>
        </is>
      </c>
      <c r="B8994" s="1" t="n">
        <v>44974</v>
      </c>
      <c r="C8994" s="1" t="n">
        <v>45736</v>
      </c>
      <c r="D8994" t="inlineStr">
        <is>
          <t>VÄRMLANDS LÄN</t>
        </is>
      </c>
      <c r="E8994" t="inlineStr">
        <is>
          <t>SUNNE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8287-2023</t>
        </is>
      </c>
      <c r="B8995" s="1" t="n">
        <v>44974</v>
      </c>
      <c r="C8995" s="1" t="n">
        <v>45736</v>
      </c>
      <c r="D8995" t="inlineStr">
        <is>
          <t>VÄRMLANDS LÄN</t>
        </is>
      </c>
      <c r="E8995" t="inlineStr">
        <is>
          <t>TORSBY</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8931-2023</t>
        </is>
      </c>
      <c r="B8996" s="1" t="n">
        <v>44974</v>
      </c>
      <c r="C8996" s="1" t="n">
        <v>45736</v>
      </c>
      <c r="D8996" t="inlineStr">
        <is>
          <t>VÄRMLANDS LÄN</t>
        </is>
      </c>
      <c r="E8996" t="inlineStr">
        <is>
          <t>TORSBY</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8928-2023</t>
        </is>
      </c>
      <c r="B8997" s="1" t="n">
        <v>44974</v>
      </c>
      <c r="C8997" s="1" t="n">
        <v>45736</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8946-2023</t>
        </is>
      </c>
      <c r="B8998" s="1" t="n">
        <v>44974</v>
      </c>
      <c r="C8998" s="1" t="n">
        <v>45736</v>
      </c>
      <c r="D8998" t="inlineStr">
        <is>
          <t>VÄRMLANDS LÄN</t>
        </is>
      </c>
      <c r="E8998" t="inlineStr">
        <is>
          <t>ARVIKA</t>
        </is>
      </c>
      <c r="G8998" t="n">
        <v>11.2</v>
      </c>
      <c r="H8998" t="n">
        <v>0</v>
      </c>
      <c r="I8998" t="n">
        <v>0</v>
      </c>
      <c r="J8998" t="n">
        <v>0</v>
      </c>
      <c r="K8998" t="n">
        <v>0</v>
      </c>
      <c r="L8998" t="n">
        <v>0</v>
      </c>
      <c r="M8998" t="n">
        <v>0</v>
      </c>
      <c r="N8998" t="n">
        <v>0</v>
      </c>
      <c r="O8998" t="n">
        <v>0</v>
      </c>
      <c r="P8998" t="n">
        <v>0</v>
      </c>
      <c r="Q8998" t="n">
        <v>0</v>
      </c>
      <c r="R8998" s="2" t="inlineStr"/>
    </row>
    <row r="8999" ht="15" customHeight="1">
      <c r="A8999" t="inlineStr">
        <is>
          <t>A 9152-2023</t>
        </is>
      </c>
      <c r="B8999" s="1" t="n">
        <v>44976</v>
      </c>
      <c r="C8999" s="1" t="n">
        <v>45736</v>
      </c>
      <c r="D8999" t="inlineStr">
        <is>
          <t>VÄRMLANDS LÄN</t>
        </is>
      </c>
      <c r="E8999" t="inlineStr">
        <is>
          <t>SÄFFLE</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8451-2023</t>
        </is>
      </c>
      <c r="B9000" s="1" t="n">
        <v>44977</v>
      </c>
      <c r="C9000" s="1" t="n">
        <v>45736</v>
      </c>
      <c r="D9000" t="inlineStr">
        <is>
          <t>VÄRMLANDS LÄN</t>
        </is>
      </c>
      <c r="E9000" t="inlineStr">
        <is>
          <t>SÄFFLE</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8354-2023</t>
        </is>
      </c>
      <c r="B9001" s="1" t="n">
        <v>44977</v>
      </c>
      <c r="C9001" s="1" t="n">
        <v>45736</v>
      </c>
      <c r="D9001" t="inlineStr">
        <is>
          <t>VÄRMLANDS LÄN</t>
        </is>
      </c>
      <c r="E9001" t="inlineStr">
        <is>
          <t>HAGFORS</t>
        </is>
      </c>
      <c r="F9001" t="inlineStr">
        <is>
          <t>Bergvik skog väst AB</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8447-2023</t>
        </is>
      </c>
      <c r="B9002" s="1" t="n">
        <v>44977</v>
      </c>
      <c r="C9002" s="1" t="n">
        <v>45736</v>
      </c>
      <c r="D9002" t="inlineStr">
        <is>
          <t>VÄRMLANDS LÄN</t>
        </is>
      </c>
      <c r="E9002" t="inlineStr">
        <is>
          <t>TORSBY</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8358-2023</t>
        </is>
      </c>
      <c r="B9003" s="1" t="n">
        <v>44977</v>
      </c>
      <c r="C9003" s="1" t="n">
        <v>45736</v>
      </c>
      <c r="D9003" t="inlineStr">
        <is>
          <t>VÄRMLANDS LÄN</t>
        </is>
      </c>
      <c r="E9003" t="inlineStr">
        <is>
          <t>STORFORS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8370-2023</t>
        </is>
      </c>
      <c r="B9004" s="1" t="n">
        <v>44977</v>
      </c>
      <c r="C9004" s="1" t="n">
        <v>45736</v>
      </c>
      <c r="D9004" t="inlineStr">
        <is>
          <t>VÄRMLANDS LÄN</t>
        </is>
      </c>
      <c r="E9004" t="inlineStr">
        <is>
          <t>GRUMS</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8394-2023</t>
        </is>
      </c>
      <c r="B9005" s="1" t="n">
        <v>44977</v>
      </c>
      <c r="C9005" s="1" t="n">
        <v>45736</v>
      </c>
      <c r="D9005" t="inlineStr">
        <is>
          <t>VÄRMLANDS LÄN</t>
        </is>
      </c>
      <c r="E9005" t="inlineStr">
        <is>
          <t>EDA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8448-2023</t>
        </is>
      </c>
      <c r="B9006" s="1" t="n">
        <v>44977</v>
      </c>
      <c r="C9006" s="1" t="n">
        <v>45736</v>
      </c>
      <c r="D9006" t="inlineStr">
        <is>
          <t>VÄRMLANDS LÄN</t>
        </is>
      </c>
      <c r="E9006" t="inlineStr">
        <is>
          <t>STORFORS</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8614-2023</t>
        </is>
      </c>
      <c r="B9007" s="1" t="n">
        <v>44977</v>
      </c>
      <c r="C9007" s="1" t="n">
        <v>45736</v>
      </c>
      <c r="D9007" t="inlineStr">
        <is>
          <t>VÄRMLANDS LÄN</t>
        </is>
      </c>
      <c r="E9007" t="inlineStr">
        <is>
          <t>ÅRJÄNG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8512-2023</t>
        </is>
      </c>
      <c r="B9008" s="1" t="n">
        <v>44977</v>
      </c>
      <c r="C9008" s="1" t="n">
        <v>45736</v>
      </c>
      <c r="D9008" t="inlineStr">
        <is>
          <t>VÄRMLANDS LÄN</t>
        </is>
      </c>
      <c r="E9008" t="inlineStr">
        <is>
          <t>ARVIKA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8581-2023</t>
        </is>
      </c>
      <c r="B9009" s="1" t="n">
        <v>44977</v>
      </c>
      <c r="C9009" s="1" t="n">
        <v>45736</v>
      </c>
      <c r="D9009" t="inlineStr">
        <is>
          <t>VÄRMLANDS LÄN</t>
        </is>
      </c>
      <c r="E9009" t="inlineStr">
        <is>
          <t>KRISTINEHAMN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9453-2023</t>
        </is>
      </c>
      <c r="B9010" s="1" t="n">
        <v>44977</v>
      </c>
      <c r="C9010" s="1" t="n">
        <v>45736</v>
      </c>
      <c r="D9010" t="inlineStr">
        <is>
          <t>VÄRMLANDS LÄN</t>
        </is>
      </c>
      <c r="E9010" t="inlineStr">
        <is>
          <t>TORSBY</t>
        </is>
      </c>
      <c r="F9010" t="inlineStr">
        <is>
          <t>Kyrkan</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9227-2023</t>
        </is>
      </c>
      <c r="B9011" s="1" t="n">
        <v>44977</v>
      </c>
      <c r="C9011" s="1" t="n">
        <v>45736</v>
      </c>
      <c r="D9011" t="inlineStr">
        <is>
          <t>VÄRMLANDS LÄN</t>
        </is>
      </c>
      <c r="E9011" t="inlineStr">
        <is>
          <t>SÄFFLE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8786-2023</t>
        </is>
      </c>
      <c r="B9012" s="1" t="n">
        <v>44978</v>
      </c>
      <c r="C9012" s="1" t="n">
        <v>45736</v>
      </c>
      <c r="D9012" t="inlineStr">
        <is>
          <t>VÄRMLANDS LÄN</t>
        </is>
      </c>
      <c r="E9012" t="inlineStr">
        <is>
          <t>ARVIKA</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8795-2023</t>
        </is>
      </c>
      <c r="B9013" s="1" t="n">
        <v>44978</v>
      </c>
      <c r="C9013" s="1" t="n">
        <v>45736</v>
      </c>
      <c r="D9013" t="inlineStr">
        <is>
          <t>VÄRMLANDS LÄN</t>
        </is>
      </c>
      <c r="E9013" t="inlineStr">
        <is>
          <t>ARVIKA</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8819-2023</t>
        </is>
      </c>
      <c r="B9014" s="1" t="n">
        <v>44978</v>
      </c>
      <c r="C9014" s="1" t="n">
        <v>45736</v>
      </c>
      <c r="D9014" t="inlineStr">
        <is>
          <t>VÄRMLANDS LÄN</t>
        </is>
      </c>
      <c r="E9014" t="inlineStr">
        <is>
          <t>TORSBY</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8692-2023</t>
        </is>
      </c>
      <c r="B9015" s="1" t="n">
        <v>44978</v>
      </c>
      <c r="C9015" s="1" t="n">
        <v>45736</v>
      </c>
      <c r="D9015" t="inlineStr">
        <is>
          <t>VÄRMLANDS LÄN</t>
        </is>
      </c>
      <c r="E9015" t="inlineStr">
        <is>
          <t>SUNNE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8831-2023</t>
        </is>
      </c>
      <c r="B9016" s="1" t="n">
        <v>44978</v>
      </c>
      <c r="C9016" s="1" t="n">
        <v>45736</v>
      </c>
      <c r="D9016" t="inlineStr">
        <is>
          <t>VÄRMLANDS LÄN</t>
        </is>
      </c>
      <c r="E9016" t="inlineStr">
        <is>
          <t>HAGFORS</t>
        </is>
      </c>
      <c r="F9016" t="inlineStr">
        <is>
          <t>Bergvik skog väst AB</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8838-2023</t>
        </is>
      </c>
      <c r="B9017" s="1" t="n">
        <v>44978</v>
      </c>
      <c r="C9017" s="1" t="n">
        <v>45736</v>
      </c>
      <c r="D9017" t="inlineStr">
        <is>
          <t>VÄRMLANDS LÄN</t>
        </is>
      </c>
      <c r="E9017" t="inlineStr">
        <is>
          <t>ÅRJÄNG</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8854-2023</t>
        </is>
      </c>
      <c r="B9018" s="1" t="n">
        <v>44978</v>
      </c>
      <c r="C9018" s="1" t="n">
        <v>45736</v>
      </c>
      <c r="D9018" t="inlineStr">
        <is>
          <t>VÄRMLANDS LÄN</t>
        </is>
      </c>
      <c r="E9018" t="inlineStr">
        <is>
          <t>ARVIKA</t>
        </is>
      </c>
      <c r="F9018" t="inlineStr">
        <is>
          <t>Kyrkan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8758-2023</t>
        </is>
      </c>
      <c r="B9019" s="1" t="n">
        <v>44978</v>
      </c>
      <c r="C9019" s="1" t="n">
        <v>45736</v>
      </c>
      <c r="D9019" t="inlineStr">
        <is>
          <t>VÄRMLANDS LÄN</t>
        </is>
      </c>
      <c r="E9019" t="inlineStr">
        <is>
          <t>KRISTINEHAMN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8788-2023</t>
        </is>
      </c>
      <c r="B9020" s="1" t="n">
        <v>44978</v>
      </c>
      <c r="C9020" s="1" t="n">
        <v>45736</v>
      </c>
      <c r="D9020" t="inlineStr">
        <is>
          <t>VÄRMLANDS LÄN</t>
        </is>
      </c>
      <c r="E9020" t="inlineStr">
        <is>
          <t>FILIPSTAD</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8702-2023</t>
        </is>
      </c>
      <c r="B9021" s="1" t="n">
        <v>44978</v>
      </c>
      <c r="C9021" s="1" t="n">
        <v>45736</v>
      </c>
      <c r="D9021" t="inlineStr">
        <is>
          <t>VÄRMLANDS LÄN</t>
        </is>
      </c>
      <c r="E9021" t="inlineStr">
        <is>
          <t>ARVIKA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8736-2023</t>
        </is>
      </c>
      <c r="B9022" s="1" t="n">
        <v>44978</v>
      </c>
      <c r="C9022" s="1" t="n">
        <v>45736</v>
      </c>
      <c r="D9022" t="inlineStr">
        <is>
          <t>VÄRMLANDS LÄN</t>
        </is>
      </c>
      <c r="E9022" t="inlineStr">
        <is>
          <t>ÅRJÄNG</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8776-2023</t>
        </is>
      </c>
      <c r="B9023" s="1" t="n">
        <v>44978</v>
      </c>
      <c r="C9023" s="1" t="n">
        <v>45736</v>
      </c>
      <c r="D9023" t="inlineStr">
        <is>
          <t>VÄRMLANDS LÄN</t>
        </is>
      </c>
      <c r="E9023" t="inlineStr">
        <is>
          <t>ÅRJÄNG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8780-2023</t>
        </is>
      </c>
      <c r="B9024" s="1" t="n">
        <v>44978</v>
      </c>
      <c r="C9024" s="1" t="n">
        <v>45736</v>
      </c>
      <c r="D9024" t="inlineStr">
        <is>
          <t>VÄRMLANDS LÄN</t>
        </is>
      </c>
      <c r="E9024" t="inlineStr">
        <is>
          <t>ARVIKA</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8784-2023</t>
        </is>
      </c>
      <c r="B9025" s="1" t="n">
        <v>44978</v>
      </c>
      <c r="C9025" s="1" t="n">
        <v>45736</v>
      </c>
      <c r="D9025" t="inlineStr">
        <is>
          <t>VÄRMLANDS LÄN</t>
        </is>
      </c>
      <c r="E9025" t="inlineStr">
        <is>
          <t>ARVIKA</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8789-2023</t>
        </is>
      </c>
      <c r="B9026" s="1" t="n">
        <v>44978</v>
      </c>
      <c r="C9026" s="1" t="n">
        <v>45736</v>
      </c>
      <c r="D9026" t="inlineStr">
        <is>
          <t>VÄRMLANDS LÄN</t>
        </is>
      </c>
      <c r="E9026" t="inlineStr">
        <is>
          <t>ARVIKA</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8885-2023</t>
        </is>
      </c>
      <c r="B9027" s="1" t="n">
        <v>44979</v>
      </c>
      <c r="C9027" s="1" t="n">
        <v>45736</v>
      </c>
      <c r="D9027" t="inlineStr">
        <is>
          <t>VÄRMLANDS LÄN</t>
        </is>
      </c>
      <c r="E9027" t="inlineStr">
        <is>
          <t>EDA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9004-2023</t>
        </is>
      </c>
      <c r="B9028" s="1" t="n">
        <v>44979</v>
      </c>
      <c r="C9028" s="1" t="n">
        <v>45736</v>
      </c>
      <c r="D9028" t="inlineStr">
        <is>
          <t>VÄRMLANDS LÄN</t>
        </is>
      </c>
      <c r="E9028" t="inlineStr">
        <is>
          <t>SUNNE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8941-2023</t>
        </is>
      </c>
      <c r="B9029" s="1" t="n">
        <v>44979</v>
      </c>
      <c r="C9029" s="1" t="n">
        <v>45736</v>
      </c>
      <c r="D9029" t="inlineStr">
        <is>
          <t>VÄRMLANDS LÄN</t>
        </is>
      </c>
      <c r="E9029" t="inlineStr">
        <is>
          <t>SUNNE</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8966-2023</t>
        </is>
      </c>
      <c r="B9030" s="1" t="n">
        <v>44979</v>
      </c>
      <c r="C9030" s="1" t="n">
        <v>45736</v>
      </c>
      <c r="D9030" t="inlineStr">
        <is>
          <t>VÄRMLANDS LÄN</t>
        </is>
      </c>
      <c r="E9030" t="inlineStr">
        <is>
          <t>EDA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8892-2023</t>
        </is>
      </c>
      <c r="B9031" s="1" t="n">
        <v>44979</v>
      </c>
      <c r="C9031" s="1" t="n">
        <v>45736</v>
      </c>
      <c r="D9031" t="inlineStr">
        <is>
          <t>VÄRMLANDS LÄN</t>
        </is>
      </c>
      <c r="E9031" t="inlineStr">
        <is>
          <t>KARLSTAD</t>
        </is>
      </c>
      <c r="F9031" t="inlineStr">
        <is>
          <t>Kyrkan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8884-2023</t>
        </is>
      </c>
      <c r="B9032" s="1" t="n">
        <v>44979</v>
      </c>
      <c r="C9032" s="1" t="n">
        <v>45736</v>
      </c>
      <c r="D9032" t="inlineStr">
        <is>
          <t>VÄRMLANDS LÄN</t>
        </is>
      </c>
      <c r="E9032" t="inlineStr">
        <is>
          <t>EDA</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8926-2023</t>
        </is>
      </c>
      <c r="B9033" s="1" t="n">
        <v>44979</v>
      </c>
      <c r="C9033" s="1" t="n">
        <v>45736</v>
      </c>
      <c r="D9033" t="inlineStr">
        <is>
          <t>VÄRMLANDS LÄN</t>
        </is>
      </c>
      <c r="E9033" t="inlineStr">
        <is>
          <t>ÅRJÄNG</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8967-2023</t>
        </is>
      </c>
      <c r="B9034" s="1" t="n">
        <v>44979</v>
      </c>
      <c r="C9034" s="1" t="n">
        <v>45736</v>
      </c>
      <c r="D9034" t="inlineStr">
        <is>
          <t>VÄRMLANDS LÄN</t>
        </is>
      </c>
      <c r="E9034" t="inlineStr">
        <is>
          <t>EDA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8948-2023</t>
        </is>
      </c>
      <c r="B9035" s="1" t="n">
        <v>44979</v>
      </c>
      <c r="C9035" s="1" t="n">
        <v>45736</v>
      </c>
      <c r="D9035" t="inlineStr">
        <is>
          <t>VÄRMLANDS LÄN</t>
        </is>
      </c>
      <c r="E9035" t="inlineStr">
        <is>
          <t>SUNNE</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9016-2023</t>
        </is>
      </c>
      <c r="B9036" s="1" t="n">
        <v>44979</v>
      </c>
      <c r="C9036" s="1" t="n">
        <v>45736</v>
      </c>
      <c r="D9036" t="inlineStr">
        <is>
          <t>VÄRMLANDS LÄN</t>
        </is>
      </c>
      <c r="E9036" t="inlineStr">
        <is>
          <t>ARVIKA</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9067-2023</t>
        </is>
      </c>
      <c r="B9037" s="1" t="n">
        <v>44979</v>
      </c>
      <c r="C9037" s="1" t="n">
        <v>45736</v>
      </c>
      <c r="D9037" t="inlineStr">
        <is>
          <t>VÄRMLANDS LÄN</t>
        </is>
      </c>
      <c r="E9037" t="inlineStr">
        <is>
          <t>TORSBY</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9014-2023</t>
        </is>
      </c>
      <c r="B9038" s="1" t="n">
        <v>44979</v>
      </c>
      <c r="C9038" s="1" t="n">
        <v>45736</v>
      </c>
      <c r="D9038" t="inlineStr">
        <is>
          <t>VÄRMLANDS LÄN</t>
        </is>
      </c>
      <c r="E9038" t="inlineStr">
        <is>
          <t>ARVIKA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9076-2023</t>
        </is>
      </c>
      <c r="B9039" s="1" t="n">
        <v>44979</v>
      </c>
      <c r="C9039" s="1" t="n">
        <v>45736</v>
      </c>
      <c r="D9039" t="inlineStr">
        <is>
          <t>VÄRMLANDS LÄN</t>
        </is>
      </c>
      <c r="E9039" t="inlineStr">
        <is>
          <t>SUNNE</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9056-2023</t>
        </is>
      </c>
      <c r="B9040" s="1" t="n">
        <v>44979</v>
      </c>
      <c r="C9040" s="1" t="n">
        <v>45736</v>
      </c>
      <c r="D9040" t="inlineStr">
        <is>
          <t>VÄRMLANDS LÄN</t>
        </is>
      </c>
      <c r="E9040" t="inlineStr">
        <is>
          <t>TORSBY</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9061-2023</t>
        </is>
      </c>
      <c r="B9041" s="1" t="n">
        <v>44979</v>
      </c>
      <c r="C9041" s="1" t="n">
        <v>45736</v>
      </c>
      <c r="D9041" t="inlineStr">
        <is>
          <t>VÄRMLANDS LÄN</t>
        </is>
      </c>
      <c r="E9041" t="inlineStr">
        <is>
          <t>ARVIKA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10027-2023</t>
        </is>
      </c>
      <c r="B9042" s="1" t="n">
        <v>44979</v>
      </c>
      <c r="C9042" s="1" t="n">
        <v>45736</v>
      </c>
      <c r="D9042" t="inlineStr">
        <is>
          <t>VÄRMLANDS LÄN</t>
        </is>
      </c>
      <c r="E9042" t="inlineStr">
        <is>
          <t>TORSBY</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10033-2023</t>
        </is>
      </c>
      <c r="B9043" s="1" t="n">
        <v>44979</v>
      </c>
      <c r="C9043" s="1" t="n">
        <v>45736</v>
      </c>
      <c r="D9043" t="inlineStr">
        <is>
          <t>VÄRMLANDS LÄN</t>
        </is>
      </c>
      <c r="E9043" t="inlineStr">
        <is>
          <t>TORSBY</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10024-2023</t>
        </is>
      </c>
      <c r="B9044" s="1" t="n">
        <v>44979</v>
      </c>
      <c r="C9044" s="1" t="n">
        <v>45736</v>
      </c>
      <c r="D9044" t="inlineStr">
        <is>
          <t>VÄRMLANDS LÄN</t>
        </is>
      </c>
      <c r="E9044" t="inlineStr">
        <is>
          <t>TORSBY</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9133-2023</t>
        </is>
      </c>
      <c r="B9045" s="1" t="n">
        <v>44980</v>
      </c>
      <c r="C9045" s="1" t="n">
        <v>45736</v>
      </c>
      <c r="D9045" t="inlineStr">
        <is>
          <t>VÄRMLANDS LÄN</t>
        </is>
      </c>
      <c r="E9045" t="inlineStr">
        <is>
          <t>SUNNE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9183-2023</t>
        </is>
      </c>
      <c r="B9046" s="1" t="n">
        <v>44980</v>
      </c>
      <c r="C9046" s="1" t="n">
        <v>45736</v>
      </c>
      <c r="D9046" t="inlineStr">
        <is>
          <t>VÄRMLANDS LÄN</t>
        </is>
      </c>
      <c r="E9046" t="inlineStr">
        <is>
          <t>EDA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9212-2023</t>
        </is>
      </c>
      <c r="B9047" s="1" t="n">
        <v>44980</v>
      </c>
      <c r="C9047" s="1" t="n">
        <v>45736</v>
      </c>
      <c r="D9047" t="inlineStr">
        <is>
          <t>VÄRMLANDS LÄN</t>
        </is>
      </c>
      <c r="E9047" t="inlineStr">
        <is>
          <t>SÄFFLE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9217-2023</t>
        </is>
      </c>
      <c r="B9048" s="1" t="n">
        <v>44980</v>
      </c>
      <c r="C9048" s="1" t="n">
        <v>45736</v>
      </c>
      <c r="D9048" t="inlineStr">
        <is>
          <t>VÄRMLANDS LÄN</t>
        </is>
      </c>
      <c r="E9048" t="inlineStr">
        <is>
          <t>ARVIKA</t>
        </is>
      </c>
      <c r="F9048" t="inlineStr">
        <is>
          <t>Bergvik skog väst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9177-2023</t>
        </is>
      </c>
      <c r="B9049" s="1" t="n">
        <v>44980</v>
      </c>
      <c r="C9049" s="1" t="n">
        <v>45736</v>
      </c>
      <c r="D9049" t="inlineStr">
        <is>
          <t>VÄRMLANDS LÄN</t>
        </is>
      </c>
      <c r="E9049" t="inlineStr">
        <is>
          <t>EDA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9190-2023</t>
        </is>
      </c>
      <c r="B9050" s="1" t="n">
        <v>44980</v>
      </c>
      <c r="C9050" s="1" t="n">
        <v>45736</v>
      </c>
      <c r="D9050" t="inlineStr">
        <is>
          <t>VÄRMLANDS LÄN</t>
        </is>
      </c>
      <c r="E9050" t="inlineStr">
        <is>
          <t>ARVIKA</t>
        </is>
      </c>
      <c r="F9050" t="inlineStr">
        <is>
          <t>Bergvik skog väst AB</t>
        </is>
      </c>
      <c r="G9050" t="n">
        <v>8.300000000000001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9236-2023</t>
        </is>
      </c>
      <c r="B9051" s="1" t="n">
        <v>44980</v>
      </c>
      <c r="C9051" s="1" t="n">
        <v>45736</v>
      </c>
      <c r="D9051" t="inlineStr">
        <is>
          <t>VÄRMLANDS LÄN</t>
        </is>
      </c>
      <c r="E9051" t="inlineStr">
        <is>
          <t>ARVIKA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9173-2023</t>
        </is>
      </c>
      <c r="B9052" s="1" t="n">
        <v>44980</v>
      </c>
      <c r="C9052" s="1" t="n">
        <v>45736</v>
      </c>
      <c r="D9052" t="inlineStr">
        <is>
          <t>VÄRMLANDS LÄN</t>
        </is>
      </c>
      <c r="E9052" t="inlineStr">
        <is>
          <t>SUNNE</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9216-2023</t>
        </is>
      </c>
      <c r="B9053" s="1" t="n">
        <v>44980</v>
      </c>
      <c r="C9053" s="1" t="n">
        <v>45736</v>
      </c>
      <c r="D9053" t="inlineStr">
        <is>
          <t>VÄRMLANDS LÄN</t>
        </is>
      </c>
      <c r="E9053" t="inlineStr">
        <is>
          <t>ARVIKA</t>
        </is>
      </c>
      <c r="F9053" t="inlineStr">
        <is>
          <t>Bergvik skog väst AB</t>
        </is>
      </c>
      <c r="G9053" t="n">
        <v>9</v>
      </c>
      <c r="H9053" t="n">
        <v>0</v>
      </c>
      <c r="I9053" t="n">
        <v>0</v>
      </c>
      <c r="J9053" t="n">
        <v>0</v>
      </c>
      <c r="K9053" t="n">
        <v>0</v>
      </c>
      <c r="L9053" t="n">
        <v>0</v>
      </c>
      <c r="M9053" t="n">
        <v>0</v>
      </c>
      <c r="N9053" t="n">
        <v>0</v>
      </c>
      <c r="O9053" t="n">
        <v>0</v>
      </c>
      <c r="P9053" t="n">
        <v>0</v>
      </c>
      <c r="Q9053" t="n">
        <v>0</v>
      </c>
      <c r="R9053" s="2" t="inlineStr"/>
    </row>
    <row r="9054" ht="15" customHeight="1">
      <c r="A9054" t="inlineStr">
        <is>
          <t>A 9327-2023</t>
        </is>
      </c>
      <c r="B9054" s="1" t="n">
        <v>44980</v>
      </c>
      <c r="C9054" s="1" t="n">
        <v>45736</v>
      </c>
      <c r="D9054" t="inlineStr">
        <is>
          <t>VÄRMLANDS LÄN</t>
        </is>
      </c>
      <c r="E9054" t="inlineStr">
        <is>
          <t>TORSBY</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9270-2023</t>
        </is>
      </c>
      <c r="B9055" s="1" t="n">
        <v>44980</v>
      </c>
      <c r="C9055" s="1" t="n">
        <v>45736</v>
      </c>
      <c r="D9055" t="inlineStr">
        <is>
          <t>VÄRMLANDS LÄN</t>
        </is>
      </c>
      <c r="E9055" t="inlineStr">
        <is>
          <t>FILIPSTAD</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9285-2023</t>
        </is>
      </c>
      <c r="B9056" s="1" t="n">
        <v>44980</v>
      </c>
      <c r="C9056" s="1" t="n">
        <v>45736</v>
      </c>
      <c r="D9056" t="inlineStr">
        <is>
          <t>VÄRMLANDS LÄN</t>
        </is>
      </c>
      <c r="E9056" t="inlineStr">
        <is>
          <t>ARVIKA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9161-2023</t>
        </is>
      </c>
      <c r="B9057" s="1" t="n">
        <v>44980</v>
      </c>
      <c r="C9057" s="1" t="n">
        <v>45736</v>
      </c>
      <c r="D9057" t="inlineStr">
        <is>
          <t>VÄRMLANDS LÄN</t>
        </is>
      </c>
      <c r="E9057" t="inlineStr">
        <is>
          <t>ARVIKA</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9210-2023</t>
        </is>
      </c>
      <c r="B9058" s="1" t="n">
        <v>44980</v>
      </c>
      <c r="C9058" s="1" t="n">
        <v>45736</v>
      </c>
      <c r="D9058" t="inlineStr">
        <is>
          <t>VÄRMLANDS LÄN</t>
        </is>
      </c>
      <c r="E9058" t="inlineStr">
        <is>
          <t>SÄFFLE</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9300-2023</t>
        </is>
      </c>
      <c r="B9059" s="1" t="n">
        <v>44980</v>
      </c>
      <c r="C9059" s="1" t="n">
        <v>45736</v>
      </c>
      <c r="D9059" t="inlineStr">
        <is>
          <t>VÄRMLANDS LÄN</t>
        </is>
      </c>
      <c r="E9059" t="inlineStr">
        <is>
          <t>HAGFORS</t>
        </is>
      </c>
      <c r="F9059" t="inlineStr">
        <is>
          <t>Kyrkan</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10231-2023</t>
        </is>
      </c>
      <c r="B9060" s="1" t="n">
        <v>44980</v>
      </c>
      <c r="C9060" s="1" t="n">
        <v>45736</v>
      </c>
      <c r="D9060" t="inlineStr">
        <is>
          <t>VÄRMLANDS LÄN</t>
        </is>
      </c>
      <c r="E9060" t="inlineStr">
        <is>
          <t>SUNNE</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10240-2023</t>
        </is>
      </c>
      <c r="B9061" s="1" t="n">
        <v>44980</v>
      </c>
      <c r="C9061" s="1" t="n">
        <v>45736</v>
      </c>
      <c r="D9061" t="inlineStr">
        <is>
          <t>VÄRMLANDS LÄN</t>
        </is>
      </c>
      <c r="E9061" t="inlineStr">
        <is>
          <t>SÄFFLE</t>
        </is>
      </c>
      <c r="G9061" t="n">
        <v>4.9</v>
      </c>
      <c r="H9061" t="n">
        <v>0</v>
      </c>
      <c r="I9061" t="n">
        <v>0</v>
      </c>
      <c r="J9061" t="n">
        <v>0</v>
      </c>
      <c r="K9061" t="n">
        <v>0</v>
      </c>
      <c r="L9061" t="n">
        <v>0</v>
      </c>
      <c r="M9061" t="n">
        <v>0</v>
      </c>
      <c r="N9061" t="n">
        <v>0</v>
      </c>
      <c r="O9061" t="n">
        <v>0</v>
      </c>
      <c r="P9061" t="n">
        <v>0</v>
      </c>
      <c r="Q9061" t="n">
        <v>0</v>
      </c>
      <c r="R9061" s="2" t="inlineStr"/>
    </row>
    <row r="9062" ht="15" customHeight="1">
      <c r="A9062" t="inlineStr">
        <is>
          <t>A 10349-2023</t>
        </is>
      </c>
      <c r="B9062" s="1" t="n">
        <v>44980</v>
      </c>
      <c r="C9062" s="1" t="n">
        <v>45736</v>
      </c>
      <c r="D9062" t="inlineStr">
        <is>
          <t>VÄRMLANDS LÄN</t>
        </is>
      </c>
      <c r="E9062" t="inlineStr">
        <is>
          <t>SÄFFLE</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10126-2023</t>
        </is>
      </c>
      <c r="B9063" s="1" t="n">
        <v>44980</v>
      </c>
      <c r="C9063" s="1" t="n">
        <v>45736</v>
      </c>
      <c r="D9063" t="inlineStr">
        <is>
          <t>VÄRMLANDS LÄN</t>
        </is>
      </c>
      <c r="E9063" t="inlineStr">
        <is>
          <t>ÅRJÄNG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9388-2023</t>
        </is>
      </c>
      <c r="B9064" s="1" t="n">
        <v>44981</v>
      </c>
      <c r="C9064" s="1" t="n">
        <v>45736</v>
      </c>
      <c r="D9064" t="inlineStr">
        <is>
          <t>VÄRMLANDS LÄN</t>
        </is>
      </c>
      <c r="E9064" t="inlineStr">
        <is>
          <t>FILIPSTAD</t>
        </is>
      </c>
      <c r="F9064" t="inlineStr">
        <is>
          <t>Bergvik skog väst AB</t>
        </is>
      </c>
      <c r="G9064" t="n">
        <v>16.6</v>
      </c>
      <c r="H9064" t="n">
        <v>0</v>
      </c>
      <c r="I9064" t="n">
        <v>0</v>
      </c>
      <c r="J9064" t="n">
        <v>0</v>
      </c>
      <c r="K9064" t="n">
        <v>0</v>
      </c>
      <c r="L9064" t="n">
        <v>0</v>
      </c>
      <c r="M9064" t="n">
        <v>0</v>
      </c>
      <c r="N9064" t="n">
        <v>0</v>
      </c>
      <c r="O9064" t="n">
        <v>0</v>
      </c>
      <c r="P9064" t="n">
        <v>0</v>
      </c>
      <c r="Q9064" t="n">
        <v>0</v>
      </c>
      <c r="R9064" s="2" t="inlineStr"/>
    </row>
    <row r="9065" ht="15" customHeight="1">
      <c r="A9065" t="inlineStr">
        <is>
          <t>A 9392-2023</t>
        </is>
      </c>
      <c r="B9065" s="1" t="n">
        <v>44981</v>
      </c>
      <c r="C9065" s="1" t="n">
        <v>45736</v>
      </c>
      <c r="D9065" t="inlineStr">
        <is>
          <t>VÄRMLANDS LÄN</t>
        </is>
      </c>
      <c r="E9065" t="inlineStr">
        <is>
          <t>ARVIKA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9403-2023</t>
        </is>
      </c>
      <c r="B9066" s="1" t="n">
        <v>44981</v>
      </c>
      <c r="C9066" s="1" t="n">
        <v>45736</v>
      </c>
      <c r="D9066" t="inlineStr">
        <is>
          <t>VÄRMLANDS LÄN</t>
        </is>
      </c>
      <c r="E9066" t="inlineStr">
        <is>
          <t>ARVIKA</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9433-2023</t>
        </is>
      </c>
      <c r="B9067" s="1" t="n">
        <v>44981</v>
      </c>
      <c r="C9067" s="1" t="n">
        <v>45736</v>
      </c>
      <c r="D9067" t="inlineStr">
        <is>
          <t>VÄRMLANDS LÄN</t>
        </is>
      </c>
      <c r="E9067" t="inlineStr">
        <is>
          <t>SUNNE</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9438-2023</t>
        </is>
      </c>
      <c r="B9068" s="1" t="n">
        <v>44981</v>
      </c>
      <c r="C9068" s="1" t="n">
        <v>45736</v>
      </c>
      <c r="D9068" t="inlineStr">
        <is>
          <t>VÄRMLANDS LÄN</t>
        </is>
      </c>
      <c r="E9068" t="inlineStr">
        <is>
          <t>SUNNE</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9396-2023</t>
        </is>
      </c>
      <c r="B9069" s="1" t="n">
        <v>44981</v>
      </c>
      <c r="C9069" s="1" t="n">
        <v>45736</v>
      </c>
      <c r="D9069" t="inlineStr">
        <is>
          <t>VÄRMLANDS LÄN</t>
        </is>
      </c>
      <c r="E9069" t="inlineStr">
        <is>
          <t>ARVIKA</t>
        </is>
      </c>
      <c r="G9069" t="n">
        <v>20.5</v>
      </c>
      <c r="H9069" t="n">
        <v>0</v>
      </c>
      <c r="I9069" t="n">
        <v>0</v>
      </c>
      <c r="J9069" t="n">
        <v>0</v>
      </c>
      <c r="K9069" t="n">
        <v>0</v>
      </c>
      <c r="L9069" t="n">
        <v>0</v>
      </c>
      <c r="M9069" t="n">
        <v>0</v>
      </c>
      <c r="N9069" t="n">
        <v>0</v>
      </c>
      <c r="O9069" t="n">
        <v>0</v>
      </c>
      <c r="P9069" t="n">
        <v>0</v>
      </c>
      <c r="Q9069" t="n">
        <v>0</v>
      </c>
      <c r="R9069" s="2" t="inlineStr"/>
    </row>
    <row r="9070" ht="15" customHeight="1">
      <c r="A9070" t="inlineStr">
        <is>
          <t>A 9406-2023</t>
        </is>
      </c>
      <c r="B9070" s="1" t="n">
        <v>44981</v>
      </c>
      <c r="C9070" s="1" t="n">
        <v>45736</v>
      </c>
      <c r="D9070" t="inlineStr">
        <is>
          <t>VÄRMLANDS LÄN</t>
        </is>
      </c>
      <c r="E9070" t="inlineStr">
        <is>
          <t>ARVIKA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9414-2023</t>
        </is>
      </c>
      <c r="B9071" s="1" t="n">
        <v>44981</v>
      </c>
      <c r="C9071" s="1" t="n">
        <v>45736</v>
      </c>
      <c r="D9071" t="inlineStr">
        <is>
          <t>VÄRMLANDS LÄN</t>
        </is>
      </c>
      <c r="E9071" t="inlineStr">
        <is>
          <t>ARVIKA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9470-2023</t>
        </is>
      </c>
      <c r="B9072" s="1" t="n">
        <v>44981</v>
      </c>
      <c r="C9072" s="1" t="n">
        <v>45736</v>
      </c>
      <c r="D9072" t="inlineStr">
        <is>
          <t>VÄRMLANDS LÄN</t>
        </is>
      </c>
      <c r="E9072" t="inlineStr">
        <is>
          <t>KARLSTAD</t>
        </is>
      </c>
      <c r="F9072" t="inlineStr">
        <is>
          <t>Kyrkan</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9430-2023</t>
        </is>
      </c>
      <c r="B9073" s="1" t="n">
        <v>44981</v>
      </c>
      <c r="C9073" s="1" t="n">
        <v>45736</v>
      </c>
      <c r="D9073" t="inlineStr">
        <is>
          <t>VÄRMLANDS LÄN</t>
        </is>
      </c>
      <c r="E9073" t="inlineStr">
        <is>
          <t>SUNNE</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9440-2023</t>
        </is>
      </c>
      <c r="B9074" s="1" t="n">
        <v>44981</v>
      </c>
      <c r="C9074" s="1" t="n">
        <v>45736</v>
      </c>
      <c r="D9074" t="inlineStr">
        <is>
          <t>VÄRMLANDS LÄN</t>
        </is>
      </c>
      <c r="E9074" t="inlineStr">
        <is>
          <t>SUNNE</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9452-2023</t>
        </is>
      </c>
      <c r="B9075" s="1" t="n">
        <v>44981</v>
      </c>
      <c r="C9075" s="1" t="n">
        <v>45736</v>
      </c>
      <c r="D9075" t="inlineStr">
        <is>
          <t>VÄRMLANDS LÄN</t>
        </is>
      </c>
      <c r="E9075" t="inlineStr">
        <is>
          <t>SUNNE</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9370-2023</t>
        </is>
      </c>
      <c r="B9076" s="1" t="n">
        <v>44981</v>
      </c>
      <c r="C9076" s="1" t="n">
        <v>45736</v>
      </c>
      <c r="D9076" t="inlineStr">
        <is>
          <t>VÄRMLANDS LÄN</t>
        </is>
      </c>
      <c r="E9076" t="inlineStr">
        <is>
          <t>FILIPSTAD</t>
        </is>
      </c>
      <c r="F9076" t="inlineStr">
        <is>
          <t>Bergvik skog väst AB</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9400-2023</t>
        </is>
      </c>
      <c r="B9077" s="1" t="n">
        <v>44981</v>
      </c>
      <c r="C9077" s="1" t="n">
        <v>45736</v>
      </c>
      <c r="D9077" t="inlineStr">
        <is>
          <t>VÄRMLANDS LÄN</t>
        </is>
      </c>
      <c r="E9077" t="inlineStr">
        <is>
          <t>SUNNE</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9413-2023</t>
        </is>
      </c>
      <c r="B9078" s="1" t="n">
        <v>44981</v>
      </c>
      <c r="C9078" s="1" t="n">
        <v>45736</v>
      </c>
      <c r="D9078" t="inlineStr">
        <is>
          <t>VÄRMLANDS LÄN</t>
        </is>
      </c>
      <c r="E9078" t="inlineStr">
        <is>
          <t>ARVIKA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9489-2023</t>
        </is>
      </c>
      <c r="B9079" s="1" t="n">
        <v>44981</v>
      </c>
      <c r="C9079" s="1" t="n">
        <v>45736</v>
      </c>
      <c r="D9079" t="inlineStr">
        <is>
          <t>VÄRMLANDS LÄN</t>
        </is>
      </c>
      <c r="E9079" t="inlineStr">
        <is>
          <t>ÅRJÄNG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10479-2023</t>
        </is>
      </c>
      <c r="B9080" s="1" t="n">
        <v>44981</v>
      </c>
      <c r="C9080" s="1" t="n">
        <v>45736</v>
      </c>
      <c r="D9080" t="inlineStr">
        <is>
          <t>VÄRMLANDS LÄN</t>
        </is>
      </c>
      <c r="E9080" t="inlineStr">
        <is>
          <t>TORSBY</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10473-2023</t>
        </is>
      </c>
      <c r="B9081" s="1" t="n">
        <v>44981</v>
      </c>
      <c r="C9081" s="1" t="n">
        <v>45736</v>
      </c>
      <c r="D9081" t="inlineStr">
        <is>
          <t>VÄRMLANDS LÄN</t>
        </is>
      </c>
      <c r="E9081" t="inlineStr">
        <is>
          <t>TORSBY</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10491-2023</t>
        </is>
      </c>
      <c r="B9082" s="1" t="n">
        <v>44981</v>
      </c>
      <c r="C9082" s="1" t="n">
        <v>45736</v>
      </c>
      <c r="D9082" t="inlineStr">
        <is>
          <t>VÄRMLANDS LÄN</t>
        </is>
      </c>
      <c r="E9082" t="inlineStr">
        <is>
          <t>GRUMS</t>
        </is>
      </c>
      <c r="F9082" t="inlineStr">
        <is>
          <t>Kommuner</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10471-2023</t>
        </is>
      </c>
      <c r="B9083" s="1" t="n">
        <v>44981</v>
      </c>
      <c r="C9083" s="1" t="n">
        <v>45736</v>
      </c>
      <c r="D9083" t="inlineStr">
        <is>
          <t>VÄRMLANDS LÄN</t>
        </is>
      </c>
      <c r="E9083" t="inlineStr">
        <is>
          <t>TORSBY</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9567-2023</t>
        </is>
      </c>
      <c r="B9084" s="1" t="n">
        <v>44982</v>
      </c>
      <c r="C9084" s="1" t="n">
        <v>45736</v>
      </c>
      <c r="D9084" t="inlineStr">
        <is>
          <t>VÄRMLANDS LÄN</t>
        </is>
      </c>
      <c r="E9084" t="inlineStr">
        <is>
          <t>SÄFFLE</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9571-2023</t>
        </is>
      </c>
      <c r="B9085" s="1" t="n">
        <v>44982</v>
      </c>
      <c r="C9085" s="1" t="n">
        <v>45736</v>
      </c>
      <c r="D9085" t="inlineStr">
        <is>
          <t>VÄRMLANDS LÄN</t>
        </is>
      </c>
      <c r="E9085" t="inlineStr">
        <is>
          <t>KARLSTAD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9575-2023</t>
        </is>
      </c>
      <c r="B9086" s="1" t="n">
        <v>44982</v>
      </c>
      <c r="C9086" s="1" t="n">
        <v>45736</v>
      </c>
      <c r="D9086" t="inlineStr">
        <is>
          <t>VÄRMLANDS LÄN</t>
        </is>
      </c>
      <c r="E9086" t="inlineStr">
        <is>
          <t>TORSBY</t>
        </is>
      </c>
      <c r="F9086" t="inlineStr">
        <is>
          <t>Övriga statliga verk och myndigheter</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9574-2023</t>
        </is>
      </c>
      <c r="B9087" s="1" t="n">
        <v>44982</v>
      </c>
      <c r="C9087" s="1" t="n">
        <v>45736</v>
      </c>
      <c r="D9087" t="inlineStr">
        <is>
          <t>VÄRMLANDS LÄN</t>
        </is>
      </c>
      <c r="E9087" t="inlineStr">
        <is>
          <t>TORSBY</t>
        </is>
      </c>
      <c r="F9087" t="inlineStr">
        <is>
          <t>Övriga statliga verk och myndigheter</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9578-2023</t>
        </is>
      </c>
      <c r="B9088" s="1" t="n">
        <v>44982</v>
      </c>
      <c r="C9088" s="1" t="n">
        <v>45736</v>
      </c>
      <c r="D9088" t="inlineStr">
        <is>
          <t>VÄRMLANDS LÄN</t>
        </is>
      </c>
      <c r="E9088" t="inlineStr">
        <is>
          <t>TORSBY</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9689-2023</t>
        </is>
      </c>
      <c r="B9089" s="1" t="n">
        <v>44984</v>
      </c>
      <c r="C9089" s="1" t="n">
        <v>45736</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9634-2023</t>
        </is>
      </c>
      <c r="B9090" s="1" t="n">
        <v>44984</v>
      </c>
      <c r="C9090" s="1" t="n">
        <v>45736</v>
      </c>
      <c r="D9090" t="inlineStr">
        <is>
          <t>VÄRMLANDS LÄN</t>
        </is>
      </c>
      <c r="E9090" t="inlineStr">
        <is>
          <t>ÅRJÄNG</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9795-2023</t>
        </is>
      </c>
      <c r="B9091" s="1" t="n">
        <v>44984</v>
      </c>
      <c r="C9091" s="1" t="n">
        <v>45736</v>
      </c>
      <c r="D9091" t="inlineStr">
        <is>
          <t>VÄRMLANDS LÄN</t>
        </is>
      </c>
      <c r="E9091" t="inlineStr">
        <is>
          <t>HAGFORS</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9783-2023</t>
        </is>
      </c>
      <c r="B9092" s="1" t="n">
        <v>44984</v>
      </c>
      <c r="C9092" s="1" t="n">
        <v>45736</v>
      </c>
      <c r="D9092" t="inlineStr">
        <is>
          <t>VÄRMLANDS LÄN</t>
        </is>
      </c>
      <c r="E9092" t="inlineStr">
        <is>
          <t>KIL</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9840-2023</t>
        </is>
      </c>
      <c r="B9093" s="1" t="n">
        <v>44984</v>
      </c>
      <c r="C9093" s="1" t="n">
        <v>45736</v>
      </c>
      <c r="D9093" t="inlineStr">
        <is>
          <t>VÄRMLANDS LÄN</t>
        </is>
      </c>
      <c r="E9093" t="inlineStr">
        <is>
          <t>SUNNE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9837-2023</t>
        </is>
      </c>
      <c r="B9094" s="1" t="n">
        <v>44984</v>
      </c>
      <c r="C9094" s="1" t="n">
        <v>45736</v>
      </c>
      <c r="D9094" t="inlineStr">
        <is>
          <t>VÄRMLANDS LÄN</t>
        </is>
      </c>
      <c r="E9094" t="inlineStr">
        <is>
          <t>GRUMS</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10648-2023</t>
        </is>
      </c>
      <c r="B9095" s="1" t="n">
        <v>44984</v>
      </c>
      <c r="C9095" s="1" t="n">
        <v>45736</v>
      </c>
      <c r="D9095" t="inlineStr">
        <is>
          <t>VÄRMLANDS LÄN</t>
        </is>
      </c>
      <c r="E9095" t="inlineStr">
        <is>
          <t>ÅRJÄNG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10574-2023</t>
        </is>
      </c>
      <c r="B9096" s="1" t="n">
        <v>44984</v>
      </c>
      <c r="C9096" s="1" t="n">
        <v>45736</v>
      </c>
      <c r="D9096" t="inlineStr">
        <is>
          <t>VÄRMLANDS LÄN</t>
        </is>
      </c>
      <c r="E9096" t="inlineStr">
        <is>
          <t>ÅRJÄNG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10745-2023</t>
        </is>
      </c>
      <c r="B9097" s="1" t="n">
        <v>44984</v>
      </c>
      <c r="C9097" s="1" t="n">
        <v>45736</v>
      </c>
      <c r="D9097" t="inlineStr">
        <is>
          <t>VÄRMLANDS LÄN</t>
        </is>
      </c>
      <c r="E9097" t="inlineStr">
        <is>
          <t>ARVIKA</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9953-2023</t>
        </is>
      </c>
      <c r="B9098" s="1" t="n">
        <v>44985</v>
      </c>
      <c r="C9098" s="1" t="n">
        <v>45736</v>
      </c>
      <c r="D9098" t="inlineStr">
        <is>
          <t>VÄRMLANDS LÄN</t>
        </is>
      </c>
      <c r="E9098" t="inlineStr">
        <is>
          <t>EDA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9916-2023</t>
        </is>
      </c>
      <c r="B9099" s="1" t="n">
        <v>44985</v>
      </c>
      <c r="C9099" s="1" t="n">
        <v>45736</v>
      </c>
      <c r="D9099" t="inlineStr">
        <is>
          <t>VÄRMLANDS LÄN</t>
        </is>
      </c>
      <c r="E9099" t="inlineStr">
        <is>
          <t>ARVIKA</t>
        </is>
      </c>
      <c r="G9099" t="n">
        <v>10.8</v>
      </c>
      <c r="H9099" t="n">
        <v>0</v>
      </c>
      <c r="I9099" t="n">
        <v>0</v>
      </c>
      <c r="J9099" t="n">
        <v>0</v>
      </c>
      <c r="K9099" t="n">
        <v>0</v>
      </c>
      <c r="L9099" t="n">
        <v>0</v>
      </c>
      <c r="M9099" t="n">
        <v>0</v>
      </c>
      <c r="N9099" t="n">
        <v>0</v>
      </c>
      <c r="O9099" t="n">
        <v>0</v>
      </c>
      <c r="P9099" t="n">
        <v>0</v>
      </c>
      <c r="Q9099" t="n">
        <v>0</v>
      </c>
      <c r="R9099" s="2" t="inlineStr"/>
    </row>
    <row r="9100" ht="15" customHeight="1">
      <c r="A9100" t="inlineStr">
        <is>
          <t>A 9930-2023</t>
        </is>
      </c>
      <c r="B9100" s="1" t="n">
        <v>44985</v>
      </c>
      <c r="C9100" s="1" t="n">
        <v>45736</v>
      </c>
      <c r="D9100" t="inlineStr">
        <is>
          <t>VÄRMLANDS LÄN</t>
        </is>
      </c>
      <c r="E9100" t="inlineStr">
        <is>
          <t>KRISTINEHAMN</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9935-2023</t>
        </is>
      </c>
      <c r="B9101" s="1" t="n">
        <v>44985</v>
      </c>
      <c r="C9101" s="1" t="n">
        <v>45736</v>
      </c>
      <c r="D9101" t="inlineStr">
        <is>
          <t>VÄRMLANDS LÄN</t>
        </is>
      </c>
      <c r="E9101" t="inlineStr">
        <is>
          <t>KRISTINEHAMN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9900-2023</t>
        </is>
      </c>
      <c r="B9102" s="1" t="n">
        <v>44985</v>
      </c>
      <c r="C9102" s="1" t="n">
        <v>45736</v>
      </c>
      <c r="D9102" t="inlineStr">
        <is>
          <t>VÄRMLANDS LÄN</t>
        </is>
      </c>
      <c r="E9102" t="inlineStr">
        <is>
          <t>SUNNE</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9910-2023</t>
        </is>
      </c>
      <c r="B9103" s="1" t="n">
        <v>44985</v>
      </c>
      <c r="C9103" s="1" t="n">
        <v>45736</v>
      </c>
      <c r="D9103" t="inlineStr">
        <is>
          <t>VÄRMLANDS LÄN</t>
        </is>
      </c>
      <c r="E9103" t="inlineStr">
        <is>
          <t>ÅRJÄNG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10030-2023</t>
        </is>
      </c>
      <c r="B9104" s="1" t="n">
        <v>44985</v>
      </c>
      <c r="C9104" s="1" t="n">
        <v>45736</v>
      </c>
      <c r="D9104" t="inlineStr">
        <is>
          <t>VÄRMLANDS LÄN</t>
        </is>
      </c>
      <c r="E9104" t="inlineStr">
        <is>
          <t>KRISTINEHAMN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10028-2023</t>
        </is>
      </c>
      <c r="B9105" s="1" t="n">
        <v>44985</v>
      </c>
      <c r="C9105" s="1" t="n">
        <v>45736</v>
      </c>
      <c r="D9105" t="inlineStr">
        <is>
          <t>VÄRMLANDS LÄN</t>
        </is>
      </c>
      <c r="E9105" t="inlineStr">
        <is>
          <t>SÄFFLE</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10032-2023</t>
        </is>
      </c>
      <c r="B9106" s="1" t="n">
        <v>44985</v>
      </c>
      <c r="C9106" s="1" t="n">
        <v>45736</v>
      </c>
      <c r="D9106" t="inlineStr">
        <is>
          <t>VÄRMLANDS LÄN</t>
        </is>
      </c>
      <c r="E9106" t="inlineStr">
        <is>
          <t>KRISTINEHAMN</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10888-2023</t>
        </is>
      </c>
      <c r="B9107" s="1" t="n">
        <v>44985</v>
      </c>
      <c r="C9107" s="1" t="n">
        <v>45736</v>
      </c>
      <c r="D9107" t="inlineStr">
        <is>
          <t>VÄRMLANDS LÄN</t>
        </is>
      </c>
      <c r="E9107" t="inlineStr">
        <is>
          <t>TORSBY</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10994-2023</t>
        </is>
      </c>
      <c r="B9108" s="1" t="n">
        <v>44985</v>
      </c>
      <c r="C9108" s="1" t="n">
        <v>45736</v>
      </c>
      <c r="D9108" t="inlineStr">
        <is>
          <t>VÄRMLANDS LÄN</t>
        </is>
      </c>
      <c r="E9108" t="inlineStr">
        <is>
          <t>ARVIKA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10989-2023</t>
        </is>
      </c>
      <c r="B9109" s="1" t="n">
        <v>44985</v>
      </c>
      <c r="C9109" s="1" t="n">
        <v>45736</v>
      </c>
      <c r="D9109" t="inlineStr">
        <is>
          <t>VÄRMLANDS LÄN</t>
        </is>
      </c>
      <c r="E9109" t="inlineStr">
        <is>
          <t>ARVIKA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11370-2023</t>
        </is>
      </c>
      <c r="B9110" s="1" t="n">
        <v>44985</v>
      </c>
      <c r="C9110" s="1" t="n">
        <v>45736</v>
      </c>
      <c r="D9110" t="inlineStr">
        <is>
          <t>VÄRMLANDS LÄN</t>
        </is>
      </c>
      <c r="E9110" t="inlineStr">
        <is>
          <t>KARLSTAD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11359-2023</t>
        </is>
      </c>
      <c r="B9111" s="1" t="n">
        <v>44985</v>
      </c>
      <c r="C9111" s="1" t="n">
        <v>45736</v>
      </c>
      <c r="D9111" t="inlineStr">
        <is>
          <t>VÄRMLANDS LÄN</t>
        </is>
      </c>
      <c r="E9111" t="inlineStr">
        <is>
          <t>KARLSTAD</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11355-2023</t>
        </is>
      </c>
      <c r="B9112" s="1" t="n">
        <v>44985</v>
      </c>
      <c r="C9112" s="1" t="n">
        <v>45736</v>
      </c>
      <c r="D9112" t="inlineStr">
        <is>
          <t>VÄRMLANDS LÄN</t>
        </is>
      </c>
      <c r="E9112" t="inlineStr">
        <is>
          <t>KARLSTAD</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10117-2023</t>
        </is>
      </c>
      <c r="B9113" s="1" t="n">
        <v>44986</v>
      </c>
      <c r="C9113" s="1" t="n">
        <v>45736</v>
      </c>
      <c r="D9113" t="inlineStr">
        <is>
          <t>VÄRMLANDS LÄN</t>
        </is>
      </c>
      <c r="E9113" t="inlineStr">
        <is>
          <t>ÅRJÄNG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10171-2023</t>
        </is>
      </c>
      <c r="B9114" s="1" t="n">
        <v>44986</v>
      </c>
      <c r="C9114" s="1" t="n">
        <v>45736</v>
      </c>
      <c r="D9114" t="inlineStr">
        <is>
          <t>VÄRMLANDS LÄN</t>
        </is>
      </c>
      <c r="E9114" t="inlineStr">
        <is>
          <t>ÅRJÄNG</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10178-2023</t>
        </is>
      </c>
      <c r="B9115" s="1" t="n">
        <v>44986</v>
      </c>
      <c r="C9115" s="1" t="n">
        <v>45736</v>
      </c>
      <c r="D9115" t="inlineStr">
        <is>
          <t>VÄRMLANDS LÄN</t>
        </is>
      </c>
      <c r="E9115" t="inlineStr">
        <is>
          <t>ARVIKA</t>
        </is>
      </c>
      <c r="F9115" t="inlineStr">
        <is>
          <t>Bergvik skog väst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10145-2023</t>
        </is>
      </c>
      <c r="B9116" s="1" t="n">
        <v>44986</v>
      </c>
      <c r="C9116" s="1" t="n">
        <v>45736</v>
      </c>
      <c r="D9116" t="inlineStr">
        <is>
          <t>VÄRMLANDS LÄN</t>
        </is>
      </c>
      <c r="E9116" t="inlineStr">
        <is>
          <t>EDA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10239-2023</t>
        </is>
      </c>
      <c r="B9117" s="1" t="n">
        <v>44986</v>
      </c>
      <c r="C9117" s="1" t="n">
        <v>45736</v>
      </c>
      <c r="D9117" t="inlineStr">
        <is>
          <t>VÄRMLANDS LÄN</t>
        </is>
      </c>
      <c r="E9117" t="inlineStr">
        <is>
          <t>ÅRJÄNG</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10155-2023</t>
        </is>
      </c>
      <c r="B9118" s="1" t="n">
        <v>44986</v>
      </c>
      <c r="C9118" s="1" t="n">
        <v>45736</v>
      </c>
      <c r="D9118" t="inlineStr">
        <is>
          <t>VÄRMLANDS LÄN</t>
        </is>
      </c>
      <c r="E9118" t="inlineStr">
        <is>
          <t>TORSBY</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10180-2023</t>
        </is>
      </c>
      <c r="B9119" s="1" t="n">
        <v>44986</v>
      </c>
      <c r="C9119" s="1" t="n">
        <v>45736</v>
      </c>
      <c r="D9119" t="inlineStr">
        <is>
          <t>VÄRMLANDS LÄN</t>
        </is>
      </c>
      <c r="E9119" t="inlineStr">
        <is>
          <t>ÅRJÄNG</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10218-2023</t>
        </is>
      </c>
      <c r="B9120" s="1" t="n">
        <v>44986</v>
      </c>
      <c r="C9120" s="1" t="n">
        <v>45736</v>
      </c>
      <c r="D9120" t="inlineStr">
        <is>
          <t>VÄRMLANDS LÄN</t>
        </is>
      </c>
      <c r="E9120" t="inlineStr">
        <is>
          <t>TORSBY</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10284-2023</t>
        </is>
      </c>
      <c r="B9121" s="1" t="n">
        <v>44986</v>
      </c>
      <c r="C9121" s="1" t="n">
        <v>45736</v>
      </c>
      <c r="D9121" t="inlineStr">
        <is>
          <t>VÄRMLANDS LÄN</t>
        </is>
      </c>
      <c r="E9121" t="inlineStr">
        <is>
          <t>KARLSTAD</t>
        </is>
      </c>
      <c r="F9121" t="inlineStr">
        <is>
          <t>Kommuner</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10288-2023</t>
        </is>
      </c>
      <c r="B9122" s="1" t="n">
        <v>44986</v>
      </c>
      <c r="C9122" s="1" t="n">
        <v>45736</v>
      </c>
      <c r="D9122" t="inlineStr">
        <is>
          <t>VÄRMLANDS LÄN</t>
        </is>
      </c>
      <c r="E9122" t="inlineStr">
        <is>
          <t>KARLSTAD</t>
        </is>
      </c>
      <c r="F9122" t="inlineStr">
        <is>
          <t>Kommuner</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10281-2023</t>
        </is>
      </c>
      <c r="B9123" s="1" t="n">
        <v>44986</v>
      </c>
      <c r="C9123" s="1" t="n">
        <v>45736</v>
      </c>
      <c r="D9123" t="inlineStr">
        <is>
          <t>VÄRMLANDS LÄN</t>
        </is>
      </c>
      <c r="E9123" t="inlineStr">
        <is>
          <t>SUNNE</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10228-2023</t>
        </is>
      </c>
      <c r="B9124" s="1" t="n">
        <v>44986</v>
      </c>
      <c r="C9124" s="1" t="n">
        <v>45736</v>
      </c>
      <c r="D9124" t="inlineStr">
        <is>
          <t>VÄRMLANDS LÄN</t>
        </is>
      </c>
      <c r="E9124" t="inlineStr">
        <is>
          <t>TORSBY</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10276-2023</t>
        </is>
      </c>
      <c r="B9125" s="1" t="n">
        <v>44986</v>
      </c>
      <c r="C9125" s="1" t="n">
        <v>45736</v>
      </c>
      <c r="D9125" t="inlineStr">
        <is>
          <t>VÄRMLANDS LÄN</t>
        </is>
      </c>
      <c r="E9125" t="inlineStr">
        <is>
          <t>EDA</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10383-2023</t>
        </is>
      </c>
      <c r="B9126" s="1" t="n">
        <v>44987</v>
      </c>
      <c r="C9126" s="1" t="n">
        <v>45736</v>
      </c>
      <c r="D9126" t="inlineStr">
        <is>
          <t>VÄRMLANDS LÄN</t>
        </is>
      </c>
      <c r="E9126" t="inlineStr">
        <is>
          <t>FORSHAGA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10395-2023</t>
        </is>
      </c>
      <c r="B9127" s="1" t="n">
        <v>44987</v>
      </c>
      <c r="C9127" s="1" t="n">
        <v>45736</v>
      </c>
      <c r="D9127" t="inlineStr">
        <is>
          <t>VÄRMLANDS LÄN</t>
        </is>
      </c>
      <c r="E9127" t="inlineStr">
        <is>
          <t>FILIPSTAD</t>
        </is>
      </c>
      <c r="F9127" t="inlineStr">
        <is>
          <t>Bergvik skog väst AB</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10510-2023</t>
        </is>
      </c>
      <c r="B9128" s="1" t="n">
        <v>44987</v>
      </c>
      <c r="C9128" s="1" t="n">
        <v>45736</v>
      </c>
      <c r="D9128" t="inlineStr">
        <is>
          <t>VÄRMLANDS LÄN</t>
        </is>
      </c>
      <c r="E9128" t="inlineStr">
        <is>
          <t>ÅRJÄNG</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10501-2023</t>
        </is>
      </c>
      <c r="B9129" s="1" t="n">
        <v>44987</v>
      </c>
      <c r="C9129" s="1" t="n">
        <v>45736</v>
      </c>
      <c r="D9129" t="inlineStr">
        <is>
          <t>VÄRMLANDS LÄN</t>
        </is>
      </c>
      <c r="E9129" t="inlineStr">
        <is>
          <t>KRISTINEHAMN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11176-2023</t>
        </is>
      </c>
      <c r="B9130" s="1" t="n">
        <v>44987</v>
      </c>
      <c r="C9130" s="1" t="n">
        <v>45736</v>
      </c>
      <c r="D9130" t="inlineStr">
        <is>
          <t>VÄRMLANDS LÄN</t>
        </is>
      </c>
      <c r="E9130" t="inlineStr">
        <is>
          <t>ÅRJÄNG</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10588-2023</t>
        </is>
      </c>
      <c r="B9131" s="1" t="n">
        <v>44988</v>
      </c>
      <c r="C9131" s="1" t="n">
        <v>45736</v>
      </c>
      <c r="D9131" t="inlineStr">
        <is>
          <t>VÄRMLANDS LÄN</t>
        </is>
      </c>
      <c r="E9131" t="inlineStr">
        <is>
          <t>MUNKFORS</t>
        </is>
      </c>
      <c r="F9131" t="inlineStr">
        <is>
          <t>Bergvik skog väst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10650-2023</t>
        </is>
      </c>
      <c r="B9132" s="1" t="n">
        <v>44988</v>
      </c>
      <c r="C9132" s="1" t="n">
        <v>45736</v>
      </c>
      <c r="D9132" t="inlineStr">
        <is>
          <t>VÄRMLANDS LÄN</t>
        </is>
      </c>
      <c r="E9132" t="inlineStr">
        <is>
          <t>EDA</t>
        </is>
      </c>
      <c r="F9132" t="inlineStr">
        <is>
          <t>Bergvik skog väst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10662-2023</t>
        </is>
      </c>
      <c r="B9133" s="1" t="n">
        <v>44988</v>
      </c>
      <c r="C9133" s="1" t="n">
        <v>45736</v>
      </c>
      <c r="D9133" t="inlineStr">
        <is>
          <t>VÄRMLANDS LÄN</t>
        </is>
      </c>
      <c r="E9133" t="inlineStr">
        <is>
          <t>TORSBY</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10583-2023</t>
        </is>
      </c>
      <c r="B9134" s="1" t="n">
        <v>44988</v>
      </c>
      <c r="C9134" s="1" t="n">
        <v>45736</v>
      </c>
      <c r="D9134" t="inlineStr">
        <is>
          <t>VÄRMLANDS LÄN</t>
        </is>
      </c>
      <c r="E9134" t="inlineStr">
        <is>
          <t>TORSBY</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10581-2023</t>
        </is>
      </c>
      <c r="B9135" s="1" t="n">
        <v>44988</v>
      </c>
      <c r="C9135" s="1" t="n">
        <v>45736</v>
      </c>
      <c r="D9135" t="inlineStr">
        <is>
          <t>VÄRMLANDS LÄN</t>
        </is>
      </c>
      <c r="E9135" t="inlineStr">
        <is>
          <t>ARVIKA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10578-2023</t>
        </is>
      </c>
      <c r="B9136" s="1" t="n">
        <v>44988</v>
      </c>
      <c r="C9136" s="1" t="n">
        <v>45736</v>
      </c>
      <c r="D9136" t="inlineStr">
        <is>
          <t>VÄRMLANDS LÄN</t>
        </is>
      </c>
      <c r="E9136" t="inlineStr">
        <is>
          <t>ARVIKA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10644-2023</t>
        </is>
      </c>
      <c r="B9137" s="1" t="n">
        <v>44988</v>
      </c>
      <c r="C9137" s="1" t="n">
        <v>45736</v>
      </c>
      <c r="D9137" t="inlineStr">
        <is>
          <t>VÄRMLANDS LÄN</t>
        </is>
      </c>
      <c r="E9137" t="inlineStr">
        <is>
          <t>EDA</t>
        </is>
      </c>
      <c r="F9137" t="inlineStr">
        <is>
          <t>Bergvik skog väst AB</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10666-2023</t>
        </is>
      </c>
      <c r="B9138" s="1" t="n">
        <v>44988</v>
      </c>
      <c r="C9138" s="1" t="n">
        <v>45736</v>
      </c>
      <c r="D9138" t="inlineStr">
        <is>
          <t>VÄRMLANDS LÄN</t>
        </is>
      </c>
      <c r="E9138" t="inlineStr">
        <is>
          <t>TORSBY</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10698-2023</t>
        </is>
      </c>
      <c r="B9139" s="1" t="n">
        <v>44988</v>
      </c>
      <c r="C9139" s="1" t="n">
        <v>45736</v>
      </c>
      <c r="D9139" t="inlineStr">
        <is>
          <t>VÄRMLANDS LÄN</t>
        </is>
      </c>
      <c r="E9139" t="inlineStr">
        <is>
          <t>TORSBY</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10703-2023</t>
        </is>
      </c>
      <c r="B9140" s="1" t="n">
        <v>44988</v>
      </c>
      <c r="C9140" s="1" t="n">
        <v>45736</v>
      </c>
      <c r="D9140" t="inlineStr">
        <is>
          <t>VÄRMLANDS LÄN</t>
        </is>
      </c>
      <c r="E9140" t="inlineStr">
        <is>
          <t>HAGFORS</t>
        </is>
      </c>
      <c r="F9140" t="inlineStr">
        <is>
          <t>Bergvik skog väst AB</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10715-2023</t>
        </is>
      </c>
      <c r="B9141" s="1" t="n">
        <v>44988</v>
      </c>
      <c r="C9141" s="1" t="n">
        <v>45736</v>
      </c>
      <c r="D9141" t="inlineStr">
        <is>
          <t>VÄRMLANDS LÄN</t>
        </is>
      </c>
      <c r="E9141" t="inlineStr">
        <is>
          <t>ARVIKA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10752-2023</t>
        </is>
      </c>
      <c r="B9142" s="1" t="n">
        <v>44988</v>
      </c>
      <c r="C9142" s="1" t="n">
        <v>45736</v>
      </c>
      <c r="D9142" t="inlineStr">
        <is>
          <t>VÄRMLANDS LÄN</t>
        </is>
      </c>
      <c r="E9142" t="inlineStr">
        <is>
          <t>SÄFFLE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10813-2023</t>
        </is>
      </c>
      <c r="B9143" s="1" t="n">
        <v>44990</v>
      </c>
      <c r="C9143" s="1" t="n">
        <v>45736</v>
      </c>
      <c r="D9143" t="inlineStr">
        <is>
          <t>VÄRMLANDS LÄN</t>
        </is>
      </c>
      <c r="E9143" t="inlineStr">
        <is>
          <t>ARVIKA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10872-2023</t>
        </is>
      </c>
      <c r="B9144" s="1" t="n">
        <v>44991</v>
      </c>
      <c r="C9144" s="1" t="n">
        <v>45736</v>
      </c>
      <c r="D9144" t="inlineStr">
        <is>
          <t>VÄRMLANDS LÄN</t>
        </is>
      </c>
      <c r="E9144" t="inlineStr">
        <is>
          <t>ÅRJÄNG</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10910-2023</t>
        </is>
      </c>
      <c r="B9145" s="1" t="n">
        <v>44991</v>
      </c>
      <c r="C9145" s="1" t="n">
        <v>45736</v>
      </c>
      <c r="D9145" t="inlineStr">
        <is>
          <t>VÄRMLANDS LÄN</t>
        </is>
      </c>
      <c r="E9145" t="inlineStr">
        <is>
          <t>KIL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10961-2023</t>
        </is>
      </c>
      <c r="B9146" s="1" t="n">
        <v>44991</v>
      </c>
      <c r="C9146" s="1" t="n">
        <v>45736</v>
      </c>
      <c r="D9146" t="inlineStr">
        <is>
          <t>VÄRMLANDS LÄN</t>
        </is>
      </c>
      <c r="E9146" t="inlineStr">
        <is>
          <t>ARVIKA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10845-2023</t>
        </is>
      </c>
      <c r="B9147" s="1" t="n">
        <v>44991</v>
      </c>
      <c r="C9147" s="1" t="n">
        <v>45736</v>
      </c>
      <c r="D9147" t="inlineStr">
        <is>
          <t>VÄRMLANDS LÄN</t>
        </is>
      </c>
      <c r="E9147" t="inlineStr">
        <is>
          <t>ARVIKA</t>
        </is>
      </c>
      <c r="F9147" t="inlineStr">
        <is>
          <t>Bergvik skog väst AB</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11026-2023</t>
        </is>
      </c>
      <c r="B9148" s="1" t="n">
        <v>44991</v>
      </c>
      <c r="C9148" s="1" t="n">
        <v>45736</v>
      </c>
      <c r="D9148" t="inlineStr">
        <is>
          <t>VÄRMLANDS LÄN</t>
        </is>
      </c>
      <c r="E9148" t="inlineStr">
        <is>
          <t>ÅRJÄNG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10902-2023</t>
        </is>
      </c>
      <c r="B9149" s="1" t="n">
        <v>44991</v>
      </c>
      <c r="C9149" s="1" t="n">
        <v>45736</v>
      </c>
      <c r="D9149" t="inlineStr">
        <is>
          <t>VÄRMLANDS LÄN</t>
        </is>
      </c>
      <c r="E9149" t="inlineStr">
        <is>
          <t>EDA</t>
        </is>
      </c>
      <c r="F9149" t="inlineStr">
        <is>
          <t>Bergvik skog väst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10847-2023</t>
        </is>
      </c>
      <c r="B9150" s="1" t="n">
        <v>44991</v>
      </c>
      <c r="C9150" s="1" t="n">
        <v>45736</v>
      </c>
      <c r="D9150" t="inlineStr">
        <is>
          <t>VÄRMLANDS LÄN</t>
        </is>
      </c>
      <c r="E9150" t="inlineStr">
        <is>
          <t>HAGFORS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10873-2023</t>
        </is>
      </c>
      <c r="B9151" s="1" t="n">
        <v>44991</v>
      </c>
      <c r="C9151" s="1" t="n">
        <v>45736</v>
      </c>
      <c r="D9151" t="inlineStr">
        <is>
          <t>VÄRMLANDS LÄN</t>
        </is>
      </c>
      <c r="E9151" t="inlineStr">
        <is>
          <t>ÅRJÄNG</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10878-2023</t>
        </is>
      </c>
      <c r="B9152" s="1" t="n">
        <v>44991</v>
      </c>
      <c r="C9152" s="1" t="n">
        <v>45736</v>
      </c>
      <c r="D9152" t="inlineStr">
        <is>
          <t>VÄRMLANDS LÄN</t>
        </is>
      </c>
      <c r="E9152" t="inlineStr">
        <is>
          <t>EDA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10900-2023</t>
        </is>
      </c>
      <c r="B9153" s="1" t="n">
        <v>44991</v>
      </c>
      <c r="C9153" s="1" t="n">
        <v>45736</v>
      </c>
      <c r="D9153" t="inlineStr">
        <is>
          <t>VÄRMLANDS LÄN</t>
        </is>
      </c>
      <c r="E9153" t="inlineStr">
        <is>
          <t>KRISTINEHAMN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10964-2023</t>
        </is>
      </c>
      <c r="B9154" s="1" t="n">
        <v>44991</v>
      </c>
      <c r="C9154" s="1" t="n">
        <v>45736</v>
      </c>
      <c r="D9154" t="inlineStr">
        <is>
          <t>VÄRMLANDS LÄN</t>
        </is>
      </c>
      <c r="E9154" t="inlineStr">
        <is>
          <t>FORSHAGA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10975-2023</t>
        </is>
      </c>
      <c r="B9155" s="1" t="n">
        <v>44991</v>
      </c>
      <c r="C9155" s="1" t="n">
        <v>45736</v>
      </c>
      <c r="D9155" t="inlineStr">
        <is>
          <t>VÄRMLANDS LÄN</t>
        </is>
      </c>
      <c r="E9155" t="inlineStr">
        <is>
          <t>STORFORS</t>
        </is>
      </c>
      <c r="F9155" t="inlineStr">
        <is>
          <t>Bergvik skog väst AB</t>
        </is>
      </c>
      <c r="G9155" t="n">
        <v>23.1</v>
      </c>
      <c r="H9155" t="n">
        <v>0</v>
      </c>
      <c r="I9155" t="n">
        <v>0</v>
      </c>
      <c r="J9155" t="n">
        <v>0</v>
      </c>
      <c r="K9155" t="n">
        <v>0</v>
      </c>
      <c r="L9155" t="n">
        <v>0</v>
      </c>
      <c r="M9155" t="n">
        <v>0</v>
      </c>
      <c r="N9155" t="n">
        <v>0</v>
      </c>
      <c r="O9155" t="n">
        <v>0</v>
      </c>
      <c r="P9155" t="n">
        <v>0</v>
      </c>
      <c r="Q9155" t="n">
        <v>0</v>
      </c>
      <c r="R9155" s="2" t="inlineStr"/>
    </row>
    <row r="9156" ht="15" customHeight="1">
      <c r="A9156" t="inlineStr">
        <is>
          <t>A 11020-2023</t>
        </is>
      </c>
      <c r="B9156" s="1" t="n">
        <v>44991</v>
      </c>
      <c r="C9156" s="1" t="n">
        <v>45736</v>
      </c>
      <c r="D9156" t="inlineStr">
        <is>
          <t>VÄRMLANDS LÄN</t>
        </is>
      </c>
      <c r="E9156" t="inlineStr">
        <is>
          <t>KRISTINEHAMN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11013-2023</t>
        </is>
      </c>
      <c r="B9157" s="1" t="n">
        <v>44991</v>
      </c>
      <c r="C9157" s="1" t="n">
        <v>45736</v>
      </c>
      <c r="D9157" t="inlineStr">
        <is>
          <t>VÄRMLANDS LÄN</t>
        </is>
      </c>
      <c r="E9157" t="inlineStr">
        <is>
          <t>HAGFORS</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11019-2023</t>
        </is>
      </c>
      <c r="B9158" s="1" t="n">
        <v>44991</v>
      </c>
      <c r="C9158" s="1" t="n">
        <v>45736</v>
      </c>
      <c r="D9158" t="inlineStr">
        <is>
          <t>VÄRMLANDS LÄN</t>
        </is>
      </c>
      <c r="E9158" t="inlineStr">
        <is>
          <t>KRISTINEHAMN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10960-2023</t>
        </is>
      </c>
      <c r="B9159" s="1" t="n">
        <v>44991</v>
      </c>
      <c r="C9159" s="1" t="n">
        <v>45736</v>
      </c>
      <c r="D9159" t="inlineStr">
        <is>
          <t>VÄRMLANDS LÄN</t>
        </is>
      </c>
      <c r="E9159" t="inlineStr">
        <is>
          <t>FORSHAGA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11091-2023</t>
        </is>
      </c>
      <c r="B9160" s="1" t="n">
        <v>44992</v>
      </c>
      <c r="C9160" s="1" t="n">
        <v>45736</v>
      </c>
      <c r="D9160" t="inlineStr">
        <is>
          <t>VÄRMLANDS LÄN</t>
        </is>
      </c>
      <c r="E9160" t="inlineStr">
        <is>
          <t>ARVIKA</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11129-2023</t>
        </is>
      </c>
      <c r="B9161" s="1" t="n">
        <v>44992</v>
      </c>
      <c r="C9161" s="1" t="n">
        <v>45736</v>
      </c>
      <c r="D9161" t="inlineStr">
        <is>
          <t>VÄRMLANDS LÄN</t>
        </is>
      </c>
      <c r="E9161" t="inlineStr">
        <is>
          <t>FILIPSTAD</t>
        </is>
      </c>
      <c r="F9161" t="inlineStr">
        <is>
          <t>Bergvik skog väst AB</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11174-2023</t>
        </is>
      </c>
      <c r="B9162" s="1" t="n">
        <v>44992</v>
      </c>
      <c r="C9162" s="1" t="n">
        <v>45736</v>
      </c>
      <c r="D9162" t="inlineStr">
        <is>
          <t>VÄRMLANDS LÄN</t>
        </is>
      </c>
      <c r="E9162" t="inlineStr">
        <is>
          <t>ARVIKA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11184-2023</t>
        </is>
      </c>
      <c r="B9163" s="1" t="n">
        <v>44992</v>
      </c>
      <c r="C9163" s="1" t="n">
        <v>45736</v>
      </c>
      <c r="D9163" t="inlineStr">
        <is>
          <t>VÄRMLANDS LÄN</t>
        </is>
      </c>
      <c r="E9163" t="inlineStr">
        <is>
          <t>KRISTINEHAMN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11610-2023</t>
        </is>
      </c>
      <c r="B9164" s="1" t="n">
        <v>44992</v>
      </c>
      <c r="C9164" s="1" t="n">
        <v>45736</v>
      </c>
      <c r="D9164" t="inlineStr">
        <is>
          <t>VÄRMLANDS LÄN</t>
        </is>
      </c>
      <c r="E9164" t="inlineStr">
        <is>
          <t>ÅRJÄNG</t>
        </is>
      </c>
      <c r="F9164" t="inlineStr">
        <is>
          <t>Övriga Aktiebolag</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11364-2023</t>
        </is>
      </c>
      <c r="B9165" s="1" t="n">
        <v>44993</v>
      </c>
      <c r="C9165" s="1" t="n">
        <v>45736</v>
      </c>
      <c r="D9165" t="inlineStr">
        <is>
          <t>VÄRMLANDS LÄN</t>
        </is>
      </c>
      <c r="E9165" t="inlineStr">
        <is>
          <t>TORSBY</t>
        </is>
      </c>
      <c r="G9165" t="n">
        <v>31.9</v>
      </c>
      <c r="H9165" t="n">
        <v>0</v>
      </c>
      <c r="I9165" t="n">
        <v>0</v>
      </c>
      <c r="J9165" t="n">
        <v>0</v>
      </c>
      <c r="K9165" t="n">
        <v>0</v>
      </c>
      <c r="L9165" t="n">
        <v>0</v>
      </c>
      <c r="M9165" t="n">
        <v>0</v>
      </c>
      <c r="N9165" t="n">
        <v>0</v>
      </c>
      <c r="O9165" t="n">
        <v>0</v>
      </c>
      <c r="P9165" t="n">
        <v>0</v>
      </c>
      <c r="Q9165" t="n">
        <v>0</v>
      </c>
      <c r="R9165" s="2" t="inlineStr"/>
    </row>
    <row r="9166" ht="15" customHeight="1">
      <c r="A9166" t="inlineStr">
        <is>
          <t>A 11381-2023</t>
        </is>
      </c>
      <c r="B9166" s="1" t="n">
        <v>44993</v>
      </c>
      <c r="C9166" s="1" t="n">
        <v>45736</v>
      </c>
      <c r="D9166" t="inlineStr">
        <is>
          <t>VÄRMLANDS LÄN</t>
        </is>
      </c>
      <c r="E9166" t="inlineStr">
        <is>
          <t>SÄFFLE</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11365-2023</t>
        </is>
      </c>
      <c r="B9167" s="1" t="n">
        <v>44993</v>
      </c>
      <c r="C9167" s="1" t="n">
        <v>45736</v>
      </c>
      <c r="D9167" t="inlineStr">
        <is>
          <t>VÄRMLANDS LÄN</t>
        </is>
      </c>
      <c r="E9167" t="inlineStr">
        <is>
          <t>SÄFFLE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11428-2023</t>
        </is>
      </c>
      <c r="B9168" s="1" t="n">
        <v>44993</v>
      </c>
      <c r="C9168" s="1" t="n">
        <v>45736</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11368-2023</t>
        </is>
      </c>
      <c r="B9169" s="1" t="n">
        <v>44993</v>
      </c>
      <c r="C9169" s="1" t="n">
        <v>45736</v>
      </c>
      <c r="D9169" t="inlineStr">
        <is>
          <t>VÄRMLANDS LÄN</t>
        </is>
      </c>
      <c r="E9169" t="inlineStr">
        <is>
          <t>KIL</t>
        </is>
      </c>
      <c r="G9169" t="n">
        <v>11.9</v>
      </c>
      <c r="H9169" t="n">
        <v>0</v>
      </c>
      <c r="I9169" t="n">
        <v>0</v>
      </c>
      <c r="J9169" t="n">
        <v>0</v>
      </c>
      <c r="K9169" t="n">
        <v>0</v>
      </c>
      <c r="L9169" t="n">
        <v>0</v>
      </c>
      <c r="M9169" t="n">
        <v>0</v>
      </c>
      <c r="N9169" t="n">
        <v>0</v>
      </c>
      <c r="O9169" t="n">
        <v>0</v>
      </c>
      <c r="P9169" t="n">
        <v>0</v>
      </c>
      <c r="Q9169" t="n">
        <v>0</v>
      </c>
      <c r="R9169" s="2" t="inlineStr"/>
    </row>
    <row r="9170" ht="15" customHeight="1">
      <c r="A9170" t="inlineStr">
        <is>
          <t>A 11366-2023</t>
        </is>
      </c>
      <c r="B9170" s="1" t="n">
        <v>44993</v>
      </c>
      <c r="C9170" s="1" t="n">
        <v>45736</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11378-2023</t>
        </is>
      </c>
      <c r="B9171" s="1" t="n">
        <v>44993</v>
      </c>
      <c r="C9171" s="1" t="n">
        <v>45736</v>
      </c>
      <c r="D9171" t="inlineStr">
        <is>
          <t>VÄRMLANDS LÄN</t>
        </is>
      </c>
      <c r="E9171" t="inlineStr">
        <is>
          <t>GRUMS</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11475-2023</t>
        </is>
      </c>
      <c r="B9172" s="1" t="n">
        <v>44993</v>
      </c>
      <c r="C9172" s="1" t="n">
        <v>45736</v>
      </c>
      <c r="D9172" t="inlineStr">
        <is>
          <t>VÄRMLANDS LÄN</t>
        </is>
      </c>
      <c r="E9172" t="inlineStr">
        <is>
          <t>SÄFFLE</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11793-2023</t>
        </is>
      </c>
      <c r="B9173" s="1" t="n">
        <v>44993</v>
      </c>
      <c r="C9173" s="1" t="n">
        <v>45736</v>
      </c>
      <c r="D9173" t="inlineStr">
        <is>
          <t>VÄRMLANDS LÄN</t>
        </is>
      </c>
      <c r="E9173" t="inlineStr">
        <is>
          <t>ÅRJÄNG</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11866-2023</t>
        </is>
      </c>
      <c r="B9174" s="1" t="n">
        <v>44993</v>
      </c>
      <c r="C9174" s="1" t="n">
        <v>45736</v>
      </c>
      <c r="D9174" t="inlineStr">
        <is>
          <t>VÄRMLANDS LÄN</t>
        </is>
      </c>
      <c r="E9174" t="inlineStr">
        <is>
          <t>FILIPSTAD</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11680-2023</t>
        </is>
      </c>
      <c r="B9175" s="1" t="n">
        <v>44994</v>
      </c>
      <c r="C9175" s="1" t="n">
        <v>45736</v>
      </c>
      <c r="D9175" t="inlineStr">
        <is>
          <t>VÄRMLANDS LÄN</t>
        </is>
      </c>
      <c r="E9175" t="inlineStr">
        <is>
          <t>FILIPSTAD</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11569-2023</t>
        </is>
      </c>
      <c r="B9176" s="1" t="n">
        <v>44994</v>
      </c>
      <c r="C9176" s="1" t="n">
        <v>45736</v>
      </c>
      <c r="D9176" t="inlineStr">
        <is>
          <t>VÄRMLANDS LÄN</t>
        </is>
      </c>
      <c r="E9176" t="inlineStr">
        <is>
          <t>ARVIKA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11640-2023</t>
        </is>
      </c>
      <c r="B9177" s="1" t="n">
        <v>44994</v>
      </c>
      <c r="C9177" s="1" t="n">
        <v>45736</v>
      </c>
      <c r="D9177" t="inlineStr">
        <is>
          <t>VÄRMLANDS LÄN</t>
        </is>
      </c>
      <c r="E9177" t="inlineStr">
        <is>
          <t>SUNNE</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11684-2023</t>
        </is>
      </c>
      <c r="B9178" s="1" t="n">
        <v>44994</v>
      </c>
      <c r="C9178" s="1" t="n">
        <v>45736</v>
      </c>
      <c r="D9178" t="inlineStr">
        <is>
          <t>VÄRMLANDS LÄN</t>
        </is>
      </c>
      <c r="E9178" t="inlineStr">
        <is>
          <t>ARVIKA</t>
        </is>
      </c>
      <c r="F9178" t="inlineStr">
        <is>
          <t>Bergvik skog väst AB</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11713-2023</t>
        </is>
      </c>
      <c r="B9179" s="1" t="n">
        <v>44994</v>
      </c>
      <c r="C9179" s="1" t="n">
        <v>45736</v>
      </c>
      <c r="D9179" t="inlineStr">
        <is>
          <t>VÄRMLANDS LÄN</t>
        </is>
      </c>
      <c r="E9179" t="inlineStr">
        <is>
          <t>ARVIKA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11616-2023</t>
        </is>
      </c>
      <c r="B9180" s="1" t="n">
        <v>44994</v>
      </c>
      <c r="C9180" s="1" t="n">
        <v>45736</v>
      </c>
      <c r="D9180" t="inlineStr">
        <is>
          <t>VÄRMLANDS LÄN</t>
        </is>
      </c>
      <c r="E9180" t="inlineStr">
        <is>
          <t>KARLSTAD</t>
        </is>
      </c>
      <c r="F9180" t="inlineStr">
        <is>
          <t>Kommuner</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11620-2023</t>
        </is>
      </c>
      <c r="B9181" s="1" t="n">
        <v>44994</v>
      </c>
      <c r="C9181" s="1" t="n">
        <v>45736</v>
      </c>
      <c r="D9181" t="inlineStr">
        <is>
          <t>VÄRMLANDS LÄN</t>
        </is>
      </c>
      <c r="E9181" t="inlineStr">
        <is>
          <t>KARLSTAD</t>
        </is>
      </c>
      <c r="F9181" t="inlineStr">
        <is>
          <t>Kommuner</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11626-2023</t>
        </is>
      </c>
      <c r="B9182" s="1" t="n">
        <v>44994</v>
      </c>
      <c r="C9182" s="1" t="n">
        <v>45736</v>
      </c>
      <c r="D9182" t="inlineStr">
        <is>
          <t>VÄRMLANDS LÄN</t>
        </is>
      </c>
      <c r="E9182" t="inlineStr">
        <is>
          <t>SÄFFLE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11633-2023</t>
        </is>
      </c>
      <c r="B9183" s="1" t="n">
        <v>44994</v>
      </c>
      <c r="C9183" s="1" t="n">
        <v>45736</v>
      </c>
      <c r="D9183" t="inlineStr">
        <is>
          <t>VÄRMLANDS LÄN</t>
        </is>
      </c>
      <c r="E9183" t="inlineStr">
        <is>
          <t>SÄFFLE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11617-2023</t>
        </is>
      </c>
      <c r="B9184" s="1" t="n">
        <v>44994</v>
      </c>
      <c r="C9184" s="1" t="n">
        <v>45736</v>
      </c>
      <c r="D9184" t="inlineStr">
        <is>
          <t>VÄRMLANDS LÄN</t>
        </is>
      </c>
      <c r="E9184" t="inlineStr">
        <is>
          <t>KARLSTAD</t>
        </is>
      </c>
      <c r="F9184" t="inlineStr">
        <is>
          <t>Kommuner</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11621-2023</t>
        </is>
      </c>
      <c r="B9185" s="1" t="n">
        <v>44994</v>
      </c>
      <c r="C9185" s="1" t="n">
        <v>45736</v>
      </c>
      <c r="D9185" t="inlineStr">
        <is>
          <t>VÄRMLANDS LÄN</t>
        </is>
      </c>
      <c r="E9185" t="inlineStr">
        <is>
          <t>KARLSTAD</t>
        </is>
      </c>
      <c r="F9185" t="inlineStr">
        <is>
          <t>Kommuner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11745-2023</t>
        </is>
      </c>
      <c r="B9186" s="1" t="n">
        <v>44994</v>
      </c>
      <c r="C9186" s="1" t="n">
        <v>45736</v>
      </c>
      <c r="D9186" t="inlineStr">
        <is>
          <t>VÄRMLANDS LÄN</t>
        </is>
      </c>
      <c r="E9186" t="inlineStr">
        <is>
          <t>FILIPSTAD</t>
        </is>
      </c>
      <c r="F9186" t="inlineStr">
        <is>
          <t>Bergvik skog väst AB</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11784-2023</t>
        </is>
      </c>
      <c r="B9187" s="1" t="n">
        <v>44994</v>
      </c>
      <c r="C9187" s="1" t="n">
        <v>45736</v>
      </c>
      <c r="D9187" t="inlineStr">
        <is>
          <t>VÄRMLANDS LÄN</t>
        </is>
      </c>
      <c r="E9187" t="inlineStr">
        <is>
          <t>KRISTINEHAMN</t>
        </is>
      </c>
      <c r="F9187" t="inlineStr">
        <is>
          <t>Sveaskog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11767-2023</t>
        </is>
      </c>
      <c r="B9188" s="1" t="n">
        <v>44994</v>
      </c>
      <c r="C9188" s="1" t="n">
        <v>45736</v>
      </c>
      <c r="D9188" t="inlineStr">
        <is>
          <t>VÄRMLANDS LÄN</t>
        </is>
      </c>
      <c r="E9188" t="inlineStr">
        <is>
          <t>HAGFORS</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11763-2023</t>
        </is>
      </c>
      <c r="B9189" s="1" t="n">
        <v>44994</v>
      </c>
      <c r="C9189" s="1" t="n">
        <v>45736</v>
      </c>
      <c r="D9189" t="inlineStr">
        <is>
          <t>VÄRMLANDS LÄN</t>
        </is>
      </c>
      <c r="E9189" t="inlineStr">
        <is>
          <t>ARVIKA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11667-2023</t>
        </is>
      </c>
      <c r="B9190" s="1" t="n">
        <v>44994</v>
      </c>
      <c r="C9190" s="1" t="n">
        <v>45736</v>
      </c>
      <c r="D9190" t="inlineStr">
        <is>
          <t>VÄRMLANDS LÄN</t>
        </is>
      </c>
      <c r="E9190" t="inlineStr">
        <is>
          <t>HAGFORS</t>
        </is>
      </c>
      <c r="F9190" t="inlineStr">
        <is>
          <t>Bergvik skog väst AB</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11783-2023</t>
        </is>
      </c>
      <c r="B9191" s="1" t="n">
        <v>44994</v>
      </c>
      <c r="C9191" s="1" t="n">
        <v>45736</v>
      </c>
      <c r="D9191" t="inlineStr">
        <is>
          <t>VÄRMLANDS LÄN</t>
        </is>
      </c>
      <c r="E9191" t="inlineStr">
        <is>
          <t>KRISTINEHAMN</t>
        </is>
      </c>
      <c r="F9191" t="inlineStr">
        <is>
          <t>Sveaskog</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11851-2023</t>
        </is>
      </c>
      <c r="B9192" s="1" t="n">
        <v>44995</v>
      </c>
      <c r="C9192" s="1" t="n">
        <v>45736</v>
      </c>
      <c r="D9192" t="inlineStr">
        <is>
          <t>VÄRMLANDS LÄN</t>
        </is>
      </c>
      <c r="E9192" t="inlineStr">
        <is>
          <t>STORFORS</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11929-2023</t>
        </is>
      </c>
      <c r="B9193" s="1" t="n">
        <v>44995</v>
      </c>
      <c r="C9193" s="1" t="n">
        <v>45736</v>
      </c>
      <c r="D9193" t="inlineStr">
        <is>
          <t>VÄRMLANDS LÄN</t>
        </is>
      </c>
      <c r="E9193" t="inlineStr">
        <is>
          <t>KIL</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11912-2023</t>
        </is>
      </c>
      <c r="B9194" s="1" t="n">
        <v>44995</v>
      </c>
      <c r="C9194" s="1" t="n">
        <v>45736</v>
      </c>
      <c r="D9194" t="inlineStr">
        <is>
          <t>VÄRMLANDS LÄN</t>
        </is>
      </c>
      <c r="E9194" t="inlineStr">
        <is>
          <t>SUNNE</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11888-2023</t>
        </is>
      </c>
      <c r="B9195" s="1" t="n">
        <v>44995</v>
      </c>
      <c r="C9195" s="1" t="n">
        <v>45736</v>
      </c>
      <c r="D9195" t="inlineStr">
        <is>
          <t>VÄRMLANDS LÄN</t>
        </is>
      </c>
      <c r="E9195" t="inlineStr">
        <is>
          <t>ARVIKA</t>
        </is>
      </c>
      <c r="F9195" t="inlineStr">
        <is>
          <t>Bergvik skog väst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11996-2023</t>
        </is>
      </c>
      <c r="B9196" s="1" t="n">
        <v>44995</v>
      </c>
      <c r="C9196" s="1" t="n">
        <v>45736</v>
      </c>
      <c r="D9196" t="inlineStr">
        <is>
          <t>VÄRMLANDS LÄN</t>
        </is>
      </c>
      <c r="E9196" t="inlineStr">
        <is>
          <t>MUNKFORS</t>
        </is>
      </c>
      <c r="F9196" t="inlineStr">
        <is>
          <t>Bergvik skog väst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11909-2023</t>
        </is>
      </c>
      <c r="B9197" s="1" t="n">
        <v>44995</v>
      </c>
      <c r="C9197" s="1" t="n">
        <v>45736</v>
      </c>
      <c r="D9197" t="inlineStr">
        <is>
          <t>VÄRMLANDS LÄN</t>
        </is>
      </c>
      <c r="E9197" t="inlineStr">
        <is>
          <t>SUNNE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12006-2023</t>
        </is>
      </c>
      <c r="B9198" s="1" t="n">
        <v>44995</v>
      </c>
      <c r="C9198" s="1" t="n">
        <v>45736</v>
      </c>
      <c r="D9198" t="inlineStr">
        <is>
          <t>VÄRMLANDS LÄN</t>
        </is>
      </c>
      <c r="E9198" t="inlineStr">
        <is>
          <t>ÅRJÄNG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12020-2023</t>
        </is>
      </c>
      <c r="B9199" s="1" t="n">
        <v>44995</v>
      </c>
      <c r="C9199" s="1" t="n">
        <v>45736</v>
      </c>
      <c r="D9199" t="inlineStr">
        <is>
          <t>VÄRMLANDS LÄN</t>
        </is>
      </c>
      <c r="E9199" t="inlineStr">
        <is>
          <t>ARVIKA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12029-2023</t>
        </is>
      </c>
      <c r="B9200" s="1" t="n">
        <v>44995</v>
      </c>
      <c r="C9200" s="1" t="n">
        <v>45736</v>
      </c>
      <c r="D9200" t="inlineStr">
        <is>
          <t>VÄRMLANDS LÄN</t>
        </is>
      </c>
      <c r="E9200" t="inlineStr">
        <is>
          <t>KARLSTAD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12009-2023</t>
        </is>
      </c>
      <c r="B9201" s="1" t="n">
        <v>44995</v>
      </c>
      <c r="C9201" s="1" t="n">
        <v>45736</v>
      </c>
      <c r="D9201" t="inlineStr">
        <is>
          <t>VÄRMLANDS LÄN</t>
        </is>
      </c>
      <c r="E9201" t="inlineStr">
        <is>
          <t>ÅRJÄNG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12028-2023</t>
        </is>
      </c>
      <c r="B9202" s="1" t="n">
        <v>44995</v>
      </c>
      <c r="C9202" s="1" t="n">
        <v>45736</v>
      </c>
      <c r="D9202" t="inlineStr">
        <is>
          <t>VÄRMLANDS LÄN</t>
        </is>
      </c>
      <c r="E9202" t="inlineStr">
        <is>
          <t>SUNNE</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12097-2023</t>
        </is>
      </c>
      <c r="B9203" s="1" t="n">
        <v>44995</v>
      </c>
      <c r="C9203" s="1" t="n">
        <v>45736</v>
      </c>
      <c r="D9203" t="inlineStr">
        <is>
          <t>VÄRMLANDS LÄN</t>
        </is>
      </c>
      <c r="E9203" t="inlineStr">
        <is>
          <t>SUNNE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12082-2023</t>
        </is>
      </c>
      <c r="B9204" s="1" t="n">
        <v>44997</v>
      </c>
      <c r="C9204" s="1" t="n">
        <v>45736</v>
      </c>
      <c r="D9204" t="inlineStr">
        <is>
          <t>VÄRMLANDS LÄN</t>
        </is>
      </c>
      <c r="E9204" t="inlineStr">
        <is>
          <t>ÅRJÄNG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12113-2023</t>
        </is>
      </c>
      <c r="B9205" s="1" t="n">
        <v>44998</v>
      </c>
      <c r="C9205" s="1" t="n">
        <v>45736</v>
      </c>
      <c r="D9205" t="inlineStr">
        <is>
          <t>VÄRMLANDS LÄN</t>
        </is>
      </c>
      <c r="E9205" t="inlineStr">
        <is>
          <t>EDA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12118-2023</t>
        </is>
      </c>
      <c r="B9206" s="1" t="n">
        <v>44998</v>
      </c>
      <c r="C9206" s="1" t="n">
        <v>45736</v>
      </c>
      <c r="D9206" t="inlineStr">
        <is>
          <t>VÄRMLANDS LÄN</t>
        </is>
      </c>
      <c r="E9206" t="inlineStr">
        <is>
          <t>EDA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12128-2023</t>
        </is>
      </c>
      <c r="B9207" s="1" t="n">
        <v>44998</v>
      </c>
      <c r="C9207" s="1" t="n">
        <v>45736</v>
      </c>
      <c r="D9207" t="inlineStr">
        <is>
          <t>VÄRMLANDS LÄN</t>
        </is>
      </c>
      <c r="E9207" t="inlineStr">
        <is>
          <t>KRISTINEHAMN</t>
        </is>
      </c>
      <c r="F9207" t="inlineStr">
        <is>
          <t>Naturvårdsverket</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12141-2023</t>
        </is>
      </c>
      <c r="B9208" s="1" t="n">
        <v>44998</v>
      </c>
      <c r="C9208" s="1" t="n">
        <v>45736</v>
      </c>
      <c r="D9208" t="inlineStr">
        <is>
          <t>VÄRMLANDS LÄN</t>
        </is>
      </c>
      <c r="E9208" t="inlineStr">
        <is>
          <t>EDA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12271-2023</t>
        </is>
      </c>
      <c r="B9209" s="1" t="n">
        <v>44998</v>
      </c>
      <c r="C9209" s="1" t="n">
        <v>45736</v>
      </c>
      <c r="D9209" t="inlineStr">
        <is>
          <t>VÄRMLANDS LÄN</t>
        </is>
      </c>
      <c r="E9209" t="inlineStr">
        <is>
          <t>ARVIKA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12350-2023</t>
        </is>
      </c>
      <c r="B9210" s="1" t="n">
        <v>44998</v>
      </c>
      <c r="C9210" s="1" t="n">
        <v>45736</v>
      </c>
      <c r="D9210" t="inlineStr">
        <is>
          <t>VÄRMLANDS LÄN</t>
        </is>
      </c>
      <c r="E9210" t="inlineStr">
        <is>
          <t>GRUMS</t>
        </is>
      </c>
      <c r="F9210" t="inlineStr">
        <is>
          <t>Bergvik skog väst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12119-2023</t>
        </is>
      </c>
      <c r="B9211" s="1" t="n">
        <v>44998</v>
      </c>
      <c r="C9211" s="1" t="n">
        <v>45736</v>
      </c>
      <c r="D9211" t="inlineStr">
        <is>
          <t>VÄRMLANDS LÄN</t>
        </is>
      </c>
      <c r="E9211" t="inlineStr">
        <is>
          <t>SUNNE</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12134-2023</t>
        </is>
      </c>
      <c r="B9212" s="1" t="n">
        <v>44998</v>
      </c>
      <c r="C9212" s="1" t="n">
        <v>45736</v>
      </c>
      <c r="D9212" t="inlineStr">
        <is>
          <t>VÄRMLANDS LÄN</t>
        </is>
      </c>
      <c r="E9212" t="inlineStr">
        <is>
          <t>SÄFFLE</t>
        </is>
      </c>
      <c r="G9212" t="n">
        <v>11.1</v>
      </c>
      <c r="H9212" t="n">
        <v>0</v>
      </c>
      <c r="I9212" t="n">
        <v>0</v>
      </c>
      <c r="J9212" t="n">
        <v>0</v>
      </c>
      <c r="K9212" t="n">
        <v>0</v>
      </c>
      <c r="L9212" t="n">
        <v>0</v>
      </c>
      <c r="M9212" t="n">
        <v>0</v>
      </c>
      <c r="N9212" t="n">
        <v>0</v>
      </c>
      <c r="O9212" t="n">
        <v>0</v>
      </c>
      <c r="P9212" t="n">
        <v>0</v>
      </c>
      <c r="Q9212" t="n">
        <v>0</v>
      </c>
      <c r="R9212" s="2" t="inlineStr"/>
    </row>
    <row r="9213" ht="15" customHeight="1">
      <c r="A9213" t="inlineStr">
        <is>
          <t>A 12111-2023</t>
        </is>
      </c>
      <c r="B9213" s="1" t="n">
        <v>44998</v>
      </c>
      <c r="C9213" s="1" t="n">
        <v>45736</v>
      </c>
      <c r="D9213" t="inlineStr">
        <is>
          <t>VÄRMLANDS LÄN</t>
        </is>
      </c>
      <c r="E9213" t="inlineStr">
        <is>
          <t>EDA</t>
        </is>
      </c>
      <c r="G9213" t="n">
        <v>13.6</v>
      </c>
      <c r="H9213" t="n">
        <v>0</v>
      </c>
      <c r="I9213" t="n">
        <v>0</v>
      </c>
      <c r="J9213" t="n">
        <v>0</v>
      </c>
      <c r="K9213" t="n">
        <v>0</v>
      </c>
      <c r="L9213" t="n">
        <v>0</v>
      </c>
      <c r="M9213" t="n">
        <v>0</v>
      </c>
      <c r="N9213" t="n">
        <v>0</v>
      </c>
      <c r="O9213" t="n">
        <v>0</v>
      </c>
      <c r="P9213" t="n">
        <v>0</v>
      </c>
      <c r="Q9213" t="n">
        <v>0</v>
      </c>
      <c r="R9213" s="2" t="inlineStr"/>
    </row>
    <row r="9214" ht="15" customHeight="1">
      <c r="A9214" t="inlineStr">
        <is>
          <t>A 12110-2023</t>
        </is>
      </c>
      <c r="B9214" s="1" t="n">
        <v>44998</v>
      </c>
      <c r="C9214" s="1" t="n">
        <v>45736</v>
      </c>
      <c r="D9214" t="inlineStr">
        <is>
          <t>VÄRMLANDS LÄN</t>
        </is>
      </c>
      <c r="E9214" t="inlineStr">
        <is>
          <t>KARLSTAD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12194-2023</t>
        </is>
      </c>
      <c r="B9215" s="1" t="n">
        <v>44998</v>
      </c>
      <c r="C9215" s="1" t="n">
        <v>45736</v>
      </c>
      <c r="D9215" t="inlineStr">
        <is>
          <t>VÄRMLANDS LÄN</t>
        </is>
      </c>
      <c r="E9215" t="inlineStr">
        <is>
          <t>HAGFORS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12206-2023</t>
        </is>
      </c>
      <c r="B9216" s="1" t="n">
        <v>44998</v>
      </c>
      <c r="C9216" s="1" t="n">
        <v>45736</v>
      </c>
      <c r="D9216" t="inlineStr">
        <is>
          <t>VÄRMLANDS LÄN</t>
        </is>
      </c>
      <c r="E9216" t="inlineStr">
        <is>
          <t>HAGFORS</t>
        </is>
      </c>
      <c r="F9216" t="inlineStr">
        <is>
          <t>Bergvik skog väst AB</t>
        </is>
      </c>
      <c r="G9216" t="n">
        <v>14.2</v>
      </c>
      <c r="H9216" t="n">
        <v>0</v>
      </c>
      <c r="I9216" t="n">
        <v>0</v>
      </c>
      <c r="J9216" t="n">
        <v>0</v>
      </c>
      <c r="K9216" t="n">
        <v>0</v>
      </c>
      <c r="L9216" t="n">
        <v>0</v>
      </c>
      <c r="M9216" t="n">
        <v>0</v>
      </c>
      <c r="N9216" t="n">
        <v>0</v>
      </c>
      <c r="O9216" t="n">
        <v>0</v>
      </c>
      <c r="P9216" t="n">
        <v>0</v>
      </c>
      <c r="Q9216" t="n">
        <v>0</v>
      </c>
      <c r="R9216" s="2" t="inlineStr"/>
    </row>
    <row r="9217" ht="15" customHeight="1">
      <c r="A9217" t="inlineStr">
        <is>
          <t>A 12275-2023</t>
        </is>
      </c>
      <c r="B9217" s="1" t="n">
        <v>44998</v>
      </c>
      <c r="C9217" s="1" t="n">
        <v>45736</v>
      </c>
      <c r="D9217" t="inlineStr">
        <is>
          <t>VÄRMLANDS LÄN</t>
        </is>
      </c>
      <c r="E9217" t="inlineStr">
        <is>
          <t>ÅRJÄNG</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12416-2023</t>
        </is>
      </c>
      <c r="B9218" s="1" t="n">
        <v>44998</v>
      </c>
      <c r="C9218" s="1" t="n">
        <v>45736</v>
      </c>
      <c r="D9218" t="inlineStr">
        <is>
          <t>VÄRMLANDS LÄN</t>
        </is>
      </c>
      <c r="E9218" t="inlineStr">
        <is>
          <t>GRUMS</t>
        </is>
      </c>
      <c r="F9218" t="inlineStr">
        <is>
          <t>Bergvik skog väst AB</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12257-2023</t>
        </is>
      </c>
      <c r="B9219" s="1" t="n">
        <v>44998</v>
      </c>
      <c r="C9219" s="1" t="n">
        <v>45736</v>
      </c>
      <c r="D9219" t="inlineStr">
        <is>
          <t>VÄRMLANDS LÄN</t>
        </is>
      </c>
      <c r="E9219" t="inlineStr">
        <is>
          <t>SÄFFLE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12160-2023</t>
        </is>
      </c>
      <c r="B9220" s="1" t="n">
        <v>44998</v>
      </c>
      <c r="C9220" s="1" t="n">
        <v>45736</v>
      </c>
      <c r="D9220" t="inlineStr">
        <is>
          <t>VÄRMLANDS LÄN</t>
        </is>
      </c>
      <c r="E9220" t="inlineStr">
        <is>
          <t>FILIPSTAD</t>
        </is>
      </c>
      <c r="F9220" t="inlineStr">
        <is>
          <t>Bergvik skog väst AB</t>
        </is>
      </c>
      <c r="G9220" t="n">
        <v>11.2</v>
      </c>
      <c r="H9220" t="n">
        <v>0</v>
      </c>
      <c r="I9220" t="n">
        <v>0</v>
      </c>
      <c r="J9220" t="n">
        <v>0</v>
      </c>
      <c r="K9220" t="n">
        <v>0</v>
      </c>
      <c r="L9220" t="n">
        <v>0</v>
      </c>
      <c r="M9220" t="n">
        <v>0</v>
      </c>
      <c r="N9220" t="n">
        <v>0</v>
      </c>
      <c r="O9220" t="n">
        <v>0</v>
      </c>
      <c r="P9220" t="n">
        <v>0</v>
      </c>
      <c r="Q9220" t="n">
        <v>0</v>
      </c>
      <c r="R9220" s="2" t="inlineStr"/>
    </row>
    <row r="9221" ht="15" customHeight="1">
      <c r="A9221" t="inlineStr">
        <is>
          <t>A 12209-2023</t>
        </is>
      </c>
      <c r="B9221" s="1" t="n">
        <v>44998</v>
      </c>
      <c r="C9221" s="1" t="n">
        <v>45736</v>
      </c>
      <c r="D9221" t="inlineStr">
        <is>
          <t>VÄRMLANDS LÄN</t>
        </is>
      </c>
      <c r="E9221" t="inlineStr">
        <is>
          <t>ÅRJÄNG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12229-2023</t>
        </is>
      </c>
      <c r="B9222" s="1" t="n">
        <v>44998</v>
      </c>
      <c r="C9222" s="1" t="n">
        <v>45736</v>
      </c>
      <c r="D9222" t="inlineStr">
        <is>
          <t>VÄRMLANDS LÄN</t>
        </is>
      </c>
      <c r="E9222" t="inlineStr">
        <is>
          <t>EDA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12237-2023</t>
        </is>
      </c>
      <c r="B9223" s="1" t="n">
        <v>44998</v>
      </c>
      <c r="C9223" s="1" t="n">
        <v>45736</v>
      </c>
      <c r="D9223" t="inlineStr">
        <is>
          <t>VÄRMLANDS LÄN</t>
        </is>
      </c>
      <c r="E9223" t="inlineStr">
        <is>
          <t>SUNNE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12255-2023</t>
        </is>
      </c>
      <c r="B9224" s="1" t="n">
        <v>44998</v>
      </c>
      <c r="C9224" s="1" t="n">
        <v>45736</v>
      </c>
      <c r="D9224" t="inlineStr">
        <is>
          <t>VÄRMLANDS LÄN</t>
        </is>
      </c>
      <c r="E9224" t="inlineStr">
        <is>
          <t>KARLSTAD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12289-2023</t>
        </is>
      </c>
      <c r="B9225" s="1" t="n">
        <v>44998</v>
      </c>
      <c r="C9225" s="1" t="n">
        <v>45736</v>
      </c>
      <c r="D9225" t="inlineStr">
        <is>
          <t>VÄRMLANDS LÄN</t>
        </is>
      </c>
      <c r="E9225" t="inlineStr">
        <is>
          <t>ÅRJÄNG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12397-2023</t>
        </is>
      </c>
      <c r="B9226" s="1" t="n">
        <v>44999</v>
      </c>
      <c r="C9226" s="1" t="n">
        <v>45736</v>
      </c>
      <c r="D9226" t="inlineStr">
        <is>
          <t>VÄRMLANDS LÄN</t>
        </is>
      </c>
      <c r="E9226" t="inlineStr">
        <is>
          <t>KRISTINEHAMN</t>
        </is>
      </c>
      <c r="F9226" t="inlineStr">
        <is>
          <t>Kyrkan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12326-2023</t>
        </is>
      </c>
      <c r="B9227" s="1" t="n">
        <v>44999</v>
      </c>
      <c r="C9227" s="1" t="n">
        <v>45736</v>
      </c>
      <c r="D9227" t="inlineStr">
        <is>
          <t>VÄRMLANDS LÄN</t>
        </is>
      </c>
      <c r="E9227" t="inlineStr">
        <is>
          <t>SÄFFLE</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12385-2023</t>
        </is>
      </c>
      <c r="B9228" s="1" t="n">
        <v>44999</v>
      </c>
      <c r="C9228" s="1" t="n">
        <v>45736</v>
      </c>
      <c r="D9228" t="inlineStr">
        <is>
          <t>VÄRMLANDS LÄN</t>
        </is>
      </c>
      <c r="E9228" t="inlineStr">
        <is>
          <t>EDA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12395-2023</t>
        </is>
      </c>
      <c r="B9229" s="1" t="n">
        <v>44999</v>
      </c>
      <c r="C9229" s="1" t="n">
        <v>45736</v>
      </c>
      <c r="D9229" t="inlineStr">
        <is>
          <t>VÄRMLANDS LÄN</t>
        </is>
      </c>
      <c r="E9229" t="inlineStr">
        <is>
          <t>SÄFFLE</t>
        </is>
      </c>
      <c r="F9229" t="inlineStr">
        <is>
          <t>Bergvik skog väst AB</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12465-2023</t>
        </is>
      </c>
      <c r="B9230" s="1" t="n">
        <v>44999</v>
      </c>
      <c r="C9230" s="1" t="n">
        <v>45736</v>
      </c>
      <c r="D9230" t="inlineStr">
        <is>
          <t>VÄRMLANDS LÄN</t>
        </is>
      </c>
      <c r="E9230" t="inlineStr">
        <is>
          <t>STORFORS</t>
        </is>
      </c>
      <c r="F9230" t="inlineStr">
        <is>
          <t>Bergvik skog väst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12481-2023</t>
        </is>
      </c>
      <c r="B9231" s="1" t="n">
        <v>44999</v>
      </c>
      <c r="C9231" s="1" t="n">
        <v>45736</v>
      </c>
      <c r="D9231" t="inlineStr">
        <is>
          <t>VÄRMLANDS LÄN</t>
        </is>
      </c>
      <c r="E9231" t="inlineStr">
        <is>
          <t>ARVIKA</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12441-2023</t>
        </is>
      </c>
      <c r="B9232" s="1" t="n">
        <v>44999</v>
      </c>
      <c r="C9232" s="1" t="n">
        <v>45736</v>
      </c>
      <c r="D9232" t="inlineStr">
        <is>
          <t>VÄRMLANDS LÄN</t>
        </is>
      </c>
      <c r="E9232" t="inlineStr">
        <is>
          <t>TORSBY</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12453-2023</t>
        </is>
      </c>
      <c r="B9233" s="1" t="n">
        <v>44999</v>
      </c>
      <c r="C9233" s="1" t="n">
        <v>45736</v>
      </c>
      <c r="D9233" t="inlineStr">
        <is>
          <t>VÄRMLANDS LÄN</t>
        </is>
      </c>
      <c r="E9233" t="inlineStr">
        <is>
          <t>TORSBY</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12458-2023</t>
        </is>
      </c>
      <c r="B9234" s="1" t="n">
        <v>44999</v>
      </c>
      <c r="C9234" s="1" t="n">
        <v>45736</v>
      </c>
      <c r="D9234" t="inlineStr">
        <is>
          <t>VÄRMLANDS LÄN</t>
        </is>
      </c>
      <c r="E9234" t="inlineStr">
        <is>
          <t>TORSBY</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12455-2023</t>
        </is>
      </c>
      <c r="B9235" s="1" t="n">
        <v>44999</v>
      </c>
      <c r="C9235" s="1" t="n">
        <v>45736</v>
      </c>
      <c r="D9235" t="inlineStr">
        <is>
          <t>VÄRMLANDS LÄN</t>
        </is>
      </c>
      <c r="E9235" t="inlineStr">
        <is>
          <t>STORFORS</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12460-2023</t>
        </is>
      </c>
      <c r="B9236" s="1" t="n">
        <v>44999</v>
      </c>
      <c r="C9236" s="1" t="n">
        <v>45736</v>
      </c>
      <c r="D9236" t="inlineStr">
        <is>
          <t>VÄRMLANDS LÄN</t>
        </is>
      </c>
      <c r="E9236" t="inlineStr">
        <is>
          <t>KRISTINEHAMN</t>
        </is>
      </c>
      <c r="F9236" t="inlineStr">
        <is>
          <t>Naturvårdsverket</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12467-2023</t>
        </is>
      </c>
      <c r="B9237" s="1" t="n">
        <v>44999</v>
      </c>
      <c r="C9237" s="1" t="n">
        <v>45736</v>
      </c>
      <c r="D9237" t="inlineStr">
        <is>
          <t>VÄRMLANDS LÄN</t>
        </is>
      </c>
      <c r="E9237" t="inlineStr">
        <is>
          <t>TORSBY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12475-2023</t>
        </is>
      </c>
      <c r="B9238" s="1" t="n">
        <v>44999</v>
      </c>
      <c r="C9238" s="1" t="n">
        <v>45736</v>
      </c>
      <c r="D9238" t="inlineStr">
        <is>
          <t>VÄRMLANDS LÄN</t>
        </is>
      </c>
      <c r="E9238" t="inlineStr">
        <is>
          <t>KARLSTAD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12573-2023</t>
        </is>
      </c>
      <c r="B9239" s="1" t="n">
        <v>45000</v>
      </c>
      <c r="C9239" s="1" t="n">
        <v>45736</v>
      </c>
      <c r="D9239" t="inlineStr">
        <is>
          <t>VÄRMLANDS LÄN</t>
        </is>
      </c>
      <c r="E9239" t="inlineStr">
        <is>
          <t>KRISTINEHAMN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12635-2023</t>
        </is>
      </c>
      <c r="B9240" s="1" t="n">
        <v>45000</v>
      </c>
      <c r="C9240" s="1" t="n">
        <v>45736</v>
      </c>
      <c r="D9240" t="inlineStr">
        <is>
          <t>VÄRMLANDS LÄN</t>
        </is>
      </c>
      <c r="E9240" t="inlineStr">
        <is>
          <t>HAGFORS</t>
        </is>
      </c>
      <c r="G9240" t="n">
        <v>18.8</v>
      </c>
      <c r="H9240" t="n">
        <v>0</v>
      </c>
      <c r="I9240" t="n">
        <v>0</v>
      </c>
      <c r="J9240" t="n">
        <v>0</v>
      </c>
      <c r="K9240" t="n">
        <v>0</v>
      </c>
      <c r="L9240" t="n">
        <v>0</v>
      </c>
      <c r="M9240" t="n">
        <v>0</v>
      </c>
      <c r="N9240" t="n">
        <v>0</v>
      </c>
      <c r="O9240" t="n">
        <v>0</v>
      </c>
      <c r="P9240" t="n">
        <v>0</v>
      </c>
      <c r="Q9240" t="n">
        <v>0</v>
      </c>
      <c r="R9240" s="2" t="inlineStr"/>
    </row>
    <row r="9241" ht="15" customHeight="1">
      <c r="A9241" t="inlineStr">
        <is>
          <t>A 12681-2023</t>
        </is>
      </c>
      <c r="B9241" s="1" t="n">
        <v>45000</v>
      </c>
      <c r="C9241" s="1" t="n">
        <v>45736</v>
      </c>
      <c r="D9241" t="inlineStr">
        <is>
          <t>VÄRMLANDS LÄN</t>
        </is>
      </c>
      <c r="E9241" t="inlineStr">
        <is>
          <t>ARVIKA</t>
        </is>
      </c>
      <c r="F9241" t="inlineStr">
        <is>
          <t>Bergvik skog väst AB</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12689-2023</t>
        </is>
      </c>
      <c r="B9242" s="1" t="n">
        <v>45000</v>
      </c>
      <c r="C9242" s="1" t="n">
        <v>45736</v>
      </c>
      <c r="D9242" t="inlineStr">
        <is>
          <t>VÄRMLANDS LÄN</t>
        </is>
      </c>
      <c r="E9242" t="inlineStr">
        <is>
          <t>TORSBY</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12712-2023</t>
        </is>
      </c>
      <c r="B9243" s="1" t="n">
        <v>45000</v>
      </c>
      <c r="C9243" s="1" t="n">
        <v>45736</v>
      </c>
      <c r="D9243" t="inlineStr">
        <is>
          <t>VÄRMLANDS LÄN</t>
        </is>
      </c>
      <c r="E9243" t="inlineStr">
        <is>
          <t>EDA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12566-2023</t>
        </is>
      </c>
      <c r="B9244" s="1" t="n">
        <v>45000</v>
      </c>
      <c r="C9244" s="1" t="n">
        <v>45736</v>
      </c>
      <c r="D9244" t="inlineStr">
        <is>
          <t>VÄRMLANDS LÄN</t>
        </is>
      </c>
      <c r="E9244" t="inlineStr">
        <is>
          <t>FILIPSTAD</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12563-2023</t>
        </is>
      </c>
      <c r="B9245" s="1" t="n">
        <v>45000</v>
      </c>
      <c r="C9245" s="1" t="n">
        <v>45736</v>
      </c>
      <c r="D9245" t="inlineStr">
        <is>
          <t>VÄRMLANDS LÄN</t>
        </is>
      </c>
      <c r="E9245" t="inlineStr">
        <is>
          <t>MUNKFORS</t>
        </is>
      </c>
      <c r="F9245" t="inlineStr">
        <is>
          <t>Bergvik skog väst AB</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12588-2023</t>
        </is>
      </c>
      <c r="B9246" s="1" t="n">
        <v>45000</v>
      </c>
      <c r="C9246" s="1" t="n">
        <v>45736</v>
      </c>
      <c r="D9246" t="inlineStr">
        <is>
          <t>VÄRMLANDS LÄN</t>
        </is>
      </c>
      <c r="E9246" t="inlineStr">
        <is>
          <t>MUNKFORS</t>
        </is>
      </c>
      <c r="F9246" t="inlineStr">
        <is>
          <t>Bergvik skog väst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12645-2023</t>
        </is>
      </c>
      <c r="B9247" s="1" t="n">
        <v>45000</v>
      </c>
      <c r="C9247" s="1" t="n">
        <v>45736</v>
      </c>
      <c r="D9247" t="inlineStr">
        <is>
          <t>VÄRMLANDS LÄN</t>
        </is>
      </c>
      <c r="E9247" t="inlineStr">
        <is>
          <t>HAGFORS</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12568-2023</t>
        </is>
      </c>
      <c r="B9248" s="1" t="n">
        <v>45000</v>
      </c>
      <c r="C9248" s="1" t="n">
        <v>45736</v>
      </c>
      <c r="D9248" t="inlineStr">
        <is>
          <t>VÄRMLANDS LÄN</t>
        </is>
      </c>
      <c r="E9248" t="inlineStr">
        <is>
          <t>KRISTINEHAMN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12637-2023</t>
        </is>
      </c>
      <c r="B9249" s="1" t="n">
        <v>45000</v>
      </c>
      <c r="C9249" s="1" t="n">
        <v>45736</v>
      </c>
      <c r="D9249" t="inlineStr">
        <is>
          <t>VÄRMLANDS LÄN</t>
        </is>
      </c>
      <c r="E9249" t="inlineStr">
        <is>
          <t>TORSBY</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12670-2023</t>
        </is>
      </c>
      <c r="B9250" s="1" t="n">
        <v>45000</v>
      </c>
      <c r="C9250" s="1" t="n">
        <v>45736</v>
      </c>
      <c r="D9250" t="inlineStr">
        <is>
          <t>VÄRMLANDS LÄN</t>
        </is>
      </c>
      <c r="E9250" t="inlineStr">
        <is>
          <t>TORSBY</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12798-2023</t>
        </is>
      </c>
      <c r="B9251" s="1" t="n">
        <v>45000</v>
      </c>
      <c r="C9251" s="1" t="n">
        <v>45736</v>
      </c>
      <c r="D9251" t="inlineStr">
        <is>
          <t>VÄRMLANDS LÄN</t>
        </is>
      </c>
      <c r="E9251" t="inlineStr">
        <is>
          <t>SÄFFLE</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12826-2023</t>
        </is>
      </c>
      <c r="B9252" s="1" t="n">
        <v>45000</v>
      </c>
      <c r="C9252" s="1" t="n">
        <v>45736</v>
      </c>
      <c r="D9252" t="inlineStr">
        <is>
          <t>VÄRMLANDS LÄN</t>
        </is>
      </c>
      <c r="E9252" t="inlineStr">
        <is>
          <t>ARVIKA</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12824-2023</t>
        </is>
      </c>
      <c r="B9253" s="1" t="n">
        <v>45000</v>
      </c>
      <c r="C9253" s="1" t="n">
        <v>45736</v>
      </c>
      <c r="D9253" t="inlineStr">
        <is>
          <t>VÄRMLANDS LÄN</t>
        </is>
      </c>
      <c r="E9253" t="inlineStr">
        <is>
          <t>EDA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12933-2023</t>
        </is>
      </c>
      <c r="B9254" s="1" t="n">
        <v>45001</v>
      </c>
      <c r="C9254" s="1" t="n">
        <v>45736</v>
      </c>
      <c r="D9254" t="inlineStr">
        <is>
          <t>VÄRMLANDS LÄN</t>
        </is>
      </c>
      <c r="E9254" t="inlineStr">
        <is>
          <t>TORSBY</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13101-2023</t>
        </is>
      </c>
      <c r="B9255" s="1" t="n">
        <v>45001</v>
      </c>
      <c r="C9255" s="1" t="n">
        <v>45736</v>
      </c>
      <c r="D9255" t="inlineStr">
        <is>
          <t>VÄRMLANDS LÄN</t>
        </is>
      </c>
      <c r="E9255" t="inlineStr">
        <is>
          <t>ARVIKA</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13074-2023</t>
        </is>
      </c>
      <c r="B9256" s="1" t="n">
        <v>45001</v>
      </c>
      <c r="C9256" s="1" t="n">
        <v>45736</v>
      </c>
      <c r="D9256" t="inlineStr">
        <is>
          <t>VÄRMLANDS LÄN</t>
        </is>
      </c>
      <c r="E9256" t="inlineStr">
        <is>
          <t>ARVIKA</t>
        </is>
      </c>
      <c r="G9256" t="n">
        <v>21.1</v>
      </c>
      <c r="H9256" t="n">
        <v>0</v>
      </c>
      <c r="I9256" t="n">
        <v>0</v>
      </c>
      <c r="J9256" t="n">
        <v>0</v>
      </c>
      <c r="K9256" t="n">
        <v>0</v>
      </c>
      <c r="L9256" t="n">
        <v>0</v>
      </c>
      <c r="M9256" t="n">
        <v>0</v>
      </c>
      <c r="N9256" t="n">
        <v>0</v>
      </c>
      <c r="O9256" t="n">
        <v>0</v>
      </c>
      <c r="P9256" t="n">
        <v>0</v>
      </c>
      <c r="Q9256" t="n">
        <v>0</v>
      </c>
      <c r="R9256" s="2" t="inlineStr"/>
    </row>
    <row r="9257" ht="15" customHeight="1">
      <c r="A9257" t="inlineStr">
        <is>
          <t>A 13054-2023</t>
        </is>
      </c>
      <c r="B9257" s="1" t="n">
        <v>45001</v>
      </c>
      <c r="C9257" s="1" t="n">
        <v>45736</v>
      </c>
      <c r="D9257" t="inlineStr">
        <is>
          <t>VÄRMLANDS LÄN</t>
        </is>
      </c>
      <c r="E9257" t="inlineStr">
        <is>
          <t>TORSBY</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13048-2023</t>
        </is>
      </c>
      <c r="B9258" s="1" t="n">
        <v>45001</v>
      </c>
      <c r="C9258" s="1" t="n">
        <v>45736</v>
      </c>
      <c r="D9258" t="inlineStr">
        <is>
          <t>VÄRMLANDS LÄN</t>
        </is>
      </c>
      <c r="E9258" t="inlineStr">
        <is>
          <t>TORSBY</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12968-2023</t>
        </is>
      </c>
      <c r="B9259" s="1" t="n">
        <v>45001</v>
      </c>
      <c r="C9259" s="1" t="n">
        <v>45736</v>
      </c>
      <c r="D9259" t="inlineStr">
        <is>
          <t>VÄRMLANDS LÄN</t>
        </is>
      </c>
      <c r="E9259" t="inlineStr">
        <is>
          <t>TORSBY</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13139-2023</t>
        </is>
      </c>
      <c r="B9260" s="1" t="n">
        <v>45001</v>
      </c>
      <c r="C9260" s="1" t="n">
        <v>45736</v>
      </c>
      <c r="D9260" t="inlineStr">
        <is>
          <t>VÄRMLANDS LÄN</t>
        </is>
      </c>
      <c r="E9260" t="inlineStr">
        <is>
          <t>ARVIKA</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13021-2023</t>
        </is>
      </c>
      <c r="B9261" s="1" t="n">
        <v>45002</v>
      </c>
      <c r="C9261" s="1" t="n">
        <v>45736</v>
      </c>
      <c r="D9261" t="inlineStr">
        <is>
          <t>VÄRMLANDS LÄN</t>
        </is>
      </c>
      <c r="E9261" t="inlineStr">
        <is>
          <t>KRISTINEHAMN</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13055-2023</t>
        </is>
      </c>
      <c r="B9262" s="1" t="n">
        <v>45002</v>
      </c>
      <c r="C9262" s="1" t="n">
        <v>45736</v>
      </c>
      <c r="D9262" t="inlineStr">
        <is>
          <t>VÄRMLANDS LÄN</t>
        </is>
      </c>
      <c r="E9262" t="inlineStr">
        <is>
          <t>GRUMS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13118-2023</t>
        </is>
      </c>
      <c r="B9263" s="1" t="n">
        <v>45002</v>
      </c>
      <c r="C9263" s="1" t="n">
        <v>45736</v>
      </c>
      <c r="D9263" t="inlineStr">
        <is>
          <t>VÄRMLANDS LÄN</t>
        </is>
      </c>
      <c r="E9263" t="inlineStr">
        <is>
          <t>KARLSTAD</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13051-2023</t>
        </is>
      </c>
      <c r="B9264" s="1" t="n">
        <v>45002</v>
      </c>
      <c r="C9264" s="1" t="n">
        <v>45736</v>
      </c>
      <c r="D9264" t="inlineStr">
        <is>
          <t>VÄRMLANDS LÄN</t>
        </is>
      </c>
      <c r="E9264" t="inlineStr">
        <is>
          <t>ÅRJÄNG</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13147-2023</t>
        </is>
      </c>
      <c r="B9265" s="1" t="n">
        <v>45002</v>
      </c>
      <c r="C9265" s="1" t="n">
        <v>45736</v>
      </c>
      <c r="D9265" t="inlineStr">
        <is>
          <t>VÄRMLANDS LÄN</t>
        </is>
      </c>
      <c r="E9265" t="inlineStr">
        <is>
          <t>FORSHAGA</t>
        </is>
      </c>
      <c r="F9265" t="inlineStr">
        <is>
          <t>Bergvik skog väst AB</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13158-2023</t>
        </is>
      </c>
      <c r="B9266" s="1" t="n">
        <v>45002</v>
      </c>
      <c r="C9266" s="1" t="n">
        <v>45736</v>
      </c>
      <c r="D9266" t="inlineStr">
        <is>
          <t>VÄRMLANDS LÄN</t>
        </is>
      </c>
      <c r="E9266" t="inlineStr">
        <is>
          <t>SUNNE</t>
        </is>
      </c>
      <c r="F9266" t="inlineStr">
        <is>
          <t>Bergvik skog väst AB</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13121-2023</t>
        </is>
      </c>
      <c r="B9267" s="1" t="n">
        <v>45002</v>
      </c>
      <c r="C9267" s="1" t="n">
        <v>45736</v>
      </c>
      <c r="D9267" t="inlineStr">
        <is>
          <t>VÄRMLANDS LÄN</t>
        </is>
      </c>
      <c r="E9267" t="inlineStr">
        <is>
          <t>GRUMS</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13133-2023</t>
        </is>
      </c>
      <c r="B9268" s="1" t="n">
        <v>45002</v>
      </c>
      <c r="C9268" s="1" t="n">
        <v>45736</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13164-2023</t>
        </is>
      </c>
      <c r="B9269" s="1" t="n">
        <v>45002</v>
      </c>
      <c r="C9269" s="1" t="n">
        <v>45736</v>
      </c>
      <c r="D9269" t="inlineStr">
        <is>
          <t>VÄRMLANDS LÄN</t>
        </is>
      </c>
      <c r="E9269" t="inlineStr">
        <is>
          <t>MUNKFORS</t>
        </is>
      </c>
      <c r="F9269" t="inlineStr">
        <is>
          <t>Bergvik skog väst AB</t>
        </is>
      </c>
      <c r="G9269" t="n">
        <v>15.1</v>
      </c>
      <c r="H9269" t="n">
        <v>0</v>
      </c>
      <c r="I9269" t="n">
        <v>0</v>
      </c>
      <c r="J9269" t="n">
        <v>0</v>
      </c>
      <c r="K9269" t="n">
        <v>0</v>
      </c>
      <c r="L9269" t="n">
        <v>0</v>
      </c>
      <c r="M9269" t="n">
        <v>0</v>
      </c>
      <c r="N9269" t="n">
        <v>0</v>
      </c>
      <c r="O9269" t="n">
        <v>0</v>
      </c>
      <c r="P9269" t="n">
        <v>0</v>
      </c>
      <c r="Q9269" t="n">
        <v>0</v>
      </c>
      <c r="R9269" s="2" t="inlineStr"/>
    </row>
    <row r="9270" ht="15" customHeight="1">
      <c r="A9270" t="inlineStr">
        <is>
          <t>A 13208-2023</t>
        </is>
      </c>
      <c r="B9270" s="1" t="n">
        <v>45002</v>
      </c>
      <c r="C9270" s="1" t="n">
        <v>45736</v>
      </c>
      <c r="D9270" t="inlineStr">
        <is>
          <t>VÄRMLANDS LÄN</t>
        </is>
      </c>
      <c r="E9270" t="inlineStr">
        <is>
          <t>FORSHAGA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13184-2023</t>
        </is>
      </c>
      <c r="B9271" s="1" t="n">
        <v>45002</v>
      </c>
      <c r="C9271" s="1" t="n">
        <v>45736</v>
      </c>
      <c r="D9271" t="inlineStr">
        <is>
          <t>VÄRMLANDS LÄN</t>
        </is>
      </c>
      <c r="E9271" t="inlineStr">
        <is>
          <t>FORSHAGA</t>
        </is>
      </c>
      <c r="F9271" t="inlineStr">
        <is>
          <t>Bergvik skog väst AB</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13188-2023</t>
        </is>
      </c>
      <c r="B9272" s="1" t="n">
        <v>45002</v>
      </c>
      <c r="C9272" s="1" t="n">
        <v>45736</v>
      </c>
      <c r="D9272" t="inlineStr">
        <is>
          <t>VÄRMLANDS LÄN</t>
        </is>
      </c>
      <c r="E9272" t="inlineStr">
        <is>
          <t>ARVIKA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13192-2023</t>
        </is>
      </c>
      <c r="B9273" s="1" t="n">
        <v>45002</v>
      </c>
      <c r="C9273" s="1" t="n">
        <v>45736</v>
      </c>
      <c r="D9273" t="inlineStr">
        <is>
          <t>VÄRMLANDS LÄN</t>
        </is>
      </c>
      <c r="E9273" t="inlineStr">
        <is>
          <t>SUNNE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13196-2023</t>
        </is>
      </c>
      <c r="B9274" s="1" t="n">
        <v>45002</v>
      </c>
      <c r="C9274" s="1" t="n">
        <v>45736</v>
      </c>
      <c r="D9274" t="inlineStr">
        <is>
          <t>VÄRMLANDS LÄN</t>
        </is>
      </c>
      <c r="E9274" t="inlineStr">
        <is>
          <t>ÅRJÄNG</t>
        </is>
      </c>
      <c r="F9274" t="inlineStr">
        <is>
          <t>Kyrkan</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13198-2023</t>
        </is>
      </c>
      <c r="B9275" s="1" t="n">
        <v>45002</v>
      </c>
      <c r="C9275" s="1" t="n">
        <v>45736</v>
      </c>
      <c r="D9275" t="inlineStr">
        <is>
          <t>VÄRMLANDS LÄN</t>
        </is>
      </c>
      <c r="E9275" t="inlineStr">
        <is>
          <t>SUNNE</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13274-2023</t>
        </is>
      </c>
      <c r="B9276" s="1" t="n">
        <v>45003</v>
      </c>
      <c r="C9276" s="1" t="n">
        <v>45736</v>
      </c>
      <c r="D9276" t="inlineStr">
        <is>
          <t>VÄRMLANDS LÄN</t>
        </is>
      </c>
      <c r="E9276" t="inlineStr">
        <is>
          <t>STORFORS</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13294-2023</t>
        </is>
      </c>
      <c r="B9277" s="1" t="n">
        <v>45005</v>
      </c>
      <c r="C9277" s="1" t="n">
        <v>45736</v>
      </c>
      <c r="D9277" t="inlineStr">
        <is>
          <t>VÄRMLANDS LÄN</t>
        </is>
      </c>
      <c r="E9277" t="inlineStr">
        <is>
          <t>KRISTINEHAMN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13309-2023</t>
        </is>
      </c>
      <c r="B9278" s="1" t="n">
        <v>45005</v>
      </c>
      <c r="C9278" s="1" t="n">
        <v>45736</v>
      </c>
      <c r="D9278" t="inlineStr">
        <is>
          <t>VÄRMLANDS LÄN</t>
        </is>
      </c>
      <c r="E9278" t="inlineStr">
        <is>
          <t>SÄFFLE</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13300-2023</t>
        </is>
      </c>
      <c r="B9279" s="1" t="n">
        <v>45005</v>
      </c>
      <c r="C9279" s="1" t="n">
        <v>45736</v>
      </c>
      <c r="D9279" t="inlineStr">
        <is>
          <t>VÄRMLANDS LÄN</t>
        </is>
      </c>
      <c r="E9279" t="inlineStr">
        <is>
          <t>HAGFORS</t>
        </is>
      </c>
      <c r="F9279" t="inlineStr">
        <is>
          <t>Bergvik skog väst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13321-2023</t>
        </is>
      </c>
      <c r="B9280" s="1" t="n">
        <v>45005</v>
      </c>
      <c r="C9280" s="1" t="n">
        <v>45736</v>
      </c>
      <c r="D9280" t="inlineStr">
        <is>
          <t>VÄRMLANDS LÄN</t>
        </is>
      </c>
      <c r="E9280" t="inlineStr">
        <is>
          <t>SÄFFLE</t>
        </is>
      </c>
      <c r="F9280" t="inlineStr">
        <is>
          <t>Kommuner</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13326-2023</t>
        </is>
      </c>
      <c r="B9281" s="1" t="n">
        <v>45005</v>
      </c>
      <c r="C9281" s="1" t="n">
        <v>45736</v>
      </c>
      <c r="D9281" t="inlineStr">
        <is>
          <t>VÄRMLANDS LÄN</t>
        </is>
      </c>
      <c r="E9281" t="inlineStr">
        <is>
          <t>SUNNE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13341-2023</t>
        </is>
      </c>
      <c r="B9282" s="1" t="n">
        <v>45005</v>
      </c>
      <c r="C9282" s="1" t="n">
        <v>45736</v>
      </c>
      <c r="D9282" t="inlineStr">
        <is>
          <t>VÄRMLANDS LÄN</t>
        </is>
      </c>
      <c r="E9282" t="inlineStr">
        <is>
          <t>ARVIKA</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13325-2023</t>
        </is>
      </c>
      <c r="B9283" s="1" t="n">
        <v>45005</v>
      </c>
      <c r="C9283" s="1" t="n">
        <v>45736</v>
      </c>
      <c r="D9283" t="inlineStr">
        <is>
          <t>VÄRMLANDS LÄN</t>
        </is>
      </c>
      <c r="E9283" t="inlineStr">
        <is>
          <t>KARLSTAD</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13455-2023</t>
        </is>
      </c>
      <c r="B9284" s="1" t="n">
        <v>45005</v>
      </c>
      <c r="C9284" s="1" t="n">
        <v>45736</v>
      </c>
      <c r="D9284" t="inlineStr">
        <is>
          <t>VÄRMLANDS LÄN</t>
        </is>
      </c>
      <c r="E9284" t="inlineStr">
        <is>
          <t>ÅRJÄNG</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13791-2023</t>
        </is>
      </c>
      <c r="B9285" s="1" t="n">
        <v>45005</v>
      </c>
      <c r="C9285" s="1" t="n">
        <v>45736</v>
      </c>
      <c r="D9285" t="inlineStr">
        <is>
          <t>VÄRMLANDS LÄN</t>
        </is>
      </c>
      <c r="E9285" t="inlineStr">
        <is>
          <t>TORSBY</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13561-2023</t>
        </is>
      </c>
      <c r="B9286" s="1" t="n">
        <v>45006</v>
      </c>
      <c r="C9286" s="1" t="n">
        <v>45736</v>
      </c>
      <c r="D9286" t="inlineStr">
        <is>
          <t>VÄRMLANDS LÄN</t>
        </is>
      </c>
      <c r="E9286" t="inlineStr">
        <is>
          <t>TORSBY</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13587-2023</t>
        </is>
      </c>
      <c r="B9287" s="1" t="n">
        <v>45006</v>
      </c>
      <c r="C9287" s="1" t="n">
        <v>45736</v>
      </c>
      <c r="D9287" t="inlineStr">
        <is>
          <t>VÄRMLANDS LÄN</t>
        </is>
      </c>
      <c r="E9287" t="inlineStr">
        <is>
          <t>ÅRJÄNG</t>
        </is>
      </c>
      <c r="G9287" t="n">
        <v>7.9</v>
      </c>
      <c r="H9287" t="n">
        <v>0</v>
      </c>
      <c r="I9287" t="n">
        <v>0</v>
      </c>
      <c r="J9287" t="n">
        <v>0</v>
      </c>
      <c r="K9287" t="n">
        <v>0</v>
      </c>
      <c r="L9287" t="n">
        <v>0</v>
      </c>
      <c r="M9287" t="n">
        <v>0</v>
      </c>
      <c r="N9287" t="n">
        <v>0</v>
      </c>
      <c r="O9287" t="n">
        <v>0</v>
      </c>
      <c r="P9287" t="n">
        <v>0</v>
      </c>
      <c r="Q9287" t="n">
        <v>0</v>
      </c>
      <c r="R9287" s="2" t="inlineStr"/>
    </row>
    <row r="9288" ht="15" customHeight="1">
      <c r="A9288" t="inlineStr">
        <is>
          <t>A 13657-2023</t>
        </is>
      </c>
      <c r="B9288" s="1" t="n">
        <v>45006</v>
      </c>
      <c r="C9288" s="1" t="n">
        <v>45736</v>
      </c>
      <c r="D9288" t="inlineStr">
        <is>
          <t>VÄRMLANDS LÄN</t>
        </is>
      </c>
      <c r="E9288" t="inlineStr">
        <is>
          <t>HAGFORS</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13586-2023</t>
        </is>
      </c>
      <c r="B9289" s="1" t="n">
        <v>45006</v>
      </c>
      <c r="C9289" s="1" t="n">
        <v>45736</v>
      </c>
      <c r="D9289" t="inlineStr">
        <is>
          <t>VÄRMLANDS LÄN</t>
        </is>
      </c>
      <c r="E9289" t="inlineStr">
        <is>
          <t>TORSBY</t>
        </is>
      </c>
      <c r="F9289" t="inlineStr">
        <is>
          <t>Kommuner</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13620-2023</t>
        </is>
      </c>
      <c r="B9290" s="1" t="n">
        <v>45006</v>
      </c>
      <c r="C9290" s="1" t="n">
        <v>45736</v>
      </c>
      <c r="D9290" t="inlineStr">
        <is>
          <t>VÄRMLANDS LÄN</t>
        </is>
      </c>
      <c r="E9290" t="inlineStr">
        <is>
          <t>ÅRJÄNG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13650-2023</t>
        </is>
      </c>
      <c r="B9291" s="1" t="n">
        <v>45006</v>
      </c>
      <c r="C9291" s="1" t="n">
        <v>45736</v>
      </c>
      <c r="D9291" t="inlineStr">
        <is>
          <t>VÄRMLANDS LÄN</t>
        </is>
      </c>
      <c r="E9291" t="inlineStr">
        <is>
          <t>SÄFFLE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13538-2023</t>
        </is>
      </c>
      <c r="B9292" s="1" t="n">
        <v>45006</v>
      </c>
      <c r="C9292" s="1" t="n">
        <v>45736</v>
      </c>
      <c r="D9292" t="inlineStr">
        <is>
          <t>VÄRMLANDS LÄN</t>
        </is>
      </c>
      <c r="E9292" t="inlineStr">
        <is>
          <t>KRISTINEHAMN</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13542-2023</t>
        </is>
      </c>
      <c r="B9293" s="1" t="n">
        <v>45006</v>
      </c>
      <c r="C9293" s="1" t="n">
        <v>45736</v>
      </c>
      <c r="D9293" t="inlineStr">
        <is>
          <t>VÄRMLANDS LÄN</t>
        </is>
      </c>
      <c r="E9293" t="inlineStr">
        <is>
          <t>KRISTINEHAMN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13623-2023</t>
        </is>
      </c>
      <c r="B9294" s="1" t="n">
        <v>45006</v>
      </c>
      <c r="C9294" s="1" t="n">
        <v>45736</v>
      </c>
      <c r="D9294" t="inlineStr">
        <is>
          <t>VÄRMLANDS LÄN</t>
        </is>
      </c>
      <c r="E9294" t="inlineStr">
        <is>
          <t>FILIPSTAD</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13728-2023</t>
        </is>
      </c>
      <c r="B9295" s="1" t="n">
        <v>45007</v>
      </c>
      <c r="C9295" s="1" t="n">
        <v>45736</v>
      </c>
      <c r="D9295" t="inlineStr">
        <is>
          <t>VÄRMLANDS LÄN</t>
        </is>
      </c>
      <c r="E9295" t="inlineStr">
        <is>
          <t>SUNNE</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13759-2023</t>
        </is>
      </c>
      <c r="B9296" s="1" t="n">
        <v>45007</v>
      </c>
      <c r="C9296" s="1" t="n">
        <v>45736</v>
      </c>
      <c r="D9296" t="inlineStr">
        <is>
          <t>VÄRMLANDS LÄN</t>
        </is>
      </c>
      <c r="E9296" t="inlineStr">
        <is>
          <t>SUNNE</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13795-2023</t>
        </is>
      </c>
      <c r="B9297" s="1" t="n">
        <v>45007</v>
      </c>
      <c r="C9297" s="1" t="n">
        <v>45736</v>
      </c>
      <c r="D9297" t="inlineStr">
        <is>
          <t>VÄRMLANDS LÄN</t>
        </is>
      </c>
      <c r="E9297" t="inlineStr">
        <is>
          <t>STORFORS</t>
        </is>
      </c>
      <c r="F9297" t="inlineStr">
        <is>
          <t>Kyrkan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13753-2023</t>
        </is>
      </c>
      <c r="B9298" s="1" t="n">
        <v>45007</v>
      </c>
      <c r="C9298" s="1" t="n">
        <v>45736</v>
      </c>
      <c r="D9298" t="inlineStr">
        <is>
          <t>VÄRMLANDS LÄN</t>
        </is>
      </c>
      <c r="E9298" t="inlineStr">
        <is>
          <t>ARVIKA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13785-2023</t>
        </is>
      </c>
      <c r="B9299" s="1" t="n">
        <v>45007</v>
      </c>
      <c r="C9299" s="1" t="n">
        <v>45736</v>
      </c>
      <c r="D9299" t="inlineStr">
        <is>
          <t>VÄRMLANDS LÄN</t>
        </is>
      </c>
      <c r="E9299" t="inlineStr">
        <is>
          <t>TORSBY</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13723-2023</t>
        </is>
      </c>
      <c r="B9300" s="1" t="n">
        <v>45007</v>
      </c>
      <c r="C9300" s="1" t="n">
        <v>45736</v>
      </c>
      <c r="D9300" t="inlineStr">
        <is>
          <t>VÄRMLANDS LÄN</t>
        </is>
      </c>
      <c r="E9300" t="inlineStr">
        <is>
          <t>TORSBY</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13789-2023</t>
        </is>
      </c>
      <c r="B9301" s="1" t="n">
        <v>45007</v>
      </c>
      <c r="C9301" s="1" t="n">
        <v>45736</v>
      </c>
      <c r="D9301" t="inlineStr">
        <is>
          <t>VÄRMLANDS LÄN</t>
        </is>
      </c>
      <c r="E9301" t="inlineStr">
        <is>
          <t>SUNNE</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13809-2023</t>
        </is>
      </c>
      <c r="B9302" s="1" t="n">
        <v>45007</v>
      </c>
      <c r="C9302" s="1" t="n">
        <v>45736</v>
      </c>
      <c r="D9302" t="inlineStr">
        <is>
          <t>VÄRMLANDS LÄN</t>
        </is>
      </c>
      <c r="E9302" t="inlineStr">
        <is>
          <t>ARVIKA</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13813-2023</t>
        </is>
      </c>
      <c r="B9303" s="1" t="n">
        <v>45007</v>
      </c>
      <c r="C9303" s="1" t="n">
        <v>45736</v>
      </c>
      <c r="D9303" t="inlineStr">
        <is>
          <t>VÄRMLANDS LÄN</t>
        </is>
      </c>
      <c r="E9303" t="inlineStr">
        <is>
          <t>ARVIKA</t>
        </is>
      </c>
      <c r="G9303" t="n">
        <v>16.4</v>
      </c>
      <c r="H9303" t="n">
        <v>0</v>
      </c>
      <c r="I9303" t="n">
        <v>0</v>
      </c>
      <c r="J9303" t="n">
        <v>0</v>
      </c>
      <c r="K9303" t="n">
        <v>0</v>
      </c>
      <c r="L9303" t="n">
        <v>0</v>
      </c>
      <c r="M9303" t="n">
        <v>0</v>
      </c>
      <c r="N9303" t="n">
        <v>0</v>
      </c>
      <c r="O9303" t="n">
        <v>0</v>
      </c>
      <c r="P9303" t="n">
        <v>0</v>
      </c>
      <c r="Q9303" t="n">
        <v>0</v>
      </c>
      <c r="R9303" s="2" t="inlineStr"/>
    </row>
    <row r="9304" ht="15" customHeight="1">
      <c r="A9304" t="inlineStr">
        <is>
          <t>A 13859-2023</t>
        </is>
      </c>
      <c r="B9304" s="1" t="n">
        <v>45007</v>
      </c>
      <c r="C9304" s="1" t="n">
        <v>45736</v>
      </c>
      <c r="D9304" t="inlineStr">
        <is>
          <t>VÄRMLANDS LÄN</t>
        </is>
      </c>
      <c r="E9304" t="inlineStr">
        <is>
          <t>ÅRJÄNG</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13874-2023</t>
        </is>
      </c>
      <c r="B9305" s="1" t="n">
        <v>45007</v>
      </c>
      <c r="C9305" s="1" t="n">
        <v>45736</v>
      </c>
      <c r="D9305" t="inlineStr">
        <is>
          <t>VÄRMLANDS LÄN</t>
        </is>
      </c>
      <c r="E9305" t="inlineStr">
        <is>
          <t>STORFORS</t>
        </is>
      </c>
      <c r="F9305" t="inlineStr">
        <is>
          <t>Kyrkan</t>
        </is>
      </c>
      <c r="G9305" t="n">
        <v>12.3</v>
      </c>
      <c r="H9305" t="n">
        <v>0</v>
      </c>
      <c r="I9305" t="n">
        <v>0</v>
      </c>
      <c r="J9305" t="n">
        <v>0</v>
      </c>
      <c r="K9305" t="n">
        <v>0</v>
      </c>
      <c r="L9305" t="n">
        <v>0</v>
      </c>
      <c r="M9305" t="n">
        <v>0</v>
      </c>
      <c r="N9305" t="n">
        <v>0</v>
      </c>
      <c r="O9305" t="n">
        <v>0</v>
      </c>
      <c r="P9305" t="n">
        <v>0</v>
      </c>
      <c r="Q9305" t="n">
        <v>0</v>
      </c>
      <c r="R9305" s="2" t="inlineStr"/>
    </row>
    <row r="9306" ht="15" customHeight="1">
      <c r="A9306" t="inlineStr">
        <is>
          <t>A 13881-2023</t>
        </is>
      </c>
      <c r="B9306" s="1" t="n">
        <v>45007</v>
      </c>
      <c r="C9306" s="1" t="n">
        <v>45736</v>
      </c>
      <c r="D9306" t="inlineStr">
        <is>
          <t>VÄRMLANDS LÄN</t>
        </is>
      </c>
      <c r="E9306" t="inlineStr">
        <is>
          <t>GRUMS</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14006-2023</t>
        </is>
      </c>
      <c r="B9307" s="1" t="n">
        <v>45007</v>
      </c>
      <c r="C9307" s="1" t="n">
        <v>45736</v>
      </c>
      <c r="D9307" t="inlineStr">
        <is>
          <t>VÄRMLANDS LÄN</t>
        </is>
      </c>
      <c r="E9307" t="inlineStr">
        <is>
          <t>SUNNE</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13863-2023</t>
        </is>
      </c>
      <c r="B9308" s="1" t="n">
        <v>45007</v>
      </c>
      <c r="C9308" s="1" t="n">
        <v>45736</v>
      </c>
      <c r="D9308" t="inlineStr">
        <is>
          <t>VÄRMLANDS LÄN</t>
        </is>
      </c>
      <c r="E9308" t="inlineStr">
        <is>
          <t>KARLSTAD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13942-2023</t>
        </is>
      </c>
      <c r="B9309" s="1" t="n">
        <v>45007</v>
      </c>
      <c r="C9309" s="1" t="n">
        <v>45736</v>
      </c>
      <c r="D9309" t="inlineStr">
        <is>
          <t>VÄRMLANDS LÄN</t>
        </is>
      </c>
      <c r="E9309" t="inlineStr">
        <is>
          <t>ARVIKA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13956-2023</t>
        </is>
      </c>
      <c r="B9310" s="1" t="n">
        <v>45007</v>
      </c>
      <c r="C9310" s="1" t="n">
        <v>45736</v>
      </c>
      <c r="D9310" t="inlineStr">
        <is>
          <t>VÄRMLANDS LÄN</t>
        </is>
      </c>
      <c r="E9310" t="inlineStr">
        <is>
          <t>ARVIKA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13907-2023</t>
        </is>
      </c>
      <c r="B9311" s="1" t="n">
        <v>45008</v>
      </c>
      <c r="C9311" s="1" t="n">
        <v>45736</v>
      </c>
      <c r="D9311" t="inlineStr">
        <is>
          <t>VÄRMLANDS LÄN</t>
        </is>
      </c>
      <c r="E9311" t="inlineStr">
        <is>
          <t>EDA</t>
        </is>
      </c>
      <c r="F9311" t="inlineStr">
        <is>
          <t>Bergvik skog väst AB</t>
        </is>
      </c>
      <c r="G9311" t="n">
        <v>12.4</v>
      </c>
      <c r="H9311" t="n">
        <v>0</v>
      </c>
      <c r="I9311" t="n">
        <v>0</v>
      </c>
      <c r="J9311" t="n">
        <v>0</v>
      </c>
      <c r="K9311" t="n">
        <v>0</v>
      </c>
      <c r="L9311" t="n">
        <v>0</v>
      </c>
      <c r="M9311" t="n">
        <v>0</v>
      </c>
      <c r="N9311" t="n">
        <v>0</v>
      </c>
      <c r="O9311" t="n">
        <v>0</v>
      </c>
      <c r="P9311" t="n">
        <v>0</v>
      </c>
      <c r="Q9311" t="n">
        <v>0</v>
      </c>
      <c r="R9311" s="2" t="inlineStr"/>
    </row>
    <row r="9312" ht="15" customHeight="1">
      <c r="A9312" t="inlineStr">
        <is>
          <t>A 14130-2023</t>
        </is>
      </c>
      <c r="B9312" s="1" t="n">
        <v>45009</v>
      </c>
      <c r="C9312" s="1" t="n">
        <v>45736</v>
      </c>
      <c r="D9312" t="inlineStr">
        <is>
          <t>VÄRMLANDS LÄN</t>
        </is>
      </c>
      <c r="E9312" t="inlineStr">
        <is>
          <t>SÄFFLE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14111-2023</t>
        </is>
      </c>
      <c r="B9313" s="1" t="n">
        <v>45009</v>
      </c>
      <c r="C9313" s="1" t="n">
        <v>45736</v>
      </c>
      <c r="D9313" t="inlineStr">
        <is>
          <t>VÄRMLANDS LÄN</t>
        </is>
      </c>
      <c r="E9313" t="inlineStr">
        <is>
          <t>ARVIKA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14204-2023</t>
        </is>
      </c>
      <c r="B9314" s="1" t="n">
        <v>45009</v>
      </c>
      <c r="C9314" s="1" t="n">
        <v>45736</v>
      </c>
      <c r="D9314" t="inlineStr">
        <is>
          <t>VÄRMLANDS LÄN</t>
        </is>
      </c>
      <c r="E9314" t="inlineStr">
        <is>
          <t>FILIPSTAD</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14225-2023</t>
        </is>
      </c>
      <c r="B9315" s="1" t="n">
        <v>45009</v>
      </c>
      <c r="C9315" s="1" t="n">
        <v>45736</v>
      </c>
      <c r="D9315" t="inlineStr">
        <is>
          <t>VÄRMLANDS LÄN</t>
        </is>
      </c>
      <c r="E9315" t="inlineStr">
        <is>
          <t>ARVIKA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14252-2023</t>
        </is>
      </c>
      <c r="B9316" s="1" t="n">
        <v>45009</v>
      </c>
      <c r="C9316" s="1" t="n">
        <v>45736</v>
      </c>
      <c r="D9316" t="inlineStr">
        <is>
          <t>VÄRMLANDS LÄN</t>
        </is>
      </c>
      <c r="E9316" t="inlineStr">
        <is>
          <t>SUNNE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14293-2023</t>
        </is>
      </c>
      <c r="B9317" s="1" t="n">
        <v>45011</v>
      </c>
      <c r="C9317" s="1" t="n">
        <v>45736</v>
      </c>
      <c r="D9317" t="inlineStr">
        <is>
          <t>VÄRMLANDS LÄN</t>
        </is>
      </c>
      <c r="E9317" t="inlineStr">
        <is>
          <t>TORSBY</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14306-2023</t>
        </is>
      </c>
      <c r="B9318" s="1" t="n">
        <v>45011</v>
      </c>
      <c r="C9318" s="1" t="n">
        <v>45736</v>
      </c>
      <c r="D9318" t="inlineStr">
        <is>
          <t>VÄRMLANDS LÄN</t>
        </is>
      </c>
      <c r="E9318" t="inlineStr">
        <is>
          <t>GRUMS</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14304-2023</t>
        </is>
      </c>
      <c r="B9319" s="1" t="n">
        <v>45011</v>
      </c>
      <c r="C9319" s="1" t="n">
        <v>45736</v>
      </c>
      <c r="D9319" t="inlineStr">
        <is>
          <t>VÄRMLANDS LÄN</t>
        </is>
      </c>
      <c r="E9319" t="inlineStr">
        <is>
          <t>TORSBY</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14303-2023</t>
        </is>
      </c>
      <c r="B9320" s="1" t="n">
        <v>45011</v>
      </c>
      <c r="C9320" s="1" t="n">
        <v>45736</v>
      </c>
      <c r="D9320" t="inlineStr">
        <is>
          <t>VÄRMLANDS LÄN</t>
        </is>
      </c>
      <c r="E9320" t="inlineStr">
        <is>
          <t>TORSBY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14292-2023</t>
        </is>
      </c>
      <c r="B9321" s="1" t="n">
        <v>45011</v>
      </c>
      <c r="C9321" s="1" t="n">
        <v>45736</v>
      </c>
      <c r="D9321" t="inlineStr">
        <is>
          <t>VÄRMLANDS LÄN</t>
        </is>
      </c>
      <c r="E9321" t="inlineStr">
        <is>
          <t>TORSBY</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14406-2023</t>
        </is>
      </c>
      <c r="B9322" s="1" t="n">
        <v>45012</v>
      </c>
      <c r="C9322" s="1" t="n">
        <v>45736</v>
      </c>
      <c r="D9322" t="inlineStr">
        <is>
          <t>VÄRMLANDS LÄN</t>
        </is>
      </c>
      <c r="E9322" t="inlineStr">
        <is>
          <t>ÅRJÄNG</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14455-2023</t>
        </is>
      </c>
      <c r="B9323" s="1" t="n">
        <v>45012</v>
      </c>
      <c r="C9323" s="1" t="n">
        <v>45736</v>
      </c>
      <c r="D9323" t="inlineStr">
        <is>
          <t>VÄRMLANDS LÄN</t>
        </is>
      </c>
      <c r="E9323" t="inlineStr">
        <is>
          <t>ARVIKA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14459-2023</t>
        </is>
      </c>
      <c r="B9324" s="1" t="n">
        <v>45012</v>
      </c>
      <c r="C9324" s="1" t="n">
        <v>45736</v>
      </c>
      <c r="D9324" t="inlineStr">
        <is>
          <t>VÄRMLANDS LÄN</t>
        </is>
      </c>
      <c r="E9324" t="inlineStr">
        <is>
          <t>FILIPSTAD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14465-2023</t>
        </is>
      </c>
      <c r="B9325" s="1" t="n">
        <v>45012</v>
      </c>
      <c r="C9325" s="1" t="n">
        <v>45736</v>
      </c>
      <c r="D9325" t="inlineStr">
        <is>
          <t>VÄRMLANDS LÄN</t>
        </is>
      </c>
      <c r="E9325" t="inlineStr">
        <is>
          <t>SÄFFLE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14340-2023</t>
        </is>
      </c>
      <c r="B9326" s="1" t="n">
        <v>45012</v>
      </c>
      <c r="C9326" s="1" t="n">
        <v>45736</v>
      </c>
      <c r="D9326" t="inlineStr">
        <is>
          <t>VÄRMLANDS LÄN</t>
        </is>
      </c>
      <c r="E9326" t="inlineStr">
        <is>
          <t>ÅRJÄNG</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14320-2023</t>
        </is>
      </c>
      <c r="B9327" s="1" t="n">
        <v>45012</v>
      </c>
      <c r="C9327" s="1" t="n">
        <v>45736</v>
      </c>
      <c r="D9327" t="inlineStr">
        <is>
          <t>VÄRMLANDS LÄN</t>
        </is>
      </c>
      <c r="E9327" t="inlineStr">
        <is>
          <t>KARLSTAD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14378-2023</t>
        </is>
      </c>
      <c r="B9328" s="1" t="n">
        <v>45012</v>
      </c>
      <c r="C9328" s="1" t="n">
        <v>45736</v>
      </c>
      <c r="D9328" t="inlineStr">
        <is>
          <t>VÄRMLANDS LÄN</t>
        </is>
      </c>
      <c r="E9328" t="inlineStr">
        <is>
          <t>FORSHAGA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14382-2023</t>
        </is>
      </c>
      <c r="B9329" s="1" t="n">
        <v>45012</v>
      </c>
      <c r="C9329" s="1" t="n">
        <v>45736</v>
      </c>
      <c r="D9329" t="inlineStr">
        <is>
          <t>VÄRMLANDS LÄN</t>
        </is>
      </c>
      <c r="E9329" t="inlineStr">
        <is>
          <t>FORSHAGA</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14428-2023</t>
        </is>
      </c>
      <c r="B9330" s="1" t="n">
        <v>45012</v>
      </c>
      <c r="C9330" s="1" t="n">
        <v>45736</v>
      </c>
      <c r="D9330" t="inlineStr">
        <is>
          <t>VÄRMLANDS LÄN</t>
        </is>
      </c>
      <c r="E9330" t="inlineStr">
        <is>
          <t>SÄFFLE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14457-2023</t>
        </is>
      </c>
      <c r="B9331" s="1" t="n">
        <v>45012</v>
      </c>
      <c r="C9331" s="1" t="n">
        <v>45736</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14467-2023</t>
        </is>
      </c>
      <c r="B9332" s="1" t="n">
        <v>45012</v>
      </c>
      <c r="C9332" s="1" t="n">
        <v>45736</v>
      </c>
      <c r="D9332" t="inlineStr">
        <is>
          <t>VÄRMLANDS LÄN</t>
        </is>
      </c>
      <c r="E9332" t="inlineStr">
        <is>
          <t>ARVIKA</t>
        </is>
      </c>
      <c r="G9332" t="n">
        <v>7.4</v>
      </c>
      <c r="H9332" t="n">
        <v>0</v>
      </c>
      <c r="I9332" t="n">
        <v>0</v>
      </c>
      <c r="J9332" t="n">
        <v>0</v>
      </c>
      <c r="K9332" t="n">
        <v>0</v>
      </c>
      <c r="L9332" t="n">
        <v>0</v>
      </c>
      <c r="M9332" t="n">
        <v>0</v>
      </c>
      <c r="N9332" t="n">
        <v>0</v>
      </c>
      <c r="O9332" t="n">
        <v>0</v>
      </c>
      <c r="P9332" t="n">
        <v>0</v>
      </c>
      <c r="Q9332" t="n">
        <v>0</v>
      </c>
      <c r="R9332" s="2" t="inlineStr"/>
    </row>
    <row r="9333" ht="15" customHeight="1">
      <c r="A9333" t="inlineStr">
        <is>
          <t>A 14488-2023</t>
        </is>
      </c>
      <c r="B9333" s="1" t="n">
        <v>45012</v>
      </c>
      <c r="C9333" s="1" t="n">
        <v>45736</v>
      </c>
      <c r="D9333" t="inlineStr">
        <is>
          <t>VÄRMLANDS LÄN</t>
        </is>
      </c>
      <c r="E9333" t="inlineStr">
        <is>
          <t>ARVIKA</t>
        </is>
      </c>
      <c r="F9333" t="inlineStr">
        <is>
          <t>Bergvik skog väst AB</t>
        </is>
      </c>
      <c r="G9333" t="n">
        <v>13.5</v>
      </c>
      <c r="H9333" t="n">
        <v>0</v>
      </c>
      <c r="I9333" t="n">
        <v>0</v>
      </c>
      <c r="J9333" t="n">
        <v>0</v>
      </c>
      <c r="K9333" t="n">
        <v>0</v>
      </c>
      <c r="L9333" t="n">
        <v>0</v>
      </c>
      <c r="M9333" t="n">
        <v>0</v>
      </c>
      <c r="N9333" t="n">
        <v>0</v>
      </c>
      <c r="O9333" t="n">
        <v>0</v>
      </c>
      <c r="P9333" t="n">
        <v>0</v>
      </c>
      <c r="Q9333" t="n">
        <v>0</v>
      </c>
      <c r="R9333" s="2" t="inlineStr"/>
    </row>
    <row r="9334" ht="15" customHeight="1">
      <c r="A9334" t="inlineStr">
        <is>
          <t>A 14644-2023</t>
        </is>
      </c>
      <c r="B9334" s="1" t="n">
        <v>45012</v>
      </c>
      <c r="C9334" s="1" t="n">
        <v>45736</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14492-2023</t>
        </is>
      </c>
      <c r="B9335" s="1" t="n">
        <v>45012</v>
      </c>
      <c r="C9335" s="1" t="n">
        <v>45736</v>
      </c>
      <c r="D9335" t="inlineStr">
        <is>
          <t>VÄRMLANDS LÄN</t>
        </is>
      </c>
      <c r="E9335" t="inlineStr">
        <is>
          <t>SUNNE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14466-2023</t>
        </is>
      </c>
      <c r="B9336" s="1" t="n">
        <v>45012</v>
      </c>
      <c r="C9336" s="1" t="n">
        <v>45736</v>
      </c>
      <c r="D9336" t="inlineStr">
        <is>
          <t>VÄRMLANDS LÄN</t>
        </is>
      </c>
      <c r="E9336" t="inlineStr">
        <is>
          <t>ARVIKA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14643-2023</t>
        </is>
      </c>
      <c r="B9337" s="1" t="n">
        <v>45012</v>
      </c>
      <c r="C9337" s="1" t="n">
        <v>45736</v>
      </c>
      <c r="D9337" t="inlineStr">
        <is>
          <t>VÄRMLANDS LÄN</t>
        </is>
      </c>
      <c r="E9337" t="inlineStr">
        <is>
          <t>SÄFFLE</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14564-2023</t>
        </is>
      </c>
      <c r="B9338" s="1" t="n">
        <v>45013</v>
      </c>
      <c r="C9338" s="1" t="n">
        <v>45736</v>
      </c>
      <c r="D9338" t="inlineStr">
        <is>
          <t>VÄRMLANDS LÄN</t>
        </is>
      </c>
      <c r="E9338" t="inlineStr">
        <is>
          <t>SUNNE</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14592-2023</t>
        </is>
      </c>
      <c r="B9339" s="1" t="n">
        <v>45013</v>
      </c>
      <c r="C9339" s="1" t="n">
        <v>45736</v>
      </c>
      <c r="D9339" t="inlineStr">
        <is>
          <t>VÄRMLANDS LÄN</t>
        </is>
      </c>
      <c r="E9339" t="inlineStr">
        <is>
          <t>TORSBY</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14551-2023</t>
        </is>
      </c>
      <c r="B9340" s="1" t="n">
        <v>45013</v>
      </c>
      <c r="C9340" s="1" t="n">
        <v>45736</v>
      </c>
      <c r="D9340" t="inlineStr">
        <is>
          <t>VÄRMLANDS LÄN</t>
        </is>
      </c>
      <c r="E9340" t="inlineStr">
        <is>
          <t>ARVIKA</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14555-2023</t>
        </is>
      </c>
      <c r="B9341" s="1" t="n">
        <v>45013</v>
      </c>
      <c r="C9341" s="1" t="n">
        <v>45736</v>
      </c>
      <c r="D9341" t="inlineStr">
        <is>
          <t>VÄRMLANDS LÄN</t>
        </is>
      </c>
      <c r="E9341" t="inlineStr">
        <is>
          <t>ARVIKA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14580-2023</t>
        </is>
      </c>
      <c r="B9342" s="1" t="n">
        <v>45013</v>
      </c>
      <c r="C9342" s="1" t="n">
        <v>45736</v>
      </c>
      <c r="D9342" t="inlineStr">
        <is>
          <t>VÄRMLANDS LÄN</t>
        </is>
      </c>
      <c r="E9342" t="inlineStr">
        <is>
          <t>KARLSTAD</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14581-2023</t>
        </is>
      </c>
      <c r="B9343" s="1" t="n">
        <v>45013</v>
      </c>
      <c r="C9343" s="1" t="n">
        <v>45736</v>
      </c>
      <c r="D9343" t="inlineStr">
        <is>
          <t>VÄRMLANDS LÄN</t>
        </is>
      </c>
      <c r="E9343" t="inlineStr">
        <is>
          <t>TORSBY</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14589-2023</t>
        </is>
      </c>
      <c r="B9344" s="1" t="n">
        <v>45013</v>
      </c>
      <c r="C9344" s="1" t="n">
        <v>45736</v>
      </c>
      <c r="D9344" t="inlineStr">
        <is>
          <t>VÄRMLANDS LÄN</t>
        </is>
      </c>
      <c r="E9344" t="inlineStr">
        <is>
          <t>HAGFORS</t>
        </is>
      </c>
      <c r="F9344" t="inlineStr">
        <is>
          <t>Bergvik skog väst AB</t>
        </is>
      </c>
      <c r="G9344" t="n">
        <v>14.4</v>
      </c>
      <c r="H9344" t="n">
        <v>0</v>
      </c>
      <c r="I9344" t="n">
        <v>0</v>
      </c>
      <c r="J9344" t="n">
        <v>0</v>
      </c>
      <c r="K9344" t="n">
        <v>0</v>
      </c>
      <c r="L9344" t="n">
        <v>0</v>
      </c>
      <c r="M9344" t="n">
        <v>0</v>
      </c>
      <c r="N9344" t="n">
        <v>0</v>
      </c>
      <c r="O9344" t="n">
        <v>0</v>
      </c>
      <c r="P9344" t="n">
        <v>0</v>
      </c>
      <c r="Q9344" t="n">
        <v>0</v>
      </c>
      <c r="R9344" s="2" t="inlineStr"/>
    </row>
    <row r="9345" ht="15" customHeight="1">
      <c r="A9345" t="inlineStr">
        <is>
          <t>A 14607-2023</t>
        </is>
      </c>
      <c r="B9345" s="1" t="n">
        <v>45013</v>
      </c>
      <c r="C9345" s="1" t="n">
        <v>45736</v>
      </c>
      <c r="D9345" t="inlineStr">
        <is>
          <t>VÄRMLANDS LÄN</t>
        </is>
      </c>
      <c r="E9345" t="inlineStr">
        <is>
          <t>SÄFFLE</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14582-2023</t>
        </is>
      </c>
      <c r="B9346" s="1" t="n">
        <v>45013</v>
      </c>
      <c r="C9346" s="1" t="n">
        <v>45736</v>
      </c>
      <c r="D9346" t="inlineStr">
        <is>
          <t>VÄRMLANDS LÄN</t>
        </is>
      </c>
      <c r="E9346" t="inlineStr">
        <is>
          <t>KARLSTAD</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14608-2023</t>
        </is>
      </c>
      <c r="B9347" s="1" t="n">
        <v>45013</v>
      </c>
      <c r="C9347" s="1" t="n">
        <v>45736</v>
      </c>
      <c r="D9347" t="inlineStr">
        <is>
          <t>VÄRMLANDS LÄN</t>
        </is>
      </c>
      <c r="E9347" t="inlineStr">
        <is>
          <t>FILIPSTAD</t>
        </is>
      </c>
      <c r="F9347" t="inlineStr">
        <is>
          <t>Bergvik skog väst AB</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14735-2023</t>
        </is>
      </c>
      <c r="B9348" s="1" t="n">
        <v>45013</v>
      </c>
      <c r="C9348" s="1" t="n">
        <v>45736</v>
      </c>
      <c r="D9348" t="inlineStr">
        <is>
          <t>VÄRMLANDS LÄN</t>
        </is>
      </c>
      <c r="E9348" t="inlineStr">
        <is>
          <t>ARVIKA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14745-2023</t>
        </is>
      </c>
      <c r="B9349" s="1" t="n">
        <v>45013</v>
      </c>
      <c r="C9349" s="1" t="n">
        <v>45736</v>
      </c>
      <c r="D9349" t="inlineStr">
        <is>
          <t>VÄRMLANDS LÄN</t>
        </is>
      </c>
      <c r="E9349" t="inlineStr">
        <is>
          <t>ARVIKA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14624-2023</t>
        </is>
      </c>
      <c r="B9350" s="1" t="n">
        <v>45013</v>
      </c>
      <c r="C9350" s="1" t="n">
        <v>45736</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14726-2023</t>
        </is>
      </c>
      <c r="B9351" s="1" t="n">
        <v>45014</v>
      </c>
      <c r="C9351" s="1" t="n">
        <v>45736</v>
      </c>
      <c r="D9351" t="inlineStr">
        <is>
          <t>VÄRMLANDS LÄN</t>
        </is>
      </c>
      <c r="E9351" t="inlineStr">
        <is>
          <t>FILIPSTAD</t>
        </is>
      </c>
      <c r="F9351" t="inlineStr">
        <is>
          <t>Bergvik skog väst AB</t>
        </is>
      </c>
      <c r="G9351" t="n">
        <v>8.800000000000001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14741-2023</t>
        </is>
      </c>
      <c r="B9352" s="1" t="n">
        <v>45014</v>
      </c>
      <c r="C9352" s="1" t="n">
        <v>45736</v>
      </c>
      <c r="D9352" t="inlineStr">
        <is>
          <t>VÄRMLANDS LÄN</t>
        </is>
      </c>
      <c r="E9352" t="inlineStr">
        <is>
          <t>SUNNE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14709-2023</t>
        </is>
      </c>
      <c r="B9353" s="1" t="n">
        <v>45014</v>
      </c>
      <c r="C9353" s="1" t="n">
        <v>45736</v>
      </c>
      <c r="D9353" t="inlineStr">
        <is>
          <t>VÄRMLANDS LÄN</t>
        </is>
      </c>
      <c r="E9353" t="inlineStr">
        <is>
          <t>TORSBY</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14772-2023</t>
        </is>
      </c>
      <c r="B9354" s="1" t="n">
        <v>45014</v>
      </c>
      <c r="C9354" s="1" t="n">
        <v>45736</v>
      </c>
      <c r="D9354" t="inlineStr">
        <is>
          <t>VÄRMLANDS LÄN</t>
        </is>
      </c>
      <c r="E9354" t="inlineStr">
        <is>
          <t>ARVIKA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14740-2023</t>
        </is>
      </c>
      <c r="B9355" s="1" t="n">
        <v>45014</v>
      </c>
      <c r="C9355" s="1" t="n">
        <v>45736</v>
      </c>
      <c r="D9355" t="inlineStr">
        <is>
          <t>VÄRMLANDS LÄN</t>
        </is>
      </c>
      <c r="E9355" t="inlineStr">
        <is>
          <t>SUNNE</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14945-2023</t>
        </is>
      </c>
      <c r="B9356" s="1" t="n">
        <v>45014</v>
      </c>
      <c r="C9356" s="1" t="n">
        <v>45736</v>
      </c>
      <c r="D9356" t="inlineStr">
        <is>
          <t>VÄRMLANDS LÄN</t>
        </is>
      </c>
      <c r="E9356" t="inlineStr">
        <is>
          <t>TORSBY</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14840-2023</t>
        </is>
      </c>
      <c r="B9357" s="1" t="n">
        <v>45014</v>
      </c>
      <c r="C9357" s="1" t="n">
        <v>45736</v>
      </c>
      <c r="D9357" t="inlineStr">
        <is>
          <t>VÄRMLANDS LÄN</t>
        </is>
      </c>
      <c r="E9357" t="inlineStr">
        <is>
          <t>FILIPSTAD</t>
        </is>
      </c>
      <c r="F9357" t="inlineStr">
        <is>
          <t>Kyrkan</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14917-2023</t>
        </is>
      </c>
      <c r="B9358" s="1" t="n">
        <v>45015</v>
      </c>
      <c r="C9358" s="1" t="n">
        <v>45736</v>
      </c>
      <c r="D9358" t="inlineStr">
        <is>
          <t>VÄRMLANDS LÄN</t>
        </is>
      </c>
      <c r="E9358" t="inlineStr">
        <is>
          <t>TORSBY</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14923-2023</t>
        </is>
      </c>
      <c r="B9359" s="1" t="n">
        <v>45015</v>
      </c>
      <c r="C9359" s="1" t="n">
        <v>45736</v>
      </c>
      <c r="D9359" t="inlineStr">
        <is>
          <t>VÄRMLANDS LÄN</t>
        </is>
      </c>
      <c r="E9359" t="inlineStr">
        <is>
          <t>EDA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14951-2023</t>
        </is>
      </c>
      <c r="B9360" s="1" t="n">
        <v>45015</v>
      </c>
      <c r="C9360" s="1" t="n">
        <v>45736</v>
      </c>
      <c r="D9360" t="inlineStr">
        <is>
          <t>VÄRMLANDS LÄN</t>
        </is>
      </c>
      <c r="E9360" t="inlineStr">
        <is>
          <t>EDA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14920-2023</t>
        </is>
      </c>
      <c r="B9361" s="1" t="n">
        <v>45015</v>
      </c>
      <c r="C9361" s="1" t="n">
        <v>45736</v>
      </c>
      <c r="D9361" t="inlineStr">
        <is>
          <t>VÄRMLANDS LÄN</t>
        </is>
      </c>
      <c r="E9361" t="inlineStr">
        <is>
          <t>FILIPSTAD</t>
        </is>
      </c>
      <c r="F9361" t="inlineStr">
        <is>
          <t>Bergvik skog väst AB</t>
        </is>
      </c>
      <c r="G9361" t="n">
        <v>9.699999999999999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14966-2023</t>
        </is>
      </c>
      <c r="B9362" s="1" t="n">
        <v>45015</v>
      </c>
      <c r="C9362" s="1" t="n">
        <v>45736</v>
      </c>
      <c r="D9362" t="inlineStr">
        <is>
          <t>VÄRMLANDS LÄN</t>
        </is>
      </c>
      <c r="E9362" t="inlineStr">
        <is>
          <t>KARLSTAD</t>
        </is>
      </c>
      <c r="F9362" t="inlineStr">
        <is>
          <t>Bergvik skog väst AB</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14972-2023</t>
        </is>
      </c>
      <c r="B9363" s="1" t="n">
        <v>45015</v>
      </c>
      <c r="C9363" s="1" t="n">
        <v>45736</v>
      </c>
      <c r="D9363" t="inlineStr">
        <is>
          <t>VÄRMLANDS LÄN</t>
        </is>
      </c>
      <c r="E9363" t="inlineStr">
        <is>
          <t>EDA</t>
        </is>
      </c>
      <c r="G9363" t="n">
        <v>13.5</v>
      </c>
      <c r="H9363" t="n">
        <v>0</v>
      </c>
      <c r="I9363" t="n">
        <v>0</v>
      </c>
      <c r="J9363" t="n">
        <v>0</v>
      </c>
      <c r="K9363" t="n">
        <v>0</v>
      </c>
      <c r="L9363" t="n">
        <v>0</v>
      </c>
      <c r="M9363" t="n">
        <v>0</v>
      </c>
      <c r="N9363" t="n">
        <v>0</v>
      </c>
      <c r="O9363" t="n">
        <v>0</v>
      </c>
      <c r="P9363" t="n">
        <v>0</v>
      </c>
      <c r="Q9363" t="n">
        <v>0</v>
      </c>
      <c r="R9363" s="2" t="inlineStr"/>
    </row>
    <row r="9364" ht="15" customHeight="1">
      <c r="A9364" t="inlineStr">
        <is>
          <t>A 15003-2023</t>
        </is>
      </c>
      <c r="B9364" s="1" t="n">
        <v>45015</v>
      </c>
      <c r="C9364" s="1" t="n">
        <v>45736</v>
      </c>
      <c r="D9364" t="inlineStr">
        <is>
          <t>VÄRMLANDS LÄN</t>
        </is>
      </c>
      <c r="E9364" t="inlineStr">
        <is>
          <t>FILIPSTAD</t>
        </is>
      </c>
      <c r="F9364" t="inlineStr">
        <is>
          <t>Bergvik skog väst AB</t>
        </is>
      </c>
      <c r="G9364" t="n">
        <v>10.4</v>
      </c>
      <c r="H9364" t="n">
        <v>0</v>
      </c>
      <c r="I9364" t="n">
        <v>0</v>
      </c>
      <c r="J9364" t="n">
        <v>0</v>
      </c>
      <c r="K9364" t="n">
        <v>0</v>
      </c>
      <c r="L9364" t="n">
        <v>0</v>
      </c>
      <c r="M9364" t="n">
        <v>0</v>
      </c>
      <c r="N9364" t="n">
        <v>0</v>
      </c>
      <c r="O9364" t="n">
        <v>0</v>
      </c>
      <c r="P9364" t="n">
        <v>0</v>
      </c>
      <c r="Q9364" t="n">
        <v>0</v>
      </c>
      <c r="R9364" s="2" t="inlineStr"/>
    </row>
    <row r="9365" ht="15" customHeight="1">
      <c r="A9365" t="inlineStr">
        <is>
          <t>A 14958-2023</t>
        </is>
      </c>
      <c r="B9365" s="1" t="n">
        <v>45015</v>
      </c>
      <c r="C9365" s="1" t="n">
        <v>45736</v>
      </c>
      <c r="D9365" t="inlineStr">
        <is>
          <t>VÄRMLANDS LÄN</t>
        </is>
      </c>
      <c r="E9365" t="inlineStr">
        <is>
          <t>ÅRJÄNG</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15067-2023</t>
        </is>
      </c>
      <c r="B9366" s="1" t="n">
        <v>45015</v>
      </c>
      <c r="C9366" s="1" t="n">
        <v>45736</v>
      </c>
      <c r="D9366" t="inlineStr">
        <is>
          <t>VÄRMLANDS LÄN</t>
        </is>
      </c>
      <c r="E9366" t="inlineStr">
        <is>
          <t>SÄFFLE</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14891-2023</t>
        </is>
      </c>
      <c r="B9367" s="1" t="n">
        <v>45015</v>
      </c>
      <c r="C9367" s="1" t="n">
        <v>45736</v>
      </c>
      <c r="D9367" t="inlineStr">
        <is>
          <t>VÄRMLANDS LÄN</t>
        </is>
      </c>
      <c r="E9367" t="inlineStr">
        <is>
          <t>ARVIKA</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15085-2023</t>
        </is>
      </c>
      <c r="B9368" s="1" t="n">
        <v>45016</v>
      </c>
      <c r="C9368" s="1" t="n">
        <v>45736</v>
      </c>
      <c r="D9368" t="inlineStr">
        <is>
          <t>VÄRMLANDS LÄN</t>
        </is>
      </c>
      <c r="E9368" t="inlineStr">
        <is>
          <t>TORSBY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15087-2023</t>
        </is>
      </c>
      <c r="B9369" s="1" t="n">
        <v>45016</v>
      </c>
      <c r="C9369" s="1" t="n">
        <v>45736</v>
      </c>
      <c r="D9369" t="inlineStr">
        <is>
          <t>VÄRMLANDS LÄN</t>
        </is>
      </c>
      <c r="E9369" t="inlineStr">
        <is>
          <t>TORSBY</t>
        </is>
      </c>
      <c r="F9369" t="inlineStr">
        <is>
          <t>Bergvik skog väst AB</t>
        </is>
      </c>
      <c r="G9369" t="n">
        <v>11.4</v>
      </c>
      <c r="H9369" t="n">
        <v>0</v>
      </c>
      <c r="I9369" t="n">
        <v>0</v>
      </c>
      <c r="J9369" t="n">
        <v>0</v>
      </c>
      <c r="K9369" t="n">
        <v>0</v>
      </c>
      <c r="L9369" t="n">
        <v>0</v>
      </c>
      <c r="M9369" t="n">
        <v>0</v>
      </c>
      <c r="N9369" t="n">
        <v>0</v>
      </c>
      <c r="O9369" t="n">
        <v>0</v>
      </c>
      <c r="P9369" t="n">
        <v>0</v>
      </c>
      <c r="Q9369" t="n">
        <v>0</v>
      </c>
      <c r="R9369" s="2" t="inlineStr"/>
    </row>
    <row r="9370" ht="15" customHeight="1">
      <c r="A9370" t="inlineStr">
        <is>
          <t>A 15129-2023</t>
        </is>
      </c>
      <c r="B9370" s="1" t="n">
        <v>45016</v>
      </c>
      <c r="C9370" s="1" t="n">
        <v>45736</v>
      </c>
      <c r="D9370" t="inlineStr">
        <is>
          <t>VÄRMLANDS LÄN</t>
        </is>
      </c>
      <c r="E9370" t="inlineStr">
        <is>
          <t>HAGFORS</t>
        </is>
      </c>
      <c r="F9370" t="inlineStr">
        <is>
          <t>Bergvik skog väst AB</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15136-2023</t>
        </is>
      </c>
      <c r="B9371" s="1" t="n">
        <v>45016</v>
      </c>
      <c r="C9371" s="1" t="n">
        <v>45736</v>
      </c>
      <c r="D9371" t="inlineStr">
        <is>
          <t>VÄRMLANDS LÄN</t>
        </is>
      </c>
      <c r="E9371" t="inlineStr">
        <is>
          <t>FILIPSTAD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15144-2023</t>
        </is>
      </c>
      <c r="B9372" s="1" t="n">
        <v>45016</v>
      </c>
      <c r="C9372" s="1" t="n">
        <v>45736</v>
      </c>
      <c r="D9372" t="inlineStr">
        <is>
          <t>VÄRMLANDS LÄN</t>
        </is>
      </c>
      <c r="E9372" t="inlineStr">
        <is>
          <t>EDA</t>
        </is>
      </c>
      <c r="F9372" t="inlineStr">
        <is>
          <t>Övriga statliga verk och myndigheter</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15164-2023</t>
        </is>
      </c>
      <c r="B9373" s="1" t="n">
        <v>45016</v>
      </c>
      <c r="C9373" s="1" t="n">
        <v>45736</v>
      </c>
      <c r="D9373" t="inlineStr">
        <is>
          <t>VÄRMLANDS LÄN</t>
        </is>
      </c>
      <c r="E9373" t="inlineStr">
        <is>
          <t>ÅRJÄNG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15298-2023</t>
        </is>
      </c>
      <c r="B9374" s="1" t="n">
        <v>45019</v>
      </c>
      <c r="C9374" s="1" t="n">
        <v>45736</v>
      </c>
      <c r="D9374" t="inlineStr">
        <is>
          <t>VÄRMLANDS LÄN</t>
        </is>
      </c>
      <c r="E9374" t="inlineStr">
        <is>
          <t>SUNNE</t>
        </is>
      </c>
      <c r="F9374" t="inlineStr">
        <is>
          <t>Bergvik skog väst AB</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15342-2023</t>
        </is>
      </c>
      <c r="B9375" s="1" t="n">
        <v>45019</v>
      </c>
      <c r="C9375" s="1" t="n">
        <v>45736</v>
      </c>
      <c r="D9375" t="inlineStr">
        <is>
          <t>VÄRMLANDS LÄN</t>
        </is>
      </c>
      <c r="E9375" t="inlineStr">
        <is>
          <t>HAGFORS</t>
        </is>
      </c>
      <c r="F9375" t="inlineStr">
        <is>
          <t>Bergvik skog väst AB</t>
        </is>
      </c>
      <c r="G9375" t="n">
        <v>9.6</v>
      </c>
      <c r="H9375" t="n">
        <v>0</v>
      </c>
      <c r="I9375" t="n">
        <v>0</v>
      </c>
      <c r="J9375" t="n">
        <v>0</v>
      </c>
      <c r="K9375" t="n">
        <v>0</v>
      </c>
      <c r="L9375" t="n">
        <v>0</v>
      </c>
      <c r="M9375" t="n">
        <v>0</v>
      </c>
      <c r="N9375" t="n">
        <v>0</v>
      </c>
      <c r="O9375" t="n">
        <v>0</v>
      </c>
      <c r="P9375" t="n">
        <v>0</v>
      </c>
      <c r="Q9375" t="n">
        <v>0</v>
      </c>
      <c r="R9375" s="2" t="inlineStr"/>
    </row>
    <row r="9376" ht="15" customHeight="1">
      <c r="A9376" t="inlineStr">
        <is>
          <t>A 15383-2023</t>
        </is>
      </c>
      <c r="B9376" s="1" t="n">
        <v>45019</v>
      </c>
      <c r="C9376" s="1" t="n">
        <v>45736</v>
      </c>
      <c r="D9376" t="inlineStr">
        <is>
          <t>VÄRMLANDS LÄN</t>
        </is>
      </c>
      <c r="E9376" t="inlineStr">
        <is>
          <t>ÅRJÄNG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15372-2023</t>
        </is>
      </c>
      <c r="B9377" s="1" t="n">
        <v>45019</v>
      </c>
      <c r="C9377" s="1" t="n">
        <v>45736</v>
      </c>
      <c r="D9377" t="inlineStr">
        <is>
          <t>VÄRMLANDS LÄN</t>
        </is>
      </c>
      <c r="E9377" t="inlineStr">
        <is>
          <t>ÅRJÄNG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15278-2023</t>
        </is>
      </c>
      <c r="B9378" s="1" t="n">
        <v>45019</v>
      </c>
      <c r="C9378" s="1" t="n">
        <v>45736</v>
      </c>
      <c r="D9378" t="inlineStr">
        <is>
          <t>VÄRMLANDS LÄN</t>
        </is>
      </c>
      <c r="E9378" t="inlineStr">
        <is>
          <t>HAGFORS</t>
        </is>
      </c>
      <c r="F9378" t="inlineStr">
        <is>
          <t>Bergvik skog väst AB</t>
        </is>
      </c>
      <c r="G9378" t="n">
        <v>10.7</v>
      </c>
      <c r="H9378" t="n">
        <v>0</v>
      </c>
      <c r="I9378" t="n">
        <v>0</v>
      </c>
      <c r="J9378" t="n">
        <v>0</v>
      </c>
      <c r="K9378" t="n">
        <v>0</v>
      </c>
      <c r="L9378" t="n">
        <v>0</v>
      </c>
      <c r="M9378" t="n">
        <v>0</v>
      </c>
      <c r="N9378" t="n">
        <v>0</v>
      </c>
      <c r="O9378" t="n">
        <v>0</v>
      </c>
      <c r="P9378" t="n">
        <v>0</v>
      </c>
      <c r="Q9378" t="n">
        <v>0</v>
      </c>
      <c r="R9378" s="2" t="inlineStr"/>
    </row>
    <row r="9379" ht="15" customHeight="1">
      <c r="A9379" t="inlineStr">
        <is>
          <t>A 15370-2023</t>
        </is>
      </c>
      <c r="B9379" s="1" t="n">
        <v>45019</v>
      </c>
      <c r="C9379" s="1" t="n">
        <v>45736</v>
      </c>
      <c r="D9379" t="inlineStr">
        <is>
          <t>VÄRMLANDS LÄN</t>
        </is>
      </c>
      <c r="E9379" t="inlineStr">
        <is>
          <t>ÅRJÄNG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15413-2023</t>
        </is>
      </c>
      <c r="B9380" s="1" t="n">
        <v>45019</v>
      </c>
      <c r="C9380" s="1" t="n">
        <v>45736</v>
      </c>
      <c r="D9380" t="inlineStr">
        <is>
          <t>VÄRMLANDS LÄN</t>
        </is>
      </c>
      <c r="E9380" t="inlineStr">
        <is>
          <t>TORSBY</t>
        </is>
      </c>
      <c r="G9380" t="n">
        <v>17.1</v>
      </c>
      <c r="H9380" t="n">
        <v>0</v>
      </c>
      <c r="I9380" t="n">
        <v>0</v>
      </c>
      <c r="J9380" t="n">
        <v>0</v>
      </c>
      <c r="K9380" t="n">
        <v>0</v>
      </c>
      <c r="L9380" t="n">
        <v>0</v>
      </c>
      <c r="M9380" t="n">
        <v>0</v>
      </c>
      <c r="N9380" t="n">
        <v>0</v>
      </c>
      <c r="O9380" t="n">
        <v>0</v>
      </c>
      <c r="P9380" t="n">
        <v>0</v>
      </c>
      <c r="Q9380" t="n">
        <v>0</v>
      </c>
      <c r="R9380" s="2" t="inlineStr"/>
    </row>
    <row r="9381" ht="15" customHeight="1">
      <c r="A9381" t="inlineStr">
        <is>
          <t>A 15636-2023</t>
        </is>
      </c>
      <c r="B9381" s="1" t="n">
        <v>45019</v>
      </c>
      <c r="C9381" s="1" t="n">
        <v>45736</v>
      </c>
      <c r="D9381" t="inlineStr">
        <is>
          <t>VÄRMLANDS LÄN</t>
        </is>
      </c>
      <c r="E9381" t="inlineStr">
        <is>
          <t>KARLSTAD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15468-2023</t>
        </is>
      </c>
      <c r="B9382" s="1" t="n">
        <v>45020</v>
      </c>
      <c r="C9382" s="1" t="n">
        <v>45736</v>
      </c>
      <c r="D9382" t="inlineStr">
        <is>
          <t>VÄRMLANDS LÄN</t>
        </is>
      </c>
      <c r="E9382" t="inlineStr">
        <is>
          <t>ÅRJÄNG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15450-2023</t>
        </is>
      </c>
      <c r="B9383" s="1" t="n">
        <v>45020</v>
      </c>
      <c r="C9383" s="1" t="n">
        <v>45736</v>
      </c>
      <c r="D9383" t="inlineStr">
        <is>
          <t>VÄRMLANDS LÄN</t>
        </is>
      </c>
      <c r="E9383" t="inlineStr">
        <is>
          <t>TORSBY</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15491-2023</t>
        </is>
      </c>
      <c r="B9384" s="1" t="n">
        <v>45020</v>
      </c>
      <c r="C9384" s="1" t="n">
        <v>45736</v>
      </c>
      <c r="D9384" t="inlineStr">
        <is>
          <t>VÄRMLANDS LÄN</t>
        </is>
      </c>
      <c r="E9384" t="inlineStr">
        <is>
          <t>HAGFORS</t>
        </is>
      </c>
      <c r="F9384" t="inlineStr">
        <is>
          <t>Bergvik skog väst AB</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15439-2023</t>
        </is>
      </c>
      <c r="B9385" s="1" t="n">
        <v>45020</v>
      </c>
      <c r="C9385" s="1" t="n">
        <v>45736</v>
      </c>
      <c r="D9385" t="inlineStr">
        <is>
          <t>VÄRMLANDS LÄN</t>
        </is>
      </c>
      <c r="E9385" t="inlineStr">
        <is>
          <t>EDA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15471-2023</t>
        </is>
      </c>
      <c r="B9386" s="1" t="n">
        <v>45020</v>
      </c>
      <c r="C9386" s="1" t="n">
        <v>45736</v>
      </c>
      <c r="D9386" t="inlineStr">
        <is>
          <t>VÄRMLANDS LÄN</t>
        </is>
      </c>
      <c r="E9386" t="inlineStr">
        <is>
          <t>ÅRJÄNG</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15601-2023</t>
        </is>
      </c>
      <c r="B9387" s="1" t="n">
        <v>45020</v>
      </c>
      <c r="C9387" s="1" t="n">
        <v>45736</v>
      </c>
      <c r="D9387" t="inlineStr">
        <is>
          <t>VÄRMLANDS LÄN</t>
        </is>
      </c>
      <c r="E9387" t="inlineStr">
        <is>
          <t>ÅRJÄNG</t>
        </is>
      </c>
      <c r="G9387" t="n">
        <v>6.3</v>
      </c>
      <c r="H9387" t="n">
        <v>0</v>
      </c>
      <c r="I9387" t="n">
        <v>0</v>
      </c>
      <c r="J9387" t="n">
        <v>0</v>
      </c>
      <c r="K9387" t="n">
        <v>0</v>
      </c>
      <c r="L9387" t="n">
        <v>0</v>
      </c>
      <c r="M9387" t="n">
        <v>0</v>
      </c>
      <c r="N9387" t="n">
        <v>0</v>
      </c>
      <c r="O9387" t="n">
        <v>0</v>
      </c>
      <c r="P9387" t="n">
        <v>0</v>
      </c>
      <c r="Q9387" t="n">
        <v>0</v>
      </c>
      <c r="R9387" s="2" t="inlineStr"/>
    </row>
    <row r="9388" ht="15" customHeight="1">
      <c r="A9388" t="inlineStr">
        <is>
          <t>A 15488-2023</t>
        </is>
      </c>
      <c r="B9388" s="1" t="n">
        <v>45020</v>
      </c>
      <c r="C9388" s="1" t="n">
        <v>45736</v>
      </c>
      <c r="D9388" t="inlineStr">
        <is>
          <t>VÄRMLANDS LÄN</t>
        </is>
      </c>
      <c r="E9388" t="inlineStr">
        <is>
          <t>TORSBY</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15497-2023</t>
        </is>
      </c>
      <c r="B9389" s="1" t="n">
        <v>45020</v>
      </c>
      <c r="C9389" s="1" t="n">
        <v>45736</v>
      </c>
      <c r="D9389" t="inlineStr">
        <is>
          <t>VÄRMLANDS LÄN</t>
        </is>
      </c>
      <c r="E9389" t="inlineStr">
        <is>
          <t>ÅRJÄNG</t>
        </is>
      </c>
      <c r="G9389" t="n">
        <v>10</v>
      </c>
      <c r="H9389" t="n">
        <v>0</v>
      </c>
      <c r="I9389" t="n">
        <v>0</v>
      </c>
      <c r="J9389" t="n">
        <v>0</v>
      </c>
      <c r="K9389" t="n">
        <v>0</v>
      </c>
      <c r="L9389" t="n">
        <v>0</v>
      </c>
      <c r="M9389" t="n">
        <v>0</v>
      </c>
      <c r="N9389" t="n">
        <v>0</v>
      </c>
      <c r="O9389" t="n">
        <v>0</v>
      </c>
      <c r="P9389" t="n">
        <v>0</v>
      </c>
      <c r="Q9389" t="n">
        <v>0</v>
      </c>
      <c r="R9389" s="2" t="inlineStr"/>
    </row>
    <row r="9390" ht="15" customHeight="1">
      <c r="A9390" t="inlineStr">
        <is>
          <t>A 15513-2023</t>
        </is>
      </c>
      <c r="B9390" s="1" t="n">
        <v>45020</v>
      </c>
      <c r="C9390" s="1" t="n">
        <v>45736</v>
      </c>
      <c r="D9390" t="inlineStr">
        <is>
          <t>VÄRMLANDS LÄN</t>
        </is>
      </c>
      <c r="E9390" t="inlineStr">
        <is>
          <t>HAGFORS</t>
        </is>
      </c>
      <c r="F9390" t="inlineStr">
        <is>
          <t>Bergvik skog väst AB</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15563-2023</t>
        </is>
      </c>
      <c r="B9391" s="1" t="n">
        <v>45020</v>
      </c>
      <c r="C9391" s="1" t="n">
        <v>45736</v>
      </c>
      <c r="D9391" t="inlineStr">
        <is>
          <t>VÄRMLANDS LÄN</t>
        </is>
      </c>
      <c r="E9391" t="inlineStr">
        <is>
          <t>HAGFORS</t>
        </is>
      </c>
      <c r="F9391" t="inlineStr">
        <is>
          <t>Bergvik skog väst AB</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15586-2023</t>
        </is>
      </c>
      <c r="B9392" s="1" t="n">
        <v>45020</v>
      </c>
      <c r="C9392" s="1" t="n">
        <v>45736</v>
      </c>
      <c r="D9392" t="inlineStr">
        <is>
          <t>VÄRMLANDS LÄN</t>
        </is>
      </c>
      <c r="E9392" t="inlineStr">
        <is>
          <t>SUNNE</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15616-2023</t>
        </is>
      </c>
      <c r="B9393" s="1" t="n">
        <v>45020</v>
      </c>
      <c r="C9393" s="1" t="n">
        <v>45736</v>
      </c>
      <c r="D9393" t="inlineStr">
        <is>
          <t>VÄRMLANDS LÄN</t>
        </is>
      </c>
      <c r="E9393" t="inlineStr">
        <is>
          <t>ÅRJÄNG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15733-2023</t>
        </is>
      </c>
      <c r="B9394" s="1" t="n">
        <v>45020</v>
      </c>
      <c r="C9394" s="1" t="n">
        <v>45736</v>
      </c>
      <c r="D9394" t="inlineStr">
        <is>
          <t>VÄRMLANDS LÄN</t>
        </is>
      </c>
      <c r="E9394" t="inlineStr">
        <is>
          <t>KARLSTAD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15725-2023</t>
        </is>
      </c>
      <c r="B9395" s="1" t="n">
        <v>45020</v>
      </c>
      <c r="C9395" s="1" t="n">
        <v>45736</v>
      </c>
      <c r="D9395" t="inlineStr">
        <is>
          <t>VÄRMLANDS LÄN</t>
        </is>
      </c>
      <c r="E9395" t="inlineStr">
        <is>
          <t>KARLSTAD</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15635-2023</t>
        </is>
      </c>
      <c r="B9396" s="1" t="n">
        <v>45021</v>
      </c>
      <c r="C9396" s="1" t="n">
        <v>45736</v>
      </c>
      <c r="D9396" t="inlineStr">
        <is>
          <t>VÄRMLANDS LÄN</t>
        </is>
      </c>
      <c r="E9396" t="inlineStr">
        <is>
          <t>ÅRJÄNG</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15686-2023</t>
        </is>
      </c>
      <c r="B9397" s="1" t="n">
        <v>45021</v>
      </c>
      <c r="C9397" s="1" t="n">
        <v>45736</v>
      </c>
      <c r="D9397" t="inlineStr">
        <is>
          <t>VÄRMLANDS LÄN</t>
        </is>
      </c>
      <c r="E9397" t="inlineStr">
        <is>
          <t>ÅRJÄNG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15730-2023</t>
        </is>
      </c>
      <c r="B9398" s="1" t="n">
        <v>45021</v>
      </c>
      <c r="C9398" s="1" t="n">
        <v>45736</v>
      </c>
      <c r="D9398" t="inlineStr">
        <is>
          <t>VÄRMLANDS LÄN</t>
        </is>
      </c>
      <c r="E9398" t="inlineStr">
        <is>
          <t>ÅRJÄNG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15641-2023</t>
        </is>
      </c>
      <c r="B9399" s="1" t="n">
        <v>45021</v>
      </c>
      <c r="C9399" s="1" t="n">
        <v>45736</v>
      </c>
      <c r="D9399" t="inlineStr">
        <is>
          <t>VÄRMLANDS LÄN</t>
        </is>
      </c>
      <c r="E9399" t="inlineStr">
        <is>
          <t>EDA</t>
        </is>
      </c>
      <c r="F9399" t="inlineStr">
        <is>
          <t>Övriga statliga verk och myndigheter</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15714-2023</t>
        </is>
      </c>
      <c r="B9400" s="1" t="n">
        <v>45021</v>
      </c>
      <c r="C9400" s="1" t="n">
        <v>45736</v>
      </c>
      <c r="D9400" t="inlineStr">
        <is>
          <t>VÄRMLANDS LÄN</t>
        </is>
      </c>
      <c r="E9400" t="inlineStr">
        <is>
          <t>ÅRJÄNG</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15755-2023</t>
        </is>
      </c>
      <c r="B9401" s="1" t="n">
        <v>45021</v>
      </c>
      <c r="C9401" s="1" t="n">
        <v>45736</v>
      </c>
      <c r="D9401" t="inlineStr">
        <is>
          <t>VÄRMLANDS LÄN</t>
        </is>
      </c>
      <c r="E9401" t="inlineStr">
        <is>
          <t>SUNNE</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15778-2023</t>
        </is>
      </c>
      <c r="B9402" s="1" t="n">
        <v>45021</v>
      </c>
      <c r="C9402" s="1" t="n">
        <v>45736</v>
      </c>
      <c r="D9402" t="inlineStr">
        <is>
          <t>VÄRMLANDS LÄN</t>
        </is>
      </c>
      <c r="E9402" t="inlineStr">
        <is>
          <t>EDA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15760-2023</t>
        </is>
      </c>
      <c r="B9403" s="1" t="n">
        <v>45021</v>
      </c>
      <c r="C9403" s="1" t="n">
        <v>45736</v>
      </c>
      <c r="D9403" t="inlineStr">
        <is>
          <t>VÄRMLANDS LÄN</t>
        </is>
      </c>
      <c r="E9403" t="inlineStr">
        <is>
          <t>EDA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15773-2023</t>
        </is>
      </c>
      <c r="B9404" s="1" t="n">
        <v>45021</v>
      </c>
      <c r="C9404" s="1" t="n">
        <v>45736</v>
      </c>
      <c r="D9404" t="inlineStr">
        <is>
          <t>VÄRMLANDS LÄN</t>
        </is>
      </c>
      <c r="E9404" t="inlineStr">
        <is>
          <t>TORSBY</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15780-2023</t>
        </is>
      </c>
      <c r="B9405" s="1" t="n">
        <v>45021</v>
      </c>
      <c r="C9405" s="1" t="n">
        <v>45736</v>
      </c>
      <c r="D9405" t="inlineStr">
        <is>
          <t>VÄRMLANDS LÄN</t>
        </is>
      </c>
      <c r="E9405" t="inlineStr">
        <is>
          <t>SÄFFLE</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15791-2023</t>
        </is>
      </c>
      <c r="B9406" s="1" t="n">
        <v>45021</v>
      </c>
      <c r="C9406" s="1" t="n">
        <v>45736</v>
      </c>
      <c r="D9406" t="inlineStr">
        <is>
          <t>VÄRMLANDS LÄN</t>
        </is>
      </c>
      <c r="E9406" t="inlineStr">
        <is>
          <t>STORFORS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16093-2023</t>
        </is>
      </c>
      <c r="B9407" s="1" t="n">
        <v>45021</v>
      </c>
      <c r="C9407" s="1" t="n">
        <v>45736</v>
      </c>
      <c r="D9407" t="inlineStr">
        <is>
          <t>VÄRMLANDS LÄN</t>
        </is>
      </c>
      <c r="E9407" t="inlineStr">
        <is>
          <t>TORSBY</t>
        </is>
      </c>
      <c r="F9407" t="inlineStr">
        <is>
          <t>Övriga statliga verk och myndigheter</t>
        </is>
      </c>
      <c r="G9407" t="n">
        <v>11.5</v>
      </c>
      <c r="H9407" t="n">
        <v>0</v>
      </c>
      <c r="I9407" t="n">
        <v>0</v>
      </c>
      <c r="J9407" t="n">
        <v>0</v>
      </c>
      <c r="K9407" t="n">
        <v>0</v>
      </c>
      <c r="L9407" t="n">
        <v>0</v>
      </c>
      <c r="M9407" t="n">
        <v>0</v>
      </c>
      <c r="N9407" t="n">
        <v>0</v>
      </c>
      <c r="O9407" t="n">
        <v>0</v>
      </c>
      <c r="P9407" t="n">
        <v>0</v>
      </c>
      <c r="Q9407" t="n">
        <v>0</v>
      </c>
      <c r="R9407" s="2" t="inlineStr"/>
    </row>
    <row r="9408" ht="15" customHeight="1">
      <c r="A9408" t="inlineStr">
        <is>
          <t>A 15718-2023</t>
        </is>
      </c>
      <c r="B9408" s="1" t="n">
        <v>45021</v>
      </c>
      <c r="C9408" s="1" t="n">
        <v>45736</v>
      </c>
      <c r="D9408" t="inlineStr">
        <is>
          <t>VÄRMLANDS LÄN</t>
        </is>
      </c>
      <c r="E9408" t="inlineStr">
        <is>
          <t>ÅRJÄNG</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15762-2023</t>
        </is>
      </c>
      <c r="B9409" s="1" t="n">
        <v>45021</v>
      </c>
      <c r="C9409" s="1" t="n">
        <v>45736</v>
      </c>
      <c r="D9409" t="inlineStr">
        <is>
          <t>VÄRMLANDS LÄN</t>
        </is>
      </c>
      <c r="E9409" t="inlineStr">
        <is>
          <t>EDA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15917-2023</t>
        </is>
      </c>
      <c r="B9410" s="1" t="n">
        <v>45022</v>
      </c>
      <c r="C9410" s="1" t="n">
        <v>45736</v>
      </c>
      <c r="D9410" t="inlineStr">
        <is>
          <t>VÄRMLANDS LÄN</t>
        </is>
      </c>
      <c r="E9410" t="inlineStr">
        <is>
          <t>ARVIKA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15860-2023</t>
        </is>
      </c>
      <c r="B9411" s="1" t="n">
        <v>45022</v>
      </c>
      <c r="C9411" s="1" t="n">
        <v>45736</v>
      </c>
      <c r="D9411" t="inlineStr">
        <is>
          <t>VÄRMLANDS LÄN</t>
        </is>
      </c>
      <c r="E9411" t="inlineStr">
        <is>
          <t>KRISTINEHAMN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15844-2023</t>
        </is>
      </c>
      <c r="B9412" s="1" t="n">
        <v>45022</v>
      </c>
      <c r="C9412" s="1" t="n">
        <v>45736</v>
      </c>
      <c r="D9412" t="inlineStr">
        <is>
          <t>VÄRMLANDS LÄN</t>
        </is>
      </c>
      <c r="E9412" t="inlineStr">
        <is>
          <t>ARVIKA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16121-2023</t>
        </is>
      </c>
      <c r="B9413" s="1" t="n">
        <v>45022</v>
      </c>
      <c r="C9413" s="1" t="n">
        <v>45736</v>
      </c>
      <c r="D9413" t="inlineStr">
        <is>
          <t>VÄRMLANDS LÄN</t>
        </is>
      </c>
      <c r="E9413" t="inlineStr">
        <is>
          <t>TORSBY</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15963-2023</t>
        </is>
      </c>
      <c r="B9414" s="1" t="n">
        <v>45022</v>
      </c>
      <c r="C9414" s="1" t="n">
        <v>45736</v>
      </c>
      <c r="D9414" t="inlineStr">
        <is>
          <t>VÄRMLANDS LÄN</t>
        </is>
      </c>
      <c r="E9414" t="inlineStr">
        <is>
          <t>EDA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16416-2023</t>
        </is>
      </c>
      <c r="B9415" s="1" t="n">
        <v>45022</v>
      </c>
      <c r="C9415" s="1" t="n">
        <v>45736</v>
      </c>
      <c r="D9415" t="inlineStr">
        <is>
          <t>VÄRMLANDS LÄN</t>
        </is>
      </c>
      <c r="E9415" t="inlineStr">
        <is>
          <t>TORSBY</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16433-2023</t>
        </is>
      </c>
      <c r="B9416" s="1" t="n">
        <v>45022</v>
      </c>
      <c r="C9416" s="1" t="n">
        <v>45736</v>
      </c>
      <c r="D9416" t="inlineStr">
        <is>
          <t>VÄRMLANDS LÄN</t>
        </is>
      </c>
      <c r="E9416" t="inlineStr">
        <is>
          <t>TORSBY</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16427-2023</t>
        </is>
      </c>
      <c r="B9417" s="1" t="n">
        <v>45022</v>
      </c>
      <c r="C9417" s="1" t="n">
        <v>45736</v>
      </c>
      <c r="D9417" t="inlineStr">
        <is>
          <t>VÄRMLANDS LÄN</t>
        </is>
      </c>
      <c r="E9417" t="inlineStr">
        <is>
          <t>TORSBY</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15989-2023</t>
        </is>
      </c>
      <c r="B9418" s="1" t="n">
        <v>45023</v>
      </c>
      <c r="C9418" s="1" t="n">
        <v>45736</v>
      </c>
      <c r="D9418" t="inlineStr">
        <is>
          <t>VÄRMLANDS LÄN</t>
        </is>
      </c>
      <c r="E9418" t="inlineStr">
        <is>
          <t>FILIPSTAD</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15992-2023</t>
        </is>
      </c>
      <c r="B9419" s="1" t="n">
        <v>45023</v>
      </c>
      <c r="C9419" s="1" t="n">
        <v>45736</v>
      </c>
      <c r="D9419" t="inlineStr">
        <is>
          <t>VÄRMLANDS LÄN</t>
        </is>
      </c>
      <c r="E9419" t="inlineStr">
        <is>
          <t>TORSBY</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16450-2023</t>
        </is>
      </c>
      <c r="B9420" s="1" t="n">
        <v>45025</v>
      </c>
      <c r="C9420" s="1" t="n">
        <v>45736</v>
      </c>
      <c r="D9420" t="inlineStr">
        <is>
          <t>VÄRMLANDS LÄN</t>
        </is>
      </c>
      <c r="E9420" t="inlineStr">
        <is>
          <t>SÄFFLE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16015-2023</t>
        </is>
      </c>
      <c r="B9421" s="1" t="n">
        <v>45026</v>
      </c>
      <c r="C9421" s="1" t="n">
        <v>45736</v>
      </c>
      <c r="D9421" t="inlineStr">
        <is>
          <t>VÄRMLANDS LÄN</t>
        </is>
      </c>
      <c r="E9421" t="inlineStr">
        <is>
          <t>SUNNE</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16014-2023</t>
        </is>
      </c>
      <c r="B9422" s="1" t="n">
        <v>45026</v>
      </c>
      <c r="C9422" s="1" t="n">
        <v>45736</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16044-2023</t>
        </is>
      </c>
      <c r="B9423" s="1" t="n">
        <v>45027</v>
      </c>
      <c r="C9423" s="1" t="n">
        <v>45736</v>
      </c>
      <c r="D9423" t="inlineStr">
        <is>
          <t>VÄRMLANDS LÄN</t>
        </is>
      </c>
      <c r="E9423" t="inlineStr">
        <is>
          <t>TORSBY</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16090-2023</t>
        </is>
      </c>
      <c r="B9424" s="1" t="n">
        <v>45027</v>
      </c>
      <c r="C9424" s="1" t="n">
        <v>45736</v>
      </c>
      <c r="D9424" t="inlineStr">
        <is>
          <t>VÄRMLANDS LÄN</t>
        </is>
      </c>
      <c r="E9424" t="inlineStr">
        <is>
          <t>ÅRJÄNG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16157-2023</t>
        </is>
      </c>
      <c r="B9425" s="1" t="n">
        <v>45027</v>
      </c>
      <c r="C9425" s="1" t="n">
        <v>45736</v>
      </c>
      <c r="D9425" t="inlineStr">
        <is>
          <t>VÄRMLANDS LÄN</t>
        </is>
      </c>
      <c r="E9425" t="inlineStr">
        <is>
          <t>ARVIKA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16312-2023</t>
        </is>
      </c>
      <c r="B9426" s="1" t="n">
        <v>45028</v>
      </c>
      <c r="C9426" s="1" t="n">
        <v>45736</v>
      </c>
      <c r="D9426" t="inlineStr">
        <is>
          <t>VÄRMLANDS LÄN</t>
        </is>
      </c>
      <c r="E9426" t="inlineStr">
        <is>
          <t>KARLSTAD</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16329-2023</t>
        </is>
      </c>
      <c r="B9427" s="1" t="n">
        <v>45028</v>
      </c>
      <c r="C9427" s="1" t="n">
        <v>45736</v>
      </c>
      <c r="D9427" t="inlineStr">
        <is>
          <t>VÄRMLANDS LÄN</t>
        </is>
      </c>
      <c r="E9427" t="inlineStr">
        <is>
          <t>SUNNE</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16350-2023</t>
        </is>
      </c>
      <c r="B9428" s="1" t="n">
        <v>45028</v>
      </c>
      <c r="C9428" s="1" t="n">
        <v>45736</v>
      </c>
      <c r="D9428" t="inlineStr">
        <is>
          <t>VÄRMLANDS LÄN</t>
        </is>
      </c>
      <c r="E9428" t="inlineStr">
        <is>
          <t>HAGFORS</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16316-2023</t>
        </is>
      </c>
      <c r="B9429" s="1" t="n">
        <v>45028</v>
      </c>
      <c r="C9429" s="1" t="n">
        <v>45736</v>
      </c>
      <c r="D9429" t="inlineStr">
        <is>
          <t>VÄRMLANDS LÄN</t>
        </is>
      </c>
      <c r="E9429" t="inlineStr">
        <is>
          <t>SUNNE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16335-2023</t>
        </is>
      </c>
      <c r="B9430" s="1" t="n">
        <v>45028</v>
      </c>
      <c r="C9430" s="1" t="n">
        <v>45736</v>
      </c>
      <c r="D9430" t="inlineStr">
        <is>
          <t>VÄRMLANDS LÄN</t>
        </is>
      </c>
      <c r="E9430" t="inlineStr">
        <is>
          <t>FILIPSTAD</t>
        </is>
      </c>
      <c r="F9430" t="inlineStr">
        <is>
          <t>Bergvik skog väst AB</t>
        </is>
      </c>
      <c r="G9430" t="n">
        <v>15.1</v>
      </c>
      <c r="H9430" t="n">
        <v>0</v>
      </c>
      <c r="I9430" t="n">
        <v>0</v>
      </c>
      <c r="J9430" t="n">
        <v>0</v>
      </c>
      <c r="K9430" t="n">
        <v>0</v>
      </c>
      <c r="L9430" t="n">
        <v>0</v>
      </c>
      <c r="M9430" t="n">
        <v>0</v>
      </c>
      <c r="N9430" t="n">
        <v>0</v>
      </c>
      <c r="O9430" t="n">
        <v>0</v>
      </c>
      <c r="P9430" t="n">
        <v>0</v>
      </c>
      <c r="Q9430" t="n">
        <v>0</v>
      </c>
      <c r="R9430" s="2" t="inlineStr"/>
    </row>
    <row r="9431" ht="15" customHeight="1">
      <c r="A9431" t="inlineStr">
        <is>
          <t>A 16309-2023</t>
        </is>
      </c>
      <c r="B9431" s="1" t="n">
        <v>45028</v>
      </c>
      <c r="C9431" s="1" t="n">
        <v>45736</v>
      </c>
      <c r="D9431" t="inlineStr">
        <is>
          <t>VÄRMLANDS LÄN</t>
        </is>
      </c>
      <c r="E9431" t="inlineStr">
        <is>
          <t>TORSBY</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16313-2023</t>
        </is>
      </c>
      <c r="B9432" s="1" t="n">
        <v>45028</v>
      </c>
      <c r="C9432" s="1" t="n">
        <v>45736</v>
      </c>
      <c r="D9432" t="inlineStr">
        <is>
          <t>VÄRMLANDS LÄN</t>
        </is>
      </c>
      <c r="E9432" t="inlineStr">
        <is>
          <t>TORSBY</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16319-2023</t>
        </is>
      </c>
      <c r="B9433" s="1" t="n">
        <v>45028</v>
      </c>
      <c r="C9433" s="1" t="n">
        <v>45736</v>
      </c>
      <c r="D9433" t="inlineStr">
        <is>
          <t>VÄRMLANDS LÄN</t>
        </is>
      </c>
      <c r="E9433" t="inlineStr">
        <is>
          <t>HAGFORS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16317-2023</t>
        </is>
      </c>
      <c r="B9434" s="1" t="n">
        <v>45028</v>
      </c>
      <c r="C9434" s="1" t="n">
        <v>45736</v>
      </c>
      <c r="D9434" t="inlineStr">
        <is>
          <t>VÄRMLANDS LÄN</t>
        </is>
      </c>
      <c r="E9434" t="inlineStr">
        <is>
          <t>TORSBY</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16328-2023</t>
        </is>
      </c>
      <c r="B9435" s="1" t="n">
        <v>45028</v>
      </c>
      <c r="C9435" s="1" t="n">
        <v>45736</v>
      </c>
      <c r="D9435" t="inlineStr">
        <is>
          <t>VÄRMLANDS LÄN</t>
        </is>
      </c>
      <c r="E9435" t="inlineStr">
        <is>
          <t>EDA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16341-2023</t>
        </is>
      </c>
      <c r="B9436" s="1" t="n">
        <v>45028</v>
      </c>
      <c r="C9436" s="1" t="n">
        <v>45736</v>
      </c>
      <c r="D9436" t="inlineStr">
        <is>
          <t>VÄRMLANDS LÄN</t>
        </is>
      </c>
      <c r="E9436" t="inlineStr">
        <is>
          <t>ARVIKA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16358-2023</t>
        </is>
      </c>
      <c r="B9437" s="1" t="n">
        <v>45028</v>
      </c>
      <c r="C9437" s="1" t="n">
        <v>45736</v>
      </c>
      <c r="D9437" t="inlineStr">
        <is>
          <t>VÄRMLANDS LÄN</t>
        </is>
      </c>
      <c r="E9437" t="inlineStr">
        <is>
          <t>SUNNE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16451-2023</t>
        </is>
      </c>
      <c r="B9438" s="1" t="n">
        <v>45029</v>
      </c>
      <c r="C9438" s="1" t="n">
        <v>45736</v>
      </c>
      <c r="D9438" t="inlineStr">
        <is>
          <t>VÄRMLANDS LÄN</t>
        </is>
      </c>
      <c r="E9438" t="inlineStr">
        <is>
          <t>KIL</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16462-2023</t>
        </is>
      </c>
      <c r="B9439" s="1" t="n">
        <v>45029</v>
      </c>
      <c r="C9439" s="1" t="n">
        <v>45736</v>
      </c>
      <c r="D9439" t="inlineStr">
        <is>
          <t>VÄRMLANDS LÄN</t>
        </is>
      </c>
      <c r="E9439" t="inlineStr">
        <is>
          <t>SÄFFLE</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16397-2023</t>
        </is>
      </c>
      <c r="B9440" s="1" t="n">
        <v>45029</v>
      </c>
      <c r="C9440" s="1" t="n">
        <v>45736</v>
      </c>
      <c r="D9440" t="inlineStr">
        <is>
          <t>VÄRMLANDS LÄN</t>
        </is>
      </c>
      <c r="E9440" t="inlineStr">
        <is>
          <t>ARVIKA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16458-2023</t>
        </is>
      </c>
      <c r="B9441" s="1" t="n">
        <v>45029</v>
      </c>
      <c r="C9441" s="1" t="n">
        <v>45736</v>
      </c>
      <c r="D9441" t="inlineStr">
        <is>
          <t>VÄRMLANDS LÄN</t>
        </is>
      </c>
      <c r="E9441" t="inlineStr">
        <is>
          <t>EDA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16479-2023</t>
        </is>
      </c>
      <c r="B9442" s="1" t="n">
        <v>45029</v>
      </c>
      <c r="C9442" s="1" t="n">
        <v>45736</v>
      </c>
      <c r="D9442" t="inlineStr">
        <is>
          <t>VÄRMLANDS LÄN</t>
        </is>
      </c>
      <c r="E9442" t="inlineStr">
        <is>
          <t>FILIPSTAD</t>
        </is>
      </c>
      <c r="F9442" t="inlineStr">
        <is>
          <t>Bergvik skog väst AB</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16496-2023</t>
        </is>
      </c>
      <c r="B9443" s="1" t="n">
        <v>45029</v>
      </c>
      <c r="C9443" s="1" t="n">
        <v>45736</v>
      </c>
      <c r="D9443" t="inlineStr">
        <is>
          <t>VÄRMLANDS LÄN</t>
        </is>
      </c>
      <c r="E9443" t="inlineStr">
        <is>
          <t>ARVIKA</t>
        </is>
      </c>
      <c r="F9443" t="inlineStr">
        <is>
          <t>Bergvik skog väst AB</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16455-2023</t>
        </is>
      </c>
      <c r="B9444" s="1" t="n">
        <v>45029</v>
      </c>
      <c r="C9444" s="1" t="n">
        <v>45736</v>
      </c>
      <c r="D9444" t="inlineStr">
        <is>
          <t>VÄRMLANDS LÄN</t>
        </is>
      </c>
      <c r="E9444" t="inlineStr">
        <is>
          <t>ARVIKA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16461-2023</t>
        </is>
      </c>
      <c r="B9445" s="1" t="n">
        <v>45029</v>
      </c>
      <c r="C9445" s="1" t="n">
        <v>45736</v>
      </c>
      <c r="D9445" t="inlineStr">
        <is>
          <t>VÄRMLANDS LÄN</t>
        </is>
      </c>
      <c r="E9445" t="inlineStr">
        <is>
          <t>EDA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16467-2023</t>
        </is>
      </c>
      <c r="B9446" s="1" t="n">
        <v>45029</v>
      </c>
      <c r="C9446" s="1" t="n">
        <v>45736</v>
      </c>
      <c r="D9446" t="inlineStr">
        <is>
          <t>VÄRMLANDS LÄN</t>
        </is>
      </c>
      <c r="E9446" t="inlineStr">
        <is>
          <t>EDA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16464-2023</t>
        </is>
      </c>
      <c r="B9447" s="1" t="n">
        <v>45029</v>
      </c>
      <c r="C9447" s="1" t="n">
        <v>45736</v>
      </c>
      <c r="D9447" t="inlineStr">
        <is>
          <t>VÄRMLANDS LÄN</t>
        </is>
      </c>
      <c r="E9447" t="inlineStr">
        <is>
          <t>SÄFFLE</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16510-2023</t>
        </is>
      </c>
      <c r="B9448" s="1" t="n">
        <v>45029</v>
      </c>
      <c r="C9448" s="1" t="n">
        <v>45736</v>
      </c>
      <c r="D9448" t="inlineStr">
        <is>
          <t>VÄRMLANDS LÄN</t>
        </is>
      </c>
      <c r="E9448" t="inlineStr">
        <is>
          <t>SUNNE</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16521-2023</t>
        </is>
      </c>
      <c r="B9449" s="1" t="n">
        <v>45029</v>
      </c>
      <c r="C9449" s="1" t="n">
        <v>45736</v>
      </c>
      <c r="D9449" t="inlineStr">
        <is>
          <t>VÄRMLANDS LÄN</t>
        </is>
      </c>
      <c r="E9449" t="inlineStr">
        <is>
          <t>HAGFORS</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16542-2023</t>
        </is>
      </c>
      <c r="B9450" s="1" t="n">
        <v>45029</v>
      </c>
      <c r="C9450" s="1" t="n">
        <v>45736</v>
      </c>
      <c r="D9450" t="inlineStr">
        <is>
          <t>VÄRMLANDS LÄN</t>
        </is>
      </c>
      <c r="E9450" t="inlineStr">
        <is>
          <t>EDA</t>
        </is>
      </c>
      <c r="G9450" t="n">
        <v>6.6</v>
      </c>
      <c r="H9450" t="n">
        <v>0</v>
      </c>
      <c r="I9450" t="n">
        <v>0</v>
      </c>
      <c r="J9450" t="n">
        <v>0</v>
      </c>
      <c r="K9450" t="n">
        <v>0</v>
      </c>
      <c r="L9450" t="n">
        <v>0</v>
      </c>
      <c r="M9450" t="n">
        <v>0</v>
      </c>
      <c r="N9450" t="n">
        <v>0</v>
      </c>
      <c r="O9450" t="n">
        <v>0</v>
      </c>
      <c r="P9450" t="n">
        <v>0</v>
      </c>
      <c r="Q9450" t="n">
        <v>0</v>
      </c>
      <c r="R9450" s="2" t="inlineStr"/>
    </row>
    <row r="9451" ht="15" customHeight="1">
      <c r="A9451" t="inlineStr">
        <is>
          <t>A 16492-2023</t>
        </is>
      </c>
      <c r="B9451" s="1" t="n">
        <v>45029</v>
      </c>
      <c r="C9451" s="1" t="n">
        <v>45736</v>
      </c>
      <c r="D9451" t="inlineStr">
        <is>
          <t>VÄRMLANDS LÄN</t>
        </is>
      </c>
      <c r="E9451" t="inlineStr">
        <is>
          <t>SUNNE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16512-2023</t>
        </is>
      </c>
      <c r="B9452" s="1" t="n">
        <v>45029</v>
      </c>
      <c r="C9452" s="1" t="n">
        <v>45736</v>
      </c>
      <c r="D9452" t="inlineStr">
        <is>
          <t>VÄRMLANDS LÄN</t>
        </is>
      </c>
      <c r="E9452" t="inlineStr">
        <is>
          <t>EDA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16518-2023</t>
        </is>
      </c>
      <c r="B9453" s="1" t="n">
        <v>45029</v>
      </c>
      <c r="C9453" s="1" t="n">
        <v>45736</v>
      </c>
      <c r="D9453" t="inlineStr">
        <is>
          <t>VÄRMLANDS LÄN</t>
        </is>
      </c>
      <c r="E9453" t="inlineStr">
        <is>
          <t>SUNNE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16523-2023</t>
        </is>
      </c>
      <c r="B9454" s="1" t="n">
        <v>45029</v>
      </c>
      <c r="C9454" s="1" t="n">
        <v>45736</v>
      </c>
      <c r="D9454" t="inlineStr">
        <is>
          <t>VÄRMLANDS LÄN</t>
        </is>
      </c>
      <c r="E9454" t="inlineStr">
        <is>
          <t>HAGFORS</t>
        </is>
      </c>
      <c r="F9454" t="inlineStr">
        <is>
          <t>Bergvik skog väst AB</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16514-2023</t>
        </is>
      </c>
      <c r="B9455" s="1" t="n">
        <v>45029</v>
      </c>
      <c r="C9455" s="1" t="n">
        <v>45736</v>
      </c>
      <c r="D9455" t="inlineStr">
        <is>
          <t>VÄRMLANDS LÄN</t>
        </is>
      </c>
      <c r="E9455" t="inlineStr">
        <is>
          <t>EDA</t>
        </is>
      </c>
      <c r="F9455" t="inlineStr">
        <is>
          <t>Övriga Aktiebolag</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16525-2023</t>
        </is>
      </c>
      <c r="B9456" s="1" t="n">
        <v>45029</v>
      </c>
      <c r="C9456" s="1" t="n">
        <v>45736</v>
      </c>
      <c r="D9456" t="inlineStr">
        <is>
          <t>VÄRMLANDS LÄN</t>
        </is>
      </c>
      <c r="E9456" t="inlineStr">
        <is>
          <t>HAGFORS</t>
        </is>
      </c>
      <c r="F9456" t="inlineStr">
        <is>
          <t>Bergvik skog väst AB</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16595-2023</t>
        </is>
      </c>
      <c r="B9457" s="1" t="n">
        <v>45030</v>
      </c>
      <c r="C9457" s="1" t="n">
        <v>45736</v>
      </c>
      <c r="D9457" t="inlineStr">
        <is>
          <t>VÄRMLANDS LÄN</t>
        </is>
      </c>
      <c r="E9457" t="inlineStr">
        <is>
          <t>ARVIKA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16626-2023</t>
        </is>
      </c>
      <c r="B9458" s="1" t="n">
        <v>45030</v>
      </c>
      <c r="C9458" s="1" t="n">
        <v>45736</v>
      </c>
      <c r="D9458" t="inlineStr">
        <is>
          <t>VÄRMLANDS LÄN</t>
        </is>
      </c>
      <c r="E9458" t="inlineStr">
        <is>
          <t>ARVIKA</t>
        </is>
      </c>
      <c r="F9458" t="inlineStr">
        <is>
          <t>Bergvik skog väst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16636-2023</t>
        </is>
      </c>
      <c r="B9459" s="1" t="n">
        <v>45030</v>
      </c>
      <c r="C9459" s="1" t="n">
        <v>45736</v>
      </c>
      <c r="D9459" t="inlineStr">
        <is>
          <t>VÄRMLANDS LÄN</t>
        </is>
      </c>
      <c r="E9459" t="inlineStr">
        <is>
          <t>ÅRJÄNG</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16650-2023</t>
        </is>
      </c>
      <c r="B9460" s="1" t="n">
        <v>45030</v>
      </c>
      <c r="C9460" s="1" t="n">
        <v>45736</v>
      </c>
      <c r="D9460" t="inlineStr">
        <is>
          <t>VÄRMLANDS LÄN</t>
        </is>
      </c>
      <c r="E9460" t="inlineStr">
        <is>
          <t>ARVIKA</t>
        </is>
      </c>
      <c r="F9460" t="inlineStr">
        <is>
          <t>Bergvik skog väst AB</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16730-2023</t>
        </is>
      </c>
      <c r="B9461" s="1" t="n">
        <v>45030</v>
      </c>
      <c r="C9461" s="1" t="n">
        <v>45736</v>
      </c>
      <c r="D9461" t="inlineStr">
        <is>
          <t>VÄRMLANDS LÄN</t>
        </is>
      </c>
      <c r="E9461" t="inlineStr">
        <is>
          <t>EDA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16596-2023</t>
        </is>
      </c>
      <c r="B9462" s="1" t="n">
        <v>45030</v>
      </c>
      <c r="C9462" s="1" t="n">
        <v>45736</v>
      </c>
      <c r="D9462" t="inlineStr">
        <is>
          <t>VÄRMLANDS LÄN</t>
        </is>
      </c>
      <c r="E9462" t="inlineStr">
        <is>
          <t>KIL</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16601-2023</t>
        </is>
      </c>
      <c r="B9463" s="1" t="n">
        <v>45030</v>
      </c>
      <c r="C9463" s="1" t="n">
        <v>45736</v>
      </c>
      <c r="D9463" t="inlineStr">
        <is>
          <t>VÄRMLANDS LÄN</t>
        </is>
      </c>
      <c r="E9463" t="inlineStr">
        <is>
          <t>ARVIKA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16641-2023</t>
        </is>
      </c>
      <c r="B9464" s="1" t="n">
        <v>45030</v>
      </c>
      <c r="C9464" s="1" t="n">
        <v>45736</v>
      </c>
      <c r="D9464" t="inlineStr">
        <is>
          <t>VÄRMLANDS LÄN</t>
        </is>
      </c>
      <c r="E9464" t="inlineStr">
        <is>
          <t>ARVIKA</t>
        </is>
      </c>
      <c r="F9464" t="inlineStr">
        <is>
          <t>Bergvik skog väst AB</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16647-2023</t>
        </is>
      </c>
      <c r="B9465" s="1" t="n">
        <v>45030</v>
      </c>
      <c r="C9465" s="1" t="n">
        <v>45736</v>
      </c>
      <c r="D9465" t="inlineStr">
        <is>
          <t>VÄRMLANDS LÄN</t>
        </is>
      </c>
      <c r="E9465" t="inlineStr">
        <is>
          <t>ARVIKA</t>
        </is>
      </c>
      <c r="F9465" t="inlineStr">
        <is>
          <t>Bergvik skog väst AB</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16674-2023</t>
        </is>
      </c>
      <c r="B9466" s="1" t="n">
        <v>45030</v>
      </c>
      <c r="C9466" s="1" t="n">
        <v>45736</v>
      </c>
      <c r="D9466" t="inlineStr">
        <is>
          <t>VÄRMLANDS LÄN</t>
        </is>
      </c>
      <c r="E9466" t="inlineStr">
        <is>
          <t>ARVIKA</t>
        </is>
      </c>
      <c r="F9466" t="inlineStr">
        <is>
          <t>Bergvik skog väst AB</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16597-2023</t>
        </is>
      </c>
      <c r="B9467" s="1" t="n">
        <v>45030</v>
      </c>
      <c r="C9467" s="1" t="n">
        <v>45736</v>
      </c>
      <c r="D9467" t="inlineStr">
        <is>
          <t>VÄRMLANDS LÄN</t>
        </is>
      </c>
      <c r="E9467" t="inlineStr">
        <is>
          <t>ARVIKA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16679-2023</t>
        </is>
      </c>
      <c r="B9468" s="1" t="n">
        <v>45030</v>
      </c>
      <c r="C9468" s="1" t="n">
        <v>45736</v>
      </c>
      <c r="D9468" t="inlineStr">
        <is>
          <t>VÄRMLANDS LÄN</t>
        </is>
      </c>
      <c r="E9468" t="inlineStr">
        <is>
          <t>HAGFORS</t>
        </is>
      </c>
      <c r="F9468" t="inlineStr">
        <is>
          <t>Bergvik skog väst AB</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16724-2023</t>
        </is>
      </c>
      <c r="B9469" s="1" t="n">
        <v>45030</v>
      </c>
      <c r="C9469" s="1" t="n">
        <v>45736</v>
      </c>
      <c r="D9469" t="inlineStr">
        <is>
          <t>VÄRMLANDS LÄN</t>
        </is>
      </c>
      <c r="E9469" t="inlineStr">
        <is>
          <t>HAGFORS</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17015-2023</t>
        </is>
      </c>
      <c r="B9470" s="1" t="n">
        <v>45030</v>
      </c>
      <c r="C9470" s="1" t="n">
        <v>45736</v>
      </c>
      <c r="D9470" t="inlineStr">
        <is>
          <t>VÄRMLANDS LÄN</t>
        </is>
      </c>
      <c r="E9470" t="inlineStr">
        <is>
          <t>ÅRJÄNG</t>
        </is>
      </c>
      <c r="F9470" t="inlineStr">
        <is>
          <t>Övriga Aktiebolag</t>
        </is>
      </c>
      <c r="G9470" t="n">
        <v>13.9</v>
      </c>
      <c r="H9470" t="n">
        <v>0</v>
      </c>
      <c r="I9470" t="n">
        <v>0</v>
      </c>
      <c r="J9470" t="n">
        <v>0</v>
      </c>
      <c r="K9470" t="n">
        <v>0</v>
      </c>
      <c r="L9470" t="n">
        <v>0</v>
      </c>
      <c r="M9470" t="n">
        <v>0</v>
      </c>
      <c r="N9470" t="n">
        <v>0</v>
      </c>
      <c r="O9470" t="n">
        <v>0</v>
      </c>
      <c r="P9470" t="n">
        <v>0</v>
      </c>
      <c r="Q9470" t="n">
        <v>0</v>
      </c>
      <c r="R9470" s="2" t="inlineStr"/>
    </row>
    <row r="9471" ht="15" customHeight="1">
      <c r="A9471" t="inlineStr">
        <is>
          <t>A 16633-2023</t>
        </is>
      </c>
      <c r="B9471" s="1" t="n">
        <v>45030</v>
      </c>
      <c r="C9471" s="1" t="n">
        <v>45736</v>
      </c>
      <c r="D9471" t="inlineStr">
        <is>
          <t>VÄRMLANDS LÄN</t>
        </is>
      </c>
      <c r="E9471" t="inlineStr">
        <is>
          <t>SUNNE</t>
        </is>
      </c>
      <c r="F9471" t="inlineStr">
        <is>
          <t>Övriga statliga verk och myndigheter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16657-2023</t>
        </is>
      </c>
      <c r="B9472" s="1" t="n">
        <v>45030</v>
      </c>
      <c r="C9472" s="1" t="n">
        <v>45736</v>
      </c>
      <c r="D9472" t="inlineStr">
        <is>
          <t>VÄRMLANDS LÄN</t>
        </is>
      </c>
      <c r="E9472" t="inlineStr">
        <is>
          <t>SUNNE</t>
        </is>
      </c>
      <c r="F9472" t="inlineStr">
        <is>
          <t>Bergvik skog väst AB</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16809-2023</t>
        </is>
      </c>
      <c r="B9473" s="1" t="n">
        <v>45033</v>
      </c>
      <c r="C9473" s="1" t="n">
        <v>45736</v>
      </c>
      <c r="D9473" t="inlineStr">
        <is>
          <t>VÄRMLANDS LÄN</t>
        </is>
      </c>
      <c r="E9473" t="inlineStr">
        <is>
          <t>ARVIKA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16856-2023</t>
        </is>
      </c>
      <c r="B9474" s="1" t="n">
        <v>45033</v>
      </c>
      <c r="C9474" s="1" t="n">
        <v>45736</v>
      </c>
      <c r="D9474" t="inlineStr">
        <is>
          <t>VÄRMLANDS LÄN</t>
        </is>
      </c>
      <c r="E9474" t="inlineStr">
        <is>
          <t>ARVIKA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16919-2023</t>
        </is>
      </c>
      <c r="B9475" s="1" t="n">
        <v>45033</v>
      </c>
      <c r="C9475" s="1" t="n">
        <v>45736</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16925-2023</t>
        </is>
      </c>
      <c r="B9476" s="1" t="n">
        <v>45033</v>
      </c>
      <c r="C9476" s="1" t="n">
        <v>45736</v>
      </c>
      <c r="D9476" t="inlineStr">
        <is>
          <t>VÄRMLANDS LÄN</t>
        </is>
      </c>
      <c r="E9476" t="inlineStr">
        <is>
          <t>HAGFORS</t>
        </is>
      </c>
      <c r="F9476" t="inlineStr">
        <is>
          <t>Bergvik skog väst AB</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16947-2023</t>
        </is>
      </c>
      <c r="B9477" s="1" t="n">
        <v>45033</v>
      </c>
      <c r="C9477" s="1" t="n">
        <v>45736</v>
      </c>
      <c r="D9477" t="inlineStr">
        <is>
          <t>VÄRMLANDS LÄN</t>
        </is>
      </c>
      <c r="E9477" t="inlineStr">
        <is>
          <t>KRISTINEHAMN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16814-2023</t>
        </is>
      </c>
      <c r="B9478" s="1" t="n">
        <v>45033</v>
      </c>
      <c r="C9478" s="1" t="n">
        <v>45736</v>
      </c>
      <c r="D9478" t="inlineStr">
        <is>
          <t>VÄRMLANDS LÄN</t>
        </is>
      </c>
      <c r="E9478" t="inlineStr">
        <is>
          <t>HAGFORS</t>
        </is>
      </c>
      <c r="F9478" t="inlineStr">
        <is>
          <t>Bergvik skog väst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16824-2023</t>
        </is>
      </c>
      <c r="B9479" s="1" t="n">
        <v>45033</v>
      </c>
      <c r="C9479" s="1" t="n">
        <v>45736</v>
      </c>
      <c r="D9479" t="inlineStr">
        <is>
          <t>VÄRMLANDS LÄN</t>
        </is>
      </c>
      <c r="E9479" t="inlineStr">
        <is>
          <t>HAGFORS</t>
        </is>
      </c>
      <c r="F9479" t="inlineStr">
        <is>
          <t>Bergvik skog väst AB</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16836-2023</t>
        </is>
      </c>
      <c r="B9480" s="1" t="n">
        <v>45033</v>
      </c>
      <c r="C9480" s="1" t="n">
        <v>45736</v>
      </c>
      <c r="D9480" t="inlineStr">
        <is>
          <t>VÄRMLANDS LÄN</t>
        </is>
      </c>
      <c r="E9480" t="inlineStr">
        <is>
          <t>ARVIKA</t>
        </is>
      </c>
      <c r="F9480" t="inlineStr">
        <is>
          <t>Bergvik skog väst AB</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16857-2023</t>
        </is>
      </c>
      <c r="B9481" s="1" t="n">
        <v>45033</v>
      </c>
      <c r="C9481" s="1" t="n">
        <v>45736</v>
      </c>
      <c r="D9481" t="inlineStr">
        <is>
          <t>VÄRMLANDS LÄN</t>
        </is>
      </c>
      <c r="E9481" t="inlineStr">
        <is>
          <t>SUNNE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16862-2023</t>
        </is>
      </c>
      <c r="B9482" s="1" t="n">
        <v>45033</v>
      </c>
      <c r="C9482" s="1" t="n">
        <v>45736</v>
      </c>
      <c r="D9482" t="inlineStr">
        <is>
          <t>VÄRMLANDS LÄN</t>
        </is>
      </c>
      <c r="E9482" t="inlineStr">
        <is>
          <t>SÄFFLE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16872-2023</t>
        </is>
      </c>
      <c r="B9483" s="1" t="n">
        <v>45033</v>
      </c>
      <c r="C9483" s="1" t="n">
        <v>45736</v>
      </c>
      <c r="D9483" t="inlineStr">
        <is>
          <t>VÄRMLANDS LÄN</t>
        </is>
      </c>
      <c r="E9483" t="inlineStr">
        <is>
          <t>SUNNE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16899-2023</t>
        </is>
      </c>
      <c r="B9484" s="1" t="n">
        <v>45033</v>
      </c>
      <c r="C9484" s="1" t="n">
        <v>45736</v>
      </c>
      <c r="D9484" t="inlineStr">
        <is>
          <t>VÄRMLANDS LÄN</t>
        </is>
      </c>
      <c r="E9484" t="inlineStr">
        <is>
          <t>SÄFFLE</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16945-2023</t>
        </is>
      </c>
      <c r="B9485" s="1" t="n">
        <v>45033</v>
      </c>
      <c r="C9485" s="1" t="n">
        <v>45736</v>
      </c>
      <c r="D9485" t="inlineStr">
        <is>
          <t>VÄRMLANDS LÄN</t>
        </is>
      </c>
      <c r="E9485" t="inlineStr">
        <is>
          <t>TORSBY</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16969-2023</t>
        </is>
      </c>
      <c r="B9486" s="1" t="n">
        <v>45033</v>
      </c>
      <c r="C9486" s="1" t="n">
        <v>45736</v>
      </c>
      <c r="D9486" t="inlineStr">
        <is>
          <t>VÄRMLANDS LÄN</t>
        </is>
      </c>
      <c r="E9486" t="inlineStr">
        <is>
          <t>HAGFORS</t>
        </is>
      </c>
      <c r="F9486" t="inlineStr">
        <is>
          <t>Bergvik skog väst AB</t>
        </is>
      </c>
      <c r="G9486" t="n">
        <v>17.5</v>
      </c>
      <c r="H9486" t="n">
        <v>0</v>
      </c>
      <c r="I9486" t="n">
        <v>0</v>
      </c>
      <c r="J9486" t="n">
        <v>0</v>
      </c>
      <c r="K9486" t="n">
        <v>0</v>
      </c>
      <c r="L9486" t="n">
        <v>0</v>
      </c>
      <c r="M9486" t="n">
        <v>0</v>
      </c>
      <c r="N9486" t="n">
        <v>0</v>
      </c>
      <c r="O9486" t="n">
        <v>0</v>
      </c>
      <c r="P9486" t="n">
        <v>0</v>
      </c>
      <c r="Q9486" t="n">
        <v>0</v>
      </c>
      <c r="R9486" s="2" t="inlineStr"/>
    </row>
    <row r="9487" ht="15" customHeight="1">
      <c r="A9487" t="inlineStr">
        <is>
          <t>A 16896-2023</t>
        </is>
      </c>
      <c r="B9487" s="1" t="n">
        <v>45033</v>
      </c>
      <c r="C9487" s="1" t="n">
        <v>45736</v>
      </c>
      <c r="D9487" t="inlineStr">
        <is>
          <t>VÄRMLANDS LÄN</t>
        </is>
      </c>
      <c r="E9487" t="inlineStr">
        <is>
          <t>SÄFFLE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16903-2023</t>
        </is>
      </c>
      <c r="B9488" s="1" t="n">
        <v>45033</v>
      </c>
      <c r="C9488" s="1" t="n">
        <v>45736</v>
      </c>
      <c r="D9488" t="inlineStr">
        <is>
          <t>VÄRMLANDS LÄN</t>
        </is>
      </c>
      <c r="E9488" t="inlineStr">
        <is>
          <t>SÄFFLE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16851-2023</t>
        </is>
      </c>
      <c r="B9489" s="1" t="n">
        <v>45033</v>
      </c>
      <c r="C9489" s="1" t="n">
        <v>45736</v>
      </c>
      <c r="D9489" t="inlineStr">
        <is>
          <t>VÄRMLANDS LÄN</t>
        </is>
      </c>
      <c r="E9489" t="inlineStr">
        <is>
          <t>SÄFFLE</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16877-2023</t>
        </is>
      </c>
      <c r="B9490" s="1" t="n">
        <v>45033</v>
      </c>
      <c r="C9490" s="1" t="n">
        <v>45736</v>
      </c>
      <c r="D9490" t="inlineStr">
        <is>
          <t>VÄRMLANDS LÄN</t>
        </is>
      </c>
      <c r="E9490" t="inlineStr">
        <is>
          <t>HAGFORS</t>
        </is>
      </c>
      <c r="F9490" t="inlineStr">
        <is>
          <t>Bergvik skog väst AB</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16943-2023</t>
        </is>
      </c>
      <c r="B9491" s="1" t="n">
        <v>45033</v>
      </c>
      <c r="C9491" s="1" t="n">
        <v>45736</v>
      </c>
      <c r="D9491" t="inlineStr">
        <is>
          <t>VÄRMLANDS LÄN</t>
        </is>
      </c>
      <c r="E9491" t="inlineStr">
        <is>
          <t>TORSBY</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16959-2023</t>
        </is>
      </c>
      <c r="B9492" s="1" t="n">
        <v>45033</v>
      </c>
      <c r="C9492" s="1" t="n">
        <v>45736</v>
      </c>
      <c r="D9492" t="inlineStr">
        <is>
          <t>VÄRMLANDS LÄN</t>
        </is>
      </c>
      <c r="E9492" t="inlineStr">
        <is>
          <t>ÅRJÄNG</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17042-2023</t>
        </is>
      </c>
      <c r="B9493" s="1" t="n">
        <v>45034</v>
      </c>
      <c r="C9493" s="1" t="n">
        <v>45736</v>
      </c>
      <c r="D9493" t="inlineStr">
        <is>
          <t>VÄRMLANDS LÄN</t>
        </is>
      </c>
      <c r="E9493" t="inlineStr">
        <is>
          <t>SUNNE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17030-2023</t>
        </is>
      </c>
      <c r="B9494" s="1" t="n">
        <v>45034</v>
      </c>
      <c r="C9494" s="1" t="n">
        <v>45736</v>
      </c>
      <c r="D9494" t="inlineStr">
        <is>
          <t>VÄRMLANDS LÄN</t>
        </is>
      </c>
      <c r="E9494" t="inlineStr">
        <is>
          <t>SUNNE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17036-2023</t>
        </is>
      </c>
      <c r="B9495" s="1" t="n">
        <v>45034</v>
      </c>
      <c r="C9495" s="1" t="n">
        <v>45736</v>
      </c>
      <c r="D9495" t="inlineStr">
        <is>
          <t>VÄRMLANDS LÄN</t>
        </is>
      </c>
      <c r="E9495" t="inlineStr">
        <is>
          <t>SUNNE</t>
        </is>
      </c>
      <c r="F9495" t="inlineStr">
        <is>
          <t>Övriga Aktiebolag</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17174-2023</t>
        </is>
      </c>
      <c r="B9496" s="1" t="n">
        <v>45034</v>
      </c>
      <c r="C9496" s="1" t="n">
        <v>45736</v>
      </c>
      <c r="D9496" t="inlineStr">
        <is>
          <t>VÄRMLANDS LÄN</t>
        </is>
      </c>
      <c r="E9496" t="inlineStr">
        <is>
          <t>ÅRJÄNG</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17184-2023</t>
        </is>
      </c>
      <c r="B9497" s="1" t="n">
        <v>45034</v>
      </c>
      <c r="C9497" s="1" t="n">
        <v>45736</v>
      </c>
      <c r="D9497" t="inlineStr">
        <is>
          <t>VÄRMLANDS LÄN</t>
        </is>
      </c>
      <c r="E9497" t="inlineStr">
        <is>
          <t>TORSBY</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17188-2023</t>
        </is>
      </c>
      <c r="B9498" s="1" t="n">
        <v>45034</v>
      </c>
      <c r="C9498" s="1" t="n">
        <v>45736</v>
      </c>
      <c r="D9498" t="inlineStr">
        <is>
          <t>VÄRMLANDS LÄN</t>
        </is>
      </c>
      <c r="E9498" t="inlineStr">
        <is>
          <t>TORSBY</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17477-2023</t>
        </is>
      </c>
      <c r="B9499" s="1" t="n">
        <v>45034</v>
      </c>
      <c r="C9499" s="1" t="n">
        <v>45736</v>
      </c>
      <c r="D9499" t="inlineStr">
        <is>
          <t>VÄRMLANDS LÄN</t>
        </is>
      </c>
      <c r="E9499" t="inlineStr">
        <is>
          <t>KIL</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17554-2023</t>
        </is>
      </c>
      <c r="B9500" s="1" t="n">
        <v>45034</v>
      </c>
      <c r="C9500" s="1" t="n">
        <v>45736</v>
      </c>
      <c r="D9500" t="inlineStr">
        <is>
          <t>VÄRMLANDS LÄN</t>
        </is>
      </c>
      <c r="E9500" t="inlineStr">
        <is>
          <t>TORSBY</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17262-2023</t>
        </is>
      </c>
      <c r="B9501" s="1" t="n">
        <v>45035</v>
      </c>
      <c r="C9501" s="1" t="n">
        <v>45736</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17293-2023</t>
        </is>
      </c>
      <c r="B9502" s="1" t="n">
        <v>45035</v>
      </c>
      <c r="C9502" s="1" t="n">
        <v>45736</v>
      </c>
      <c r="D9502" t="inlineStr">
        <is>
          <t>VÄRMLANDS LÄN</t>
        </is>
      </c>
      <c r="E9502" t="inlineStr">
        <is>
          <t>HAGFORS</t>
        </is>
      </c>
      <c r="F9502" t="inlineStr">
        <is>
          <t>Bergvik skog väst AB</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17363-2023</t>
        </is>
      </c>
      <c r="B9503" s="1" t="n">
        <v>45035</v>
      </c>
      <c r="C9503" s="1" t="n">
        <v>45736</v>
      </c>
      <c r="D9503" t="inlineStr">
        <is>
          <t>VÄRMLANDS LÄN</t>
        </is>
      </c>
      <c r="E9503" t="inlineStr">
        <is>
          <t>ARVIKA</t>
        </is>
      </c>
      <c r="G9503" t="n">
        <v>19.4</v>
      </c>
      <c r="H9503" t="n">
        <v>0</v>
      </c>
      <c r="I9503" t="n">
        <v>0</v>
      </c>
      <c r="J9503" t="n">
        <v>0</v>
      </c>
      <c r="K9503" t="n">
        <v>0</v>
      </c>
      <c r="L9503" t="n">
        <v>0</v>
      </c>
      <c r="M9503" t="n">
        <v>0</v>
      </c>
      <c r="N9503" t="n">
        <v>0</v>
      </c>
      <c r="O9503" t="n">
        <v>0</v>
      </c>
      <c r="P9503" t="n">
        <v>0</v>
      </c>
      <c r="Q9503" t="n">
        <v>0</v>
      </c>
      <c r="R9503" s="2" t="inlineStr"/>
    </row>
    <row r="9504" ht="15" customHeight="1">
      <c r="A9504" t="inlineStr">
        <is>
          <t>A 17249-2023</t>
        </is>
      </c>
      <c r="B9504" s="1" t="n">
        <v>45035</v>
      </c>
      <c r="C9504" s="1" t="n">
        <v>45736</v>
      </c>
      <c r="D9504" t="inlineStr">
        <is>
          <t>VÄRMLANDS LÄN</t>
        </is>
      </c>
      <c r="E9504" t="inlineStr">
        <is>
          <t>KARLSTAD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17300-2023</t>
        </is>
      </c>
      <c r="B9505" s="1" t="n">
        <v>45035</v>
      </c>
      <c r="C9505" s="1" t="n">
        <v>45736</v>
      </c>
      <c r="D9505" t="inlineStr">
        <is>
          <t>VÄRMLANDS LÄN</t>
        </is>
      </c>
      <c r="E9505" t="inlineStr">
        <is>
          <t>TORSBY</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17305-2023</t>
        </is>
      </c>
      <c r="B9506" s="1" t="n">
        <v>45035</v>
      </c>
      <c r="C9506" s="1" t="n">
        <v>45736</v>
      </c>
      <c r="D9506" t="inlineStr">
        <is>
          <t>VÄRMLANDS LÄN</t>
        </is>
      </c>
      <c r="E9506" t="inlineStr">
        <is>
          <t>HAGFORS</t>
        </is>
      </c>
      <c r="F9506" t="inlineStr">
        <is>
          <t>Bergvik skog väst AB</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17357-2023</t>
        </is>
      </c>
      <c r="B9507" s="1" t="n">
        <v>45035</v>
      </c>
      <c r="C9507" s="1" t="n">
        <v>45736</v>
      </c>
      <c r="D9507" t="inlineStr">
        <is>
          <t>VÄRMLANDS LÄN</t>
        </is>
      </c>
      <c r="E9507" t="inlineStr">
        <is>
          <t>STORFORS</t>
        </is>
      </c>
      <c r="F9507" t="inlineStr">
        <is>
          <t>Naturvårdsverket</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17398-2023</t>
        </is>
      </c>
      <c r="B9508" s="1" t="n">
        <v>45035</v>
      </c>
      <c r="C9508" s="1" t="n">
        <v>45736</v>
      </c>
      <c r="D9508" t="inlineStr">
        <is>
          <t>VÄRMLANDS LÄN</t>
        </is>
      </c>
      <c r="E9508" t="inlineStr">
        <is>
          <t>ARVIKA</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17285-2023</t>
        </is>
      </c>
      <c r="B9509" s="1" t="n">
        <v>45035</v>
      </c>
      <c r="C9509" s="1" t="n">
        <v>45736</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17330-2023</t>
        </is>
      </c>
      <c r="B9510" s="1" t="n">
        <v>45035</v>
      </c>
      <c r="C9510" s="1" t="n">
        <v>45736</v>
      </c>
      <c r="D9510" t="inlineStr">
        <is>
          <t>VÄRMLANDS LÄN</t>
        </is>
      </c>
      <c r="E9510" t="inlineStr">
        <is>
          <t>EDA</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17354-2023</t>
        </is>
      </c>
      <c r="B9511" s="1" t="n">
        <v>45035</v>
      </c>
      <c r="C9511" s="1" t="n">
        <v>45736</v>
      </c>
      <c r="D9511" t="inlineStr">
        <is>
          <t>VÄRMLANDS LÄN</t>
        </is>
      </c>
      <c r="E9511" t="inlineStr">
        <is>
          <t>KARLSTAD</t>
        </is>
      </c>
      <c r="F9511" t="inlineStr">
        <is>
          <t>Kommuner</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17364-2023</t>
        </is>
      </c>
      <c r="B9512" s="1" t="n">
        <v>45035</v>
      </c>
      <c r="C9512" s="1" t="n">
        <v>45736</v>
      </c>
      <c r="D9512" t="inlineStr">
        <is>
          <t>VÄRMLANDS LÄN</t>
        </is>
      </c>
      <c r="E9512" t="inlineStr">
        <is>
          <t>KARLSTAD</t>
        </is>
      </c>
      <c r="F9512" t="inlineStr">
        <is>
          <t>Kommuner</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17370-2023</t>
        </is>
      </c>
      <c r="B9513" s="1" t="n">
        <v>45035</v>
      </c>
      <c r="C9513" s="1" t="n">
        <v>45736</v>
      </c>
      <c r="D9513" t="inlineStr">
        <is>
          <t>VÄRMLANDS LÄN</t>
        </is>
      </c>
      <c r="E9513" t="inlineStr">
        <is>
          <t>SUNNE</t>
        </is>
      </c>
      <c r="G9513" t="n">
        <v>14.4</v>
      </c>
      <c r="H9513" t="n">
        <v>0</v>
      </c>
      <c r="I9513" t="n">
        <v>0</v>
      </c>
      <c r="J9513" t="n">
        <v>0</v>
      </c>
      <c r="K9513" t="n">
        <v>0</v>
      </c>
      <c r="L9513" t="n">
        <v>0</v>
      </c>
      <c r="M9513" t="n">
        <v>0</v>
      </c>
      <c r="N9513" t="n">
        <v>0</v>
      </c>
      <c r="O9513" t="n">
        <v>0</v>
      </c>
      <c r="P9513" t="n">
        <v>0</v>
      </c>
      <c r="Q9513" t="n">
        <v>0</v>
      </c>
      <c r="R9513" s="2" t="inlineStr"/>
    </row>
    <row r="9514" ht="15" customHeight="1">
      <c r="A9514" t="inlineStr">
        <is>
          <t>A 17252-2023</t>
        </is>
      </c>
      <c r="B9514" s="1" t="n">
        <v>45035</v>
      </c>
      <c r="C9514" s="1" t="n">
        <v>45736</v>
      </c>
      <c r="D9514" t="inlineStr">
        <is>
          <t>VÄRMLANDS LÄN</t>
        </is>
      </c>
      <c r="E9514" t="inlineStr">
        <is>
          <t>SÄFFLE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17322-2023</t>
        </is>
      </c>
      <c r="B9515" s="1" t="n">
        <v>45035</v>
      </c>
      <c r="C9515" s="1" t="n">
        <v>45736</v>
      </c>
      <c r="D9515" t="inlineStr">
        <is>
          <t>VÄRMLANDS LÄN</t>
        </is>
      </c>
      <c r="E9515" t="inlineStr">
        <is>
          <t>TORSBY</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17328-2023</t>
        </is>
      </c>
      <c r="B9516" s="1" t="n">
        <v>45035</v>
      </c>
      <c r="C9516" s="1" t="n">
        <v>45736</v>
      </c>
      <c r="D9516" t="inlineStr">
        <is>
          <t>VÄRMLANDS LÄN</t>
        </is>
      </c>
      <c r="E9516" t="inlineStr">
        <is>
          <t>TORSBY</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17343-2023</t>
        </is>
      </c>
      <c r="B9517" s="1" t="n">
        <v>45035</v>
      </c>
      <c r="C9517" s="1" t="n">
        <v>45736</v>
      </c>
      <c r="D9517" t="inlineStr">
        <is>
          <t>VÄRMLANDS LÄN</t>
        </is>
      </c>
      <c r="E9517" t="inlineStr">
        <is>
          <t>KRISTINEHAMN</t>
        </is>
      </c>
      <c r="F9517" t="inlineStr">
        <is>
          <t>Naturvårdsverket</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17358-2023</t>
        </is>
      </c>
      <c r="B9518" s="1" t="n">
        <v>45035</v>
      </c>
      <c r="C9518" s="1" t="n">
        <v>45736</v>
      </c>
      <c r="D9518" t="inlineStr">
        <is>
          <t>VÄRMLANDS LÄN</t>
        </is>
      </c>
      <c r="E9518" t="inlineStr">
        <is>
          <t>SUNNE</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17704-2023</t>
        </is>
      </c>
      <c r="B9519" s="1" t="n">
        <v>45035</v>
      </c>
      <c r="C9519" s="1" t="n">
        <v>45736</v>
      </c>
      <c r="D9519" t="inlineStr">
        <is>
          <t>VÄRMLANDS LÄN</t>
        </is>
      </c>
      <c r="E9519" t="inlineStr">
        <is>
          <t>ARVIKA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17474-2023</t>
        </is>
      </c>
      <c r="B9520" s="1" t="n">
        <v>45036</v>
      </c>
      <c r="C9520" s="1" t="n">
        <v>45736</v>
      </c>
      <c r="D9520" t="inlineStr">
        <is>
          <t>VÄRMLANDS LÄN</t>
        </is>
      </c>
      <c r="E9520" t="inlineStr">
        <is>
          <t>KARLSTAD</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17548-2023</t>
        </is>
      </c>
      <c r="B9521" s="1" t="n">
        <v>45036</v>
      </c>
      <c r="C9521" s="1" t="n">
        <v>45736</v>
      </c>
      <c r="D9521" t="inlineStr">
        <is>
          <t>VÄRMLANDS LÄN</t>
        </is>
      </c>
      <c r="E9521" t="inlineStr">
        <is>
          <t>TORSBY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17579-2023</t>
        </is>
      </c>
      <c r="B9522" s="1" t="n">
        <v>45036</v>
      </c>
      <c r="C9522" s="1" t="n">
        <v>45736</v>
      </c>
      <c r="D9522" t="inlineStr">
        <is>
          <t>VÄRMLANDS LÄN</t>
        </is>
      </c>
      <c r="E9522" t="inlineStr">
        <is>
          <t>KIL</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17584-2023</t>
        </is>
      </c>
      <c r="B9523" s="1" t="n">
        <v>45036</v>
      </c>
      <c r="C9523" s="1" t="n">
        <v>45736</v>
      </c>
      <c r="D9523" t="inlineStr">
        <is>
          <t>VÄRMLANDS LÄN</t>
        </is>
      </c>
      <c r="E9523" t="inlineStr">
        <is>
          <t>HAGFORS</t>
        </is>
      </c>
      <c r="F9523" t="inlineStr">
        <is>
          <t>Kommuner</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17606-2023</t>
        </is>
      </c>
      <c r="B9524" s="1" t="n">
        <v>45036</v>
      </c>
      <c r="C9524" s="1" t="n">
        <v>45736</v>
      </c>
      <c r="D9524" t="inlineStr">
        <is>
          <t>VÄRMLANDS LÄN</t>
        </is>
      </c>
      <c r="E9524" t="inlineStr">
        <is>
          <t>ÅRJÄNG</t>
        </is>
      </c>
      <c r="G9524" t="n">
        <v>10.7</v>
      </c>
      <c r="H9524" t="n">
        <v>0</v>
      </c>
      <c r="I9524" t="n">
        <v>0</v>
      </c>
      <c r="J9524" t="n">
        <v>0</v>
      </c>
      <c r="K9524" t="n">
        <v>0</v>
      </c>
      <c r="L9524" t="n">
        <v>0</v>
      </c>
      <c r="M9524" t="n">
        <v>0</v>
      </c>
      <c r="N9524" t="n">
        <v>0</v>
      </c>
      <c r="O9524" t="n">
        <v>0</v>
      </c>
      <c r="P9524" t="n">
        <v>0</v>
      </c>
      <c r="Q9524" t="n">
        <v>0</v>
      </c>
      <c r="R9524" s="2" t="inlineStr"/>
    </row>
    <row r="9525" ht="15" customHeight="1">
      <c r="A9525" t="inlineStr">
        <is>
          <t>A 17480-2023</t>
        </is>
      </c>
      <c r="B9525" s="1" t="n">
        <v>45036</v>
      </c>
      <c r="C9525" s="1" t="n">
        <v>45736</v>
      </c>
      <c r="D9525" t="inlineStr">
        <is>
          <t>VÄRMLANDS LÄN</t>
        </is>
      </c>
      <c r="E9525" t="inlineStr">
        <is>
          <t>EDA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17460-2023</t>
        </is>
      </c>
      <c r="B9526" s="1" t="n">
        <v>45036</v>
      </c>
      <c r="C9526" s="1" t="n">
        <v>45736</v>
      </c>
      <c r="D9526" t="inlineStr">
        <is>
          <t>VÄRMLANDS LÄN</t>
        </is>
      </c>
      <c r="E9526" t="inlineStr">
        <is>
          <t>ARVIKA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17488-2023</t>
        </is>
      </c>
      <c r="B9527" s="1" t="n">
        <v>45036</v>
      </c>
      <c r="C9527" s="1" t="n">
        <v>45736</v>
      </c>
      <c r="D9527" t="inlineStr">
        <is>
          <t>VÄRMLANDS LÄN</t>
        </is>
      </c>
      <c r="E9527" t="inlineStr">
        <is>
          <t>TORSBY</t>
        </is>
      </c>
      <c r="G9527" t="n">
        <v>15.6</v>
      </c>
      <c r="H9527" t="n">
        <v>0</v>
      </c>
      <c r="I9527" t="n">
        <v>0</v>
      </c>
      <c r="J9527" t="n">
        <v>0</v>
      </c>
      <c r="K9527" t="n">
        <v>0</v>
      </c>
      <c r="L9527" t="n">
        <v>0</v>
      </c>
      <c r="M9527" t="n">
        <v>0</v>
      </c>
      <c r="N9527" t="n">
        <v>0</v>
      </c>
      <c r="O9527" t="n">
        <v>0</v>
      </c>
      <c r="P9527" t="n">
        <v>0</v>
      </c>
      <c r="Q9527" t="n">
        <v>0</v>
      </c>
      <c r="R9527" s="2" t="inlineStr"/>
    </row>
    <row r="9528" ht="15" customHeight="1">
      <c r="A9528" t="inlineStr">
        <is>
          <t>A 17546-2023</t>
        </is>
      </c>
      <c r="B9528" s="1" t="n">
        <v>45036</v>
      </c>
      <c r="C9528" s="1" t="n">
        <v>45736</v>
      </c>
      <c r="D9528" t="inlineStr">
        <is>
          <t>VÄRMLANDS LÄN</t>
        </is>
      </c>
      <c r="E9528" t="inlineStr">
        <is>
          <t>TORSBY</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17582-2023</t>
        </is>
      </c>
      <c r="B9529" s="1" t="n">
        <v>45036</v>
      </c>
      <c r="C9529" s="1" t="n">
        <v>45736</v>
      </c>
      <c r="D9529" t="inlineStr">
        <is>
          <t>VÄRMLANDS LÄN</t>
        </is>
      </c>
      <c r="E9529" t="inlineStr">
        <is>
          <t>KIL</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17628-2023</t>
        </is>
      </c>
      <c r="B9530" s="1" t="n">
        <v>45036</v>
      </c>
      <c r="C9530" s="1" t="n">
        <v>45736</v>
      </c>
      <c r="D9530" t="inlineStr">
        <is>
          <t>VÄRMLANDS LÄN</t>
        </is>
      </c>
      <c r="E9530" t="inlineStr">
        <is>
          <t>FORSHAGA</t>
        </is>
      </c>
      <c r="G9530" t="n">
        <v>6.5</v>
      </c>
      <c r="H9530" t="n">
        <v>0</v>
      </c>
      <c r="I9530" t="n">
        <v>0</v>
      </c>
      <c r="J9530" t="n">
        <v>0</v>
      </c>
      <c r="K9530" t="n">
        <v>0</v>
      </c>
      <c r="L9530" t="n">
        <v>0</v>
      </c>
      <c r="M9530" t="n">
        <v>0</v>
      </c>
      <c r="N9530" t="n">
        <v>0</v>
      </c>
      <c r="O9530" t="n">
        <v>0</v>
      </c>
      <c r="P9530" t="n">
        <v>0</v>
      </c>
      <c r="Q9530" t="n">
        <v>0</v>
      </c>
      <c r="R9530" s="2" t="inlineStr"/>
    </row>
    <row r="9531" ht="15" customHeight="1">
      <c r="A9531" t="inlineStr">
        <is>
          <t>A 17484-2023</t>
        </is>
      </c>
      <c r="B9531" s="1" t="n">
        <v>45036</v>
      </c>
      <c r="C9531" s="1" t="n">
        <v>45736</v>
      </c>
      <c r="D9531" t="inlineStr">
        <is>
          <t>VÄRMLANDS LÄN</t>
        </is>
      </c>
      <c r="E9531" t="inlineStr">
        <is>
          <t>ARVIKA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17557-2023</t>
        </is>
      </c>
      <c r="B9532" s="1" t="n">
        <v>45036</v>
      </c>
      <c r="C9532" s="1" t="n">
        <v>45736</v>
      </c>
      <c r="D9532" t="inlineStr">
        <is>
          <t>VÄRMLANDS LÄN</t>
        </is>
      </c>
      <c r="E9532" t="inlineStr">
        <is>
          <t>KIL</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17564-2023</t>
        </is>
      </c>
      <c r="B9533" s="1" t="n">
        <v>45036</v>
      </c>
      <c r="C9533" s="1" t="n">
        <v>45736</v>
      </c>
      <c r="D9533" t="inlineStr">
        <is>
          <t>VÄRMLANDS LÄN</t>
        </is>
      </c>
      <c r="E9533" t="inlineStr">
        <is>
          <t>KIL</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17553-2023</t>
        </is>
      </c>
      <c r="B9534" s="1" t="n">
        <v>45036</v>
      </c>
      <c r="C9534" s="1" t="n">
        <v>45736</v>
      </c>
      <c r="D9534" t="inlineStr">
        <is>
          <t>VÄRMLANDS LÄN</t>
        </is>
      </c>
      <c r="E9534" t="inlineStr">
        <is>
          <t>KIL</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17588-2023</t>
        </is>
      </c>
      <c r="B9535" s="1" t="n">
        <v>45036</v>
      </c>
      <c r="C9535" s="1" t="n">
        <v>45736</v>
      </c>
      <c r="D9535" t="inlineStr">
        <is>
          <t>VÄRMLANDS LÄN</t>
        </is>
      </c>
      <c r="E9535" t="inlineStr">
        <is>
          <t>HAGFORS</t>
        </is>
      </c>
      <c r="F9535" t="inlineStr">
        <is>
          <t>Kommuner</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17593-2023</t>
        </is>
      </c>
      <c r="B9536" s="1" t="n">
        <v>45036</v>
      </c>
      <c r="C9536" s="1" t="n">
        <v>45736</v>
      </c>
      <c r="D9536" t="inlineStr">
        <is>
          <t>VÄRMLANDS LÄN</t>
        </is>
      </c>
      <c r="E9536" t="inlineStr">
        <is>
          <t>EDA</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17677-2023</t>
        </is>
      </c>
      <c r="B9537" s="1" t="n">
        <v>45037</v>
      </c>
      <c r="C9537" s="1" t="n">
        <v>45736</v>
      </c>
      <c r="D9537" t="inlineStr">
        <is>
          <t>VÄRMLANDS LÄN</t>
        </is>
      </c>
      <c r="E9537" t="inlineStr">
        <is>
          <t>FORSHAGA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17750-2023</t>
        </is>
      </c>
      <c r="B9538" s="1" t="n">
        <v>45037</v>
      </c>
      <c r="C9538" s="1" t="n">
        <v>45736</v>
      </c>
      <c r="D9538" t="inlineStr">
        <is>
          <t>VÄRMLANDS LÄN</t>
        </is>
      </c>
      <c r="E9538" t="inlineStr">
        <is>
          <t>HAGFORS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17756-2023</t>
        </is>
      </c>
      <c r="B9539" s="1" t="n">
        <v>45037</v>
      </c>
      <c r="C9539" s="1" t="n">
        <v>45736</v>
      </c>
      <c r="D9539" t="inlineStr">
        <is>
          <t>VÄRMLANDS LÄN</t>
        </is>
      </c>
      <c r="E9539" t="inlineStr">
        <is>
          <t>STORFORS</t>
        </is>
      </c>
      <c r="G9539" t="n">
        <v>8.1</v>
      </c>
      <c r="H9539" t="n">
        <v>0</v>
      </c>
      <c r="I9539" t="n">
        <v>0</v>
      </c>
      <c r="J9539" t="n">
        <v>0</v>
      </c>
      <c r="K9539" t="n">
        <v>0</v>
      </c>
      <c r="L9539" t="n">
        <v>0</v>
      </c>
      <c r="M9539" t="n">
        <v>0</v>
      </c>
      <c r="N9539" t="n">
        <v>0</v>
      </c>
      <c r="O9539" t="n">
        <v>0</v>
      </c>
      <c r="P9539" t="n">
        <v>0</v>
      </c>
      <c r="Q9539" t="n">
        <v>0</v>
      </c>
      <c r="R9539" s="2" t="inlineStr"/>
    </row>
    <row r="9540" ht="15" customHeight="1">
      <c r="A9540" t="inlineStr">
        <is>
          <t>A 17684-2023</t>
        </is>
      </c>
      <c r="B9540" s="1" t="n">
        <v>45037</v>
      </c>
      <c r="C9540" s="1" t="n">
        <v>45736</v>
      </c>
      <c r="D9540" t="inlineStr">
        <is>
          <t>VÄRMLANDS LÄN</t>
        </is>
      </c>
      <c r="E9540" t="inlineStr">
        <is>
          <t>FILIPSTAD</t>
        </is>
      </c>
      <c r="G9540" t="n">
        <v>7.1</v>
      </c>
      <c r="H9540" t="n">
        <v>0</v>
      </c>
      <c r="I9540" t="n">
        <v>0</v>
      </c>
      <c r="J9540" t="n">
        <v>0</v>
      </c>
      <c r="K9540" t="n">
        <v>0</v>
      </c>
      <c r="L9540" t="n">
        <v>0</v>
      </c>
      <c r="M9540" t="n">
        <v>0</v>
      </c>
      <c r="N9540" t="n">
        <v>0</v>
      </c>
      <c r="O9540" t="n">
        <v>0</v>
      </c>
      <c r="P9540" t="n">
        <v>0</v>
      </c>
      <c r="Q9540" t="n">
        <v>0</v>
      </c>
      <c r="R9540" s="2" t="inlineStr"/>
    </row>
    <row r="9541" ht="15" customHeight="1">
      <c r="A9541" t="inlineStr">
        <is>
          <t>A 17676-2023</t>
        </is>
      </c>
      <c r="B9541" s="1" t="n">
        <v>45037</v>
      </c>
      <c r="C9541" s="1" t="n">
        <v>45736</v>
      </c>
      <c r="D9541" t="inlineStr">
        <is>
          <t>VÄRMLANDS LÄN</t>
        </is>
      </c>
      <c r="E9541" t="inlineStr">
        <is>
          <t>HAGFORS</t>
        </is>
      </c>
      <c r="F9541" t="inlineStr">
        <is>
          <t>Kyrkan</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17686-2023</t>
        </is>
      </c>
      <c r="B9542" s="1" t="n">
        <v>45037</v>
      </c>
      <c r="C9542" s="1" t="n">
        <v>45736</v>
      </c>
      <c r="D9542" t="inlineStr">
        <is>
          <t>VÄRMLANDS LÄN</t>
        </is>
      </c>
      <c r="E9542" t="inlineStr">
        <is>
          <t>FILIPSTAD</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17679-2023</t>
        </is>
      </c>
      <c r="B9543" s="1" t="n">
        <v>45037</v>
      </c>
      <c r="C9543" s="1" t="n">
        <v>45736</v>
      </c>
      <c r="D9543" t="inlineStr">
        <is>
          <t>VÄRMLANDS LÄN</t>
        </is>
      </c>
      <c r="E9543" t="inlineStr">
        <is>
          <t>KARLSTAD</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17830-2023</t>
        </is>
      </c>
      <c r="B9544" s="1" t="n">
        <v>45037</v>
      </c>
      <c r="C9544" s="1" t="n">
        <v>45736</v>
      </c>
      <c r="D9544" t="inlineStr">
        <is>
          <t>VÄRMLANDS LÄN</t>
        </is>
      </c>
      <c r="E9544" t="inlineStr">
        <is>
          <t>SUNNE</t>
        </is>
      </c>
      <c r="G9544" t="n">
        <v>13.1</v>
      </c>
      <c r="H9544" t="n">
        <v>0</v>
      </c>
      <c r="I9544" t="n">
        <v>0</v>
      </c>
      <c r="J9544" t="n">
        <v>0</v>
      </c>
      <c r="K9544" t="n">
        <v>0</v>
      </c>
      <c r="L9544" t="n">
        <v>0</v>
      </c>
      <c r="M9544" t="n">
        <v>0</v>
      </c>
      <c r="N9544" t="n">
        <v>0</v>
      </c>
      <c r="O9544" t="n">
        <v>0</v>
      </c>
      <c r="P9544" t="n">
        <v>0</v>
      </c>
      <c r="Q9544" t="n">
        <v>0</v>
      </c>
      <c r="R9544" s="2" t="inlineStr"/>
    </row>
    <row r="9545" ht="15" customHeight="1">
      <c r="A9545" t="inlineStr">
        <is>
          <t>A 17806-2023</t>
        </is>
      </c>
      <c r="B9545" s="1" t="n">
        <v>45037</v>
      </c>
      <c r="C9545" s="1" t="n">
        <v>45736</v>
      </c>
      <c r="D9545" t="inlineStr">
        <is>
          <t>VÄRMLANDS LÄN</t>
        </is>
      </c>
      <c r="E9545" t="inlineStr">
        <is>
          <t>KIL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18039-2023</t>
        </is>
      </c>
      <c r="B9546" s="1" t="n">
        <v>45037</v>
      </c>
      <c r="C9546" s="1" t="n">
        <v>45736</v>
      </c>
      <c r="D9546" t="inlineStr">
        <is>
          <t>VÄRMLANDS LÄN</t>
        </is>
      </c>
      <c r="E9546" t="inlineStr">
        <is>
          <t>SÄFFLE</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17780-2023</t>
        </is>
      </c>
      <c r="B9547" s="1" t="n">
        <v>45037</v>
      </c>
      <c r="C9547" s="1" t="n">
        <v>45736</v>
      </c>
      <c r="D9547" t="inlineStr">
        <is>
          <t>VÄRMLANDS LÄN</t>
        </is>
      </c>
      <c r="E9547" t="inlineStr">
        <is>
          <t>EDA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17816-2023</t>
        </is>
      </c>
      <c r="B9548" s="1" t="n">
        <v>45037</v>
      </c>
      <c r="C9548" s="1" t="n">
        <v>45736</v>
      </c>
      <c r="D9548" t="inlineStr">
        <is>
          <t>VÄRMLANDS LÄN</t>
        </is>
      </c>
      <c r="E9548" t="inlineStr">
        <is>
          <t>KIL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17900-2023</t>
        </is>
      </c>
      <c r="B9549" s="1" t="n">
        <v>45037</v>
      </c>
      <c r="C9549" s="1" t="n">
        <v>45736</v>
      </c>
      <c r="D9549" t="inlineStr">
        <is>
          <t>VÄRMLANDS LÄN</t>
        </is>
      </c>
      <c r="E9549" t="inlineStr">
        <is>
          <t>KARLSTAD</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17892-2023</t>
        </is>
      </c>
      <c r="B9550" s="1" t="n">
        <v>45039</v>
      </c>
      <c r="C9550" s="1" t="n">
        <v>45736</v>
      </c>
      <c r="D9550" t="inlineStr">
        <is>
          <t>VÄRMLANDS LÄN</t>
        </is>
      </c>
      <c r="E9550" t="inlineStr">
        <is>
          <t>KARLSTAD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17898-2023</t>
        </is>
      </c>
      <c r="B9551" s="1" t="n">
        <v>45039</v>
      </c>
      <c r="C9551" s="1" t="n">
        <v>45736</v>
      </c>
      <c r="D9551" t="inlineStr">
        <is>
          <t>VÄRMLANDS LÄN</t>
        </is>
      </c>
      <c r="E9551" t="inlineStr">
        <is>
          <t>TORSBY</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17897-2023</t>
        </is>
      </c>
      <c r="B9552" s="1" t="n">
        <v>45039</v>
      </c>
      <c r="C9552" s="1" t="n">
        <v>45736</v>
      </c>
      <c r="D9552" t="inlineStr">
        <is>
          <t>VÄRMLANDS LÄN</t>
        </is>
      </c>
      <c r="E9552" t="inlineStr">
        <is>
          <t>TORSBY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17902-2023</t>
        </is>
      </c>
      <c r="B9553" s="1" t="n">
        <v>45039</v>
      </c>
      <c r="C9553" s="1" t="n">
        <v>45736</v>
      </c>
      <c r="D9553" t="inlineStr">
        <is>
          <t>VÄRMLANDS LÄN</t>
        </is>
      </c>
      <c r="E9553" t="inlineStr">
        <is>
          <t>ÅRJÄNG</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17890-2023</t>
        </is>
      </c>
      <c r="B9554" s="1" t="n">
        <v>45039</v>
      </c>
      <c r="C9554" s="1" t="n">
        <v>45736</v>
      </c>
      <c r="D9554" t="inlineStr">
        <is>
          <t>VÄRMLANDS LÄN</t>
        </is>
      </c>
      <c r="E9554" t="inlineStr">
        <is>
          <t>KARLSTAD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18034-2023</t>
        </is>
      </c>
      <c r="B9555" s="1" t="n">
        <v>45040</v>
      </c>
      <c r="C9555" s="1" t="n">
        <v>45736</v>
      </c>
      <c r="D9555" t="inlineStr">
        <is>
          <t>VÄRMLANDS LÄN</t>
        </is>
      </c>
      <c r="E9555" t="inlineStr">
        <is>
          <t>ARVIKA</t>
        </is>
      </c>
      <c r="F9555" t="inlineStr">
        <is>
          <t>Bergvik skog väst AB</t>
        </is>
      </c>
      <c r="G9555" t="n">
        <v>10.4</v>
      </c>
      <c r="H9555" t="n">
        <v>0</v>
      </c>
      <c r="I9555" t="n">
        <v>0</v>
      </c>
      <c r="J9555" t="n">
        <v>0</v>
      </c>
      <c r="K9555" t="n">
        <v>0</v>
      </c>
      <c r="L9555" t="n">
        <v>0</v>
      </c>
      <c r="M9555" t="n">
        <v>0</v>
      </c>
      <c r="N9555" t="n">
        <v>0</v>
      </c>
      <c r="O9555" t="n">
        <v>0</v>
      </c>
      <c r="P9555" t="n">
        <v>0</v>
      </c>
      <c r="Q9555" t="n">
        <v>0</v>
      </c>
      <c r="R9555" s="2" t="inlineStr"/>
    </row>
    <row r="9556" ht="15" customHeight="1">
      <c r="A9556" t="inlineStr">
        <is>
          <t>A 18057-2023</t>
        </is>
      </c>
      <c r="B9556" s="1" t="n">
        <v>45040</v>
      </c>
      <c r="C9556" s="1" t="n">
        <v>45736</v>
      </c>
      <c r="D9556" t="inlineStr">
        <is>
          <t>VÄRMLANDS LÄN</t>
        </is>
      </c>
      <c r="E9556" t="inlineStr">
        <is>
          <t>SUNNE</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18114-2023</t>
        </is>
      </c>
      <c r="B9557" s="1" t="n">
        <v>45040</v>
      </c>
      <c r="C9557" s="1" t="n">
        <v>45736</v>
      </c>
      <c r="D9557" t="inlineStr">
        <is>
          <t>VÄRMLANDS LÄN</t>
        </is>
      </c>
      <c r="E9557" t="inlineStr">
        <is>
          <t>SÄFFLE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18118-2023</t>
        </is>
      </c>
      <c r="B9558" s="1" t="n">
        <v>45040</v>
      </c>
      <c r="C9558" s="1" t="n">
        <v>45736</v>
      </c>
      <c r="D9558" t="inlineStr">
        <is>
          <t>VÄRMLANDS LÄN</t>
        </is>
      </c>
      <c r="E9558" t="inlineStr">
        <is>
          <t>SUNNE</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18122-2023</t>
        </is>
      </c>
      <c r="B9559" s="1" t="n">
        <v>45040</v>
      </c>
      <c r="C9559" s="1" t="n">
        <v>45736</v>
      </c>
      <c r="D9559" t="inlineStr">
        <is>
          <t>VÄRMLANDS LÄN</t>
        </is>
      </c>
      <c r="E9559" t="inlineStr">
        <is>
          <t>KRISTINEHAMN</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18127-2023</t>
        </is>
      </c>
      <c r="B9560" s="1" t="n">
        <v>45040</v>
      </c>
      <c r="C9560" s="1" t="n">
        <v>45736</v>
      </c>
      <c r="D9560" t="inlineStr">
        <is>
          <t>VÄRMLANDS LÄN</t>
        </is>
      </c>
      <c r="E9560" t="inlineStr">
        <is>
          <t>SUNNE</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18106-2023</t>
        </is>
      </c>
      <c r="B9561" s="1" t="n">
        <v>45040</v>
      </c>
      <c r="C9561" s="1" t="n">
        <v>45736</v>
      </c>
      <c r="D9561" t="inlineStr">
        <is>
          <t>VÄRMLANDS LÄN</t>
        </is>
      </c>
      <c r="E9561" t="inlineStr">
        <is>
          <t>SÄFFLE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18116-2023</t>
        </is>
      </c>
      <c r="B9562" s="1" t="n">
        <v>45040</v>
      </c>
      <c r="C9562" s="1" t="n">
        <v>45736</v>
      </c>
      <c r="D9562" t="inlineStr">
        <is>
          <t>VÄRMLANDS LÄN</t>
        </is>
      </c>
      <c r="E9562" t="inlineStr">
        <is>
          <t>SUNNE</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18129-2023</t>
        </is>
      </c>
      <c r="B9563" s="1" t="n">
        <v>45040</v>
      </c>
      <c r="C9563" s="1" t="n">
        <v>45736</v>
      </c>
      <c r="D9563" t="inlineStr">
        <is>
          <t>VÄRMLANDS LÄN</t>
        </is>
      </c>
      <c r="E9563" t="inlineStr">
        <is>
          <t>SUNNE</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17995-2023</t>
        </is>
      </c>
      <c r="B9564" s="1" t="n">
        <v>45040</v>
      </c>
      <c r="C9564" s="1" t="n">
        <v>45736</v>
      </c>
      <c r="D9564" t="inlineStr">
        <is>
          <t>VÄRMLANDS LÄN</t>
        </is>
      </c>
      <c r="E9564" t="inlineStr">
        <is>
          <t>KARLSTAD</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18059-2023</t>
        </is>
      </c>
      <c r="B9565" s="1" t="n">
        <v>45040</v>
      </c>
      <c r="C9565" s="1" t="n">
        <v>45736</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18119-2023</t>
        </is>
      </c>
      <c r="B9566" s="1" t="n">
        <v>45040</v>
      </c>
      <c r="C9566" s="1" t="n">
        <v>45736</v>
      </c>
      <c r="D9566" t="inlineStr">
        <is>
          <t>VÄRMLANDS LÄN</t>
        </is>
      </c>
      <c r="E9566" t="inlineStr">
        <is>
          <t>SUNNE</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18052-2023</t>
        </is>
      </c>
      <c r="B9567" s="1" t="n">
        <v>45040</v>
      </c>
      <c r="C9567" s="1" t="n">
        <v>45736</v>
      </c>
      <c r="D9567" t="inlineStr">
        <is>
          <t>VÄRMLANDS LÄN</t>
        </is>
      </c>
      <c r="E9567" t="inlineStr">
        <is>
          <t>SUNNE</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18056-2023</t>
        </is>
      </c>
      <c r="B9568" s="1" t="n">
        <v>45040</v>
      </c>
      <c r="C9568" s="1" t="n">
        <v>45736</v>
      </c>
      <c r="D9568" t="inlineStr">
        <is>
          <t>VÄRMLANDS LÄN</t>
        </is>
      </c>
      <c r="E9568" t="inlineStr">
        <is>
          <t>EDA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18076-2023</t>
        </is>
      </c>
      <c r="B9569" s="1" t="n">
        <v>45040</v>
      </c>
      <c r="C9569" s="1" t="n">
        <v>45736</v>
      </c>
      <c r="D9569" t="inlineStr">
        <is>
          <t>VÄRMLANDS LÄN</t>
        </is>
      </c>
      <c r="E9569" t="inlineStr">
        <is>
          <t>EDA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18108-2023</t>
        </is>
      </c>
      <c r="B9570" s="1" t="n">
        <v>45040</v>
      </c>
      <c r="C9570" s="1" t="n">
        <v>45736</v>
      </c>
      <c r="D9570" t="inlineStr">
        <is>
          <t>VÄRMLANDS LÄN</t>
        </is>
      </c>
      <c r="E9570" t="inlineStr">
        <is>
          <t>HAGFORS</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18117-2023</t>
        </is>
      </c>
      <c r="B9571" s="1" t="n">
        <v>45040</v>
      </c>
      <c r="C9571" s="1" t="n">
        <v>45736</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18121-2023</t>
        </is>
      </c>
      <c r="B9572" s="1" t="n">
        <v>45040</v>
      </c>
      <c r="C9572" s="1" t="n">
        <v>45736</v>
      </c>
      <c r="D9572" t="inlineStr">
        <is>
          <t>VÄRMLANDS LÄN</t>
        </is>
      </c>
      <c r="E9572" t="inlineStr">
        <is>
          <t>SUNNE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18130-2023</t>
        </is>
      </c>
      <c r="B9573" s="1" t="n">
        <v>45040</v>
      </c>
      <c r="C9573" s="1" t="n">
        <v>45736</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17912-2023</t>
        </is>
      </c>
      <c r="B9574" s="1" t="n">
        <v>45040</v>
      </c>
      <c r="C9574" s="1" t="n">
        <v>45736</v>
      </c>
      <c r="D9574" t="inlineStr">
        <is>
          <t>VÄRMLANDS LÄN</t>
        </is>
      </c>
      <c r="E9574" t="inlineStr">
        <is>
          <t>EDA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17963-2023</t>
        </is>
      </c>
      <c r="B9575" s="1" t="n">
        <v>45040</v>
      </c>
      <c r="C9575" s="1" t="n">
        <v>45736</v>
      </c>
      <c r="D9575" t="inlineStr">
        <is>
          <t>VÄRMLANDS LÄN</t>
        </is>
      </c>
      <c r="E9575" t="inlineStr">
        <is>
          <t>ARVIKA</t>
        </is>
      </c>
      <c r="F9575" t="inlineStr">
        <is>
          <t>Bergvik skog väst AB</t>
        </is>
      </c>
      <c r="G9575" t="n">
        <v>19.6</v>
      </c>
      <c r="H9575" t="n">
        <v>0</v>
      </c>
      <c r="I9575" t="n">
        <v>0</v>
      </c>
      <c r="J9575" t="n">
        <v>0</v>
      </c>
      <c r="K9575" t="n">
        <v>0</v>
      </c>
      <c r="L9575" t="n">
        <v>0</v>
      </c>
      <c r="M9575" t="n">
        <v>0</v>
      </c>
      <c r="N9575" t="n">
        <v>0</v>
      </c>
      <c r="O9575" t="n">
        <v>0</v>
      </c>
      <c r="P9575" t="n">
        <v>0</v>
      </c>
      <c r="Q9575" t="n">
        <v>0</v>
      </c>
      <c r="R9575" s="2" t="inlineStr"/>
    </row>
    <row r="9576" ht="15" customHeight="1">
      <c r="A9576" t="inlineStr">
        <is>
          <t>A 17991-2023</t>
        </is>
      </c>
      <c r="B9576" s="1" t="n">
        <v>45040</v>
      </c>
      <c r="C9576" s="1" t="n">
        <v>45736</v>
      </c>
      <c r="D9576" t="inlineStr">
        <is>
          <t>VÄRMLANDS LÄN</t>
        </is>
      </c>
      <c r="E9576" t="inlineStr">
        <is>
          <t>KARLSTAD</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18228-2023</t>
        </is>
      </c>
      <c r="B9577" s="1" t="n">
        <v>45040</v>
      </c>
      <c r="C9577" s="1" t="n">
        <v>45736</v>
      </c>
      <c r="D9577" t="inlineStr">
        <is>
          <t>VÄRMLANDS LÄN</t>
        </is>
      </c>
      <c r="E9577" t="inlineStr">
        <is>
          <t>SÄFFLE</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18181-2023</t>
        </is>
      </c>
      <c r="B9578" s="1" t="n">
        <v>45040</v>
      </c>
      <c r="C9578" s="1" t="n">
        <v>45736</v>
      </c>
      <c r="D9578" t="inlineStr">
        <is>
          <t>VÄRMLANDS LÄN</t>
        </is>
      </c>
      <c r="E9578" t="inlineStr">
        <is>
          <t>FILIPSTAD</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18222-2023</t>
        </is>
      </c>
      <c r="B9579" s="1" t="n">
        <v>45040</v>
      </c>
      <c r="C9579" s="1" t="n">
        <v>45736</v>
      </c>
      <c r="D9579" t="inlineStr">
        <is>
          <t>VÄRMLANDS LÄN</t>
        </is>
      </c>
      <c r="E9579" t="inlineStr">
        <is>
          <t>SÄFFLE</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18344-2023</t>
        </is>
      </c>
      <c r="B9580" s="1" t="n">
        <v>45040</v>
      </c>
      <c r="C9580" s="1" t="n">
        <v>45736</v>
      </c>
      <c r="D9580" t="inlineStr">
        <is>
          <t>VÄRMLANDS LÄN</t>
        </is>
      </c>
      <c r="E9580" t="inlineStr">
        <is>
          <t>SÄFFLE</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18178-2023</t>
        </is>
      </c>
      <c r="B9581" s="1" t="n">
        <v>45041</v>
      </c>
      <c r="C9581" s="1" t="n">
        <v>45736</v>
      </c>
      <c r="D9581" t="inlineStr">
        <is>
          <t>VÄRMLANDS LÄN</t>
        </is>
      </c>
      <c r="E9581" t="inlineStr">
        <is>
          <t>SUNNE</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18183-2023</t>
        </is>
      </c>
      <c r="B9582" s="1" t="n">
        <v>45041</v>
      </c>
      <c r="C9582" s="1" t="n">
        <v>45736</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18191-2023</t>
        </is>
      </c>
      <c r="B9583" s="1" t="n">
        <v>45041</v>
      </c>
      <c r="C9583" s="1" t="n">
        <v>45736</v>
      </c>
      <c r="D9583" t="inlineStr">
        <is>
          <t>VÄRMLANDS LÄN</t>
        </is>
      </c>
      <c r="E9583" t="inlineStr">
        <is>
          <t>ARVIKA</t>
        </is>
      </c>
      <c r="F9583" t="inlineStr">
        <is>
          <t>Bergvik skog väst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18244-2023</t>
        </is>
      </c>
      <c r="B9584" s="1" t="n">
        <v>45041</v>
      </c>
      <c r="C9584" s="1" t="n">
        <v>45736</v>
      </c>
      <c r="D9584" t="inlineStr">
        <is>
          <t>VÄRMLANDS LÄN</t>
        </is>
      </c>
      <c r="E9584" t="inlineStr">
        <is>
          <t>TORSBY</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18287-2023</t>
        </is>
      </c>
      <c r="B9585" s="1" t="n">
        <v>45041</v>
      </c>
      <c r="C9585" s="1" t="n">
        <v>45736</v>
      </c>
      <c r="D9585" t="inlineStr">
        <is>
          <t>VÄRMLANDS LÄN</t>
        </is>
      </c>
      <c r="E9585" t="inlineStr">
        <is>
          <t>HAGFORS</t>
        </is>
      </c>
      <c r="F9585" t="inlineStr">
        <is>
          <t>Bergvik skog väst AB</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18210-2023</t>
        </is>
      </c>
      <c r="B9586" s="1" t="n">
        <v>45041</v>
      </c>
      <c r="C9586" s="1" t="n">
        <v>45736</v>
      </c>
      <c r="D9586" t="inlineStr">
        <is>
          <t>VÄRMLANDS LÄN</t>
        </is>
      </c>
      <c r="E9586" t="inlineStr">
        <is>
          <t>ÅRJÄNG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18215-2023</t>
        </is>
      </c>
      <c r="B9587" s="1" t="n">
        <v>45041</v>
      </c>
      <c r="C9587" s="1" t="n">
        <v>45736</v>
      </c>
      <c r="D9587" t="inlineStr">
        <is>
          <t>VÄRMLANDS LÄN</t>
        </is>
      </c>
      <c r="E9587" t="inlineStr">
        <is>
          <t>HAGFORS</t>
        </is>
      </c>
      <c r="F9587" t="inlineStr">
        <is>
          <t>Kyrkan</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18220-2023</t>
        </is>
      </c>
      <c r="B9588" s="1" t="n">
        <v>45041</v>
      </c>
      <c r="C9588" s="1" t="n">
        <v>45736</v>
      </c>
      <c r="D9588" t="inlineStr">
        <is>
          <t>VÄRMLANDS LÄN</t>
        </is>
      </c>
      <c r="E9588" t="inlineStr">
        <is>
          <t>SUNNE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18179-2023</t>
        </is>
      </c>
      <c r="B9589" s="1" t="n">
        <v>45041</v>
      </c>
      <c r="C9589" s="1" t="n">
        <v>45736</v>
      </c>
      <c r="D9589" t="inlineStr">
        <is>
          <t>VÄRMLANDS LÄN</t>
        </is>
      </c>
      <c r="E9589" t="inlineStr">
        <is>
          <t>SUNNE</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18255-2023</t>
        </is>
      </c>
      <c r="B9590" s="1" t="n">
        <v>45041</v>
      </c>
      <c r="C9590" s="1" t="n">
        <v>45736</v>
      </c>
      <c r="D9590" t="inlineStr">
        <is>
          <t>VÄRMLANDS LÄN</t>
        </is>
      </c>
      <c r="E9590" t="inlineStr">
        <is>
          <t>HAGFORS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18260-2023</t>
        </is>
      </c>
      <c r="B9591" s="1" t="n">
        <v>45041</v>
      </c>
      <c r="C9591" s="1" t="n">
        <v>45736</v>
      </c>
      <c r="D9591" t="inlineStr">
        <is>
          <t>VÄRMLANDS LÄN</t>
        </is>
      </c>
      <c r="E9591" t="inlineStr">
        <is>
          <t>ÅRJÄNG</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18299-2023</t>
        </is>
      </c>
      <c r="B9592" s="1" t="n">
        <v>45041</v>
      </c>
      <c r="C9592" s="1" t="n">
        <v>45736</v>
      </c>
      <c r="D9592" t="inlineStr">
        <is>
          <t>VÄRMLANDS LÄN</t>
        </is>
      </c>
      <c r="E9592" t="inlineStr">
        <is>
          <t>SÄFFLE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18318-2023</t>
        </is>
      </c>
      <c r="B9593" s="1" t="n">
        <v>45041</v>
      </c>
      <c r="C9593" s="1" t="n">
        <v>45736</v>
      </c>
      <c r="D9593" t="inlineStr">
        <is>
          <t>VÄRMLANDS LÄN</t>
        </is>
      </c>
      <c r="E9593" t="inlineStr">
        <is>
          <t>KRISTINEHAMN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18338-2023</t>
        </is>
      </c>
      <c r="B9594" s="1" t="n">
        <v>45041</v>
      </c>
      <c r="C9594" s="1" t="n">
        <v>45736</v>
      </c>
      <c r="D9594" t="inlineStr">
        <is>
          <t>VÄRMLANDS LÄN</t>
        </is>
      </c>
      <c r="E9594" t="inlineStr">
        <is>
          <t>TORSBY</t>
        </is>
      </c>
      <c r="F9594" t="inlineStr">
        <is>
          <t>Bergvik skog väst AB</t>
        </is>
      </c>
      <c r="G9594" t="n">
        <v>7.4</v>
      </c>
      <c r="H9594" t="n">
        <v>0</v>
      </c>
      <c r="I9594" t="n">
        <v>0</v>
      </c>
      <c r="J9594" t="n">
        <v>0</v>
      </c>
      <c r="K9594" t="n">
        <v>0</v>
      </c>
      <c r="L9594" t="n">
        <v>0</v>
      </c>
      <c r="M9594" t="n">
        <v>0</v>
      </c>
      <c r="N9594" t="n">
        <v>0</v>
      </c>
      <c r="O9594" t="n">
        <v>0</v>
      </c>
      <c r="P9594" t="n">
        <v>0</v>
      </c>
      <c r="Q9594" t="n">
        <v>0</v>
      </c>
      <c r="R9594" s="2" t="inlineStr"/>
    </row>
    <row r="9595" ht="15" customHeight="1">
      <c r="A9595" t="inlineStr">
        <is>
          <t>A 18313-2023</t>
        </is>
      </c>
      <c r="B9595" s="1" t="n">
        <v>45041</v>
      </c>
      <c r="C9595" s="1" t="n">
        <v>45736</v>
      </c>
      <c r="D9595" t="inlineStr">
        <is>
          <t>VÄRMLANDS LÄN</t>
        </is>
      </c>
      <c r="E9595" t="inlineStr">
        <is>
          <t>MUNKFORS</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18317-2023</t>
        </is>
      </c>
      <c r="B9596" s="1" t="n">
        <v>45041</v>
      </c>
      <c r="C9596" s="1" t="n">
        <v>45736</v>
      </c>
      <c r="D9596" t="inlineStr">
        <is>
          <t>VÄRMLANDS LÄN</t>
        </is>
      </c>
      <c r="E9596" t="inlineStr">
        <is>
          <t>KARLSTAD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18256-2023</t>
        </is>
      </c>
      <c r="B9597" s="1" t="n">
        <v>45041</v>
      </c>
      <c r="C9597" s="1" t="n">
        <v>45736</v>
      </c>
      <c r="D9597" t="inlineStr">
        <is>
          <t>VÄRMLANDS LÄN</t>
        </is>
      </c>
      <c r="E9597" t="inlineStr">
        <is>
          <t>FILIPSTAD</t>
        </is>
      </c>
      <c r="F9597" t="inlineStr">
        <is>
          <t>Bergvik skog väst AB</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18266-2023</t>
        </is>
      </c>
      <c r="B9598" s="1" t="n">
        <v>45041</v>
      </c>
      <c r="C9598" s="1" t="n">
        <v>45736</v>
      </c>
      <c r="D9598" t="inlineStr">
        <is>
          <t>VÄRMLANDS LÄN</t>
        </is>
      </c>
      <c r="E9598" t="inlineStr">
        <is>
          <t>ÅRJÄNG</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18271-2023</t>
        </is>
      </c>
      <c r="B9599" s="1" t="n">
        <v>45041</v>
      </c>
      <c r="C9599" s="1" t="n">
        <v>45736</v>
      </c>
      <c r="D9599" t="inlineStr">
        <is>
          <t>VÄRMLANDS LÄN</t>
        </is>
      </c>
      <c r="E9599" t="inlineStr">
        <is>
          <t>FORSHAGA</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18315-2023</t>
        </is>
      </c>
      <c r="B9600" s="1" t="n">
        <v>45041</v>
      </c>
      <c r="C9600" s="1" t="n">
        <v>45736</v>
      </c>
      <c r="D9600" t="inlineStr">
        <is>
          <t>VÄRMLANDS LÄN</t>
        </is>
      </c>
      <c r="E9600" t="inlineStr">
        <is>
          <t>KRISTINEHAMN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18319-2023</t>
        </is>
      </c>
      <c r="B9601" s="1" t="n">
        <v>45041</v>
      </c>
      <c r="C9601" s="1" t="n">
        <v>45736</v>
      </c>
      <c r="D9601" t="inlineStr">
        <is>
          <t>VÄRMLANDS LÄN</t>
        </is>
      </c>
      <c r="E9601" t="inlineStr">
        <is>
          <t>KRISTINEHAMN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18336-2023</t>
        </is>
      </c>
      <c r="B9602" s="1" t="n">
        <v>45041</v>
      </c>
      <c r="C9602" s="1" t="n">
        <v>45736</v>
      </c>
      <c r="D9602" t="inlineStr">
        <is>
          <t>VÄRMLANDS LÄN</t>
        </is>
      </c>
      <c r="E9602" t="inlineStr">
        <is>
          <t>KIL</t>
        </is>
      </c>
      <c r="F9602" t="inlineStr">
        <is>
          <t>Bergvik skog väst AB</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18341-2023</t>
        </is>
      </c>
      <c r="B9603" s="1" t="n">
        <v>45041</v>
      </c>
      <c r="C9603" s="1" t="n">
        <v>45736</v>
      </c>
      <c r="D9603" t="inlineStr">
        <is>
          <t>VÄRMLANDS LÄN</t>
        </is>
      </c>
      <c r="E9603" t="inlineStr">
        <is>
          <t>SÄFFLE</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18356-2023</t>
        </is>
      </c>
      <c r="B9604" s="1" t="n">
        <v>45041</v>
      </c>
      <c r="C9604" s="1" t="n">
        <v>45736</v>
      </c>
      <c r="D9604" t="inlineStr">
        <is>
          <t>VÄRMLANDS LÄN</t>
        </is>
      </c>
      <c r="E9604" t="inlineStr">
        <is>
          <t>KARLSTAD</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18345-2023</t>
        </is>
      </c>
      <c r="B9605" s="1" t="n">
        <v>45041</v>
      </c>
      <c r="C9605" s="1" t="n">
        <v>45736</v>
      </c>
      <c r="D9605" t="inlineStr">
        <is>
          <t>VÄRMLANDS LÄN</t>
        </is>
      </c>
      <c r="E9605" t="inlineStr">
        <is>
          <t>SÄFFLE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18544-2023</t>
        </is>
      </c>
      <c r="B9606" s="1" t="n">
        <v>45041</v>
      </c>
      <c r="C9606" s="1" t="n">
        <v>45736</v>
      </c>
      <c r="D9606" t="inlineStr">
        <is>
          <t>VÄRMLANDS LÄN</t>
        </is>
      </c>
      <c r="E9606" t="inlineStr">
        <is>
          <t>TORSBY</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18618-2023</t>
        </is>
      </c>
      <c r="B9607" s="1" t="n">
        <v>45041</v>
      </c>
      <c r="C9607" s="1" t="n">
        <v>45736</v>
      </c>
      <c r="D9607" t="inlineStr">
        <is>
          <t>VÄRMLANDS LÄN</t>
        </is>
      </c>
      <c r="E9607" t="inlineStr">
        <is>
          <t>EDA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18594-2023</t>
        </is>
      </c>
      <c r="B9608" s="1" t="n">
        <v>45041</v>
      </c>
      <c r="C9608" s="1" t="n">
        <v>45736</v>
      </c>
      <c r="D9608" t="inlineStr">
        <is>
          <t>VÄRMLANDS LÄN</t>
        </is>
      </c>
      <c r="E9608" t="inlineStr">
        <is>
          <t>EDA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18608-2023</t>
        </is>
      </c>
      <c r="B9609" s="1" t="n">
        <v>45041</v>
      </c>
      <c r="C9609" s="1" t="n">
        <v>45736</v>
      </c>
      <c r="D9609" t="inlineStr">
        <is>
          <t>VÄRMLANDS LÄN</t>
        </is>
      </c>
      <c r="E9609" t="inlineStr">
        <is>
          <t>EDA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18633-2023</t>
        </is>
      </c>
      <c r="B9610" s="1" t="n">
        <v>45041</v>
      </c>
      <c r="C9610" s="1" t="n">
        <v>45736</v>
      </c>
      <c r="D9610" t="inlineStr">
        <is>
          <t>VÄRMLANDS LÄN</t>
        </is>
      </c>
      <c r="E9610" t="inlineStr">
        <is>
          <t>KARLSTAD</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18625-2023</t>
        </is>
      </c>
      <c r="B9611" s="1" t="n">
        <v>45041</v>
      </c>
      <c r="C9611" s="1" t="n">
        <v>45736</v>
      </c>
      <c r="D9611" t="inlineStr">
        <is>
          <t>VÄRMLANDS LÄN</t>
        </is>
      </c>
      <c r="E9611" t="inlineStr">
        <is>
          <t>KARLSTAD</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18387-2023</t>
        </is>
      </c>
      <c r="B9612" s="1" t="n">
        <v>45042</v>
      </c>
      <c r="C9612" s="1" t="n">
        <v>45736</v>
      </c>
      <c r="D9612" t="inlineStr">
        <is>
          <t>VÄRMLANDS LÄN</t>
        </is>
      </c>
      <c r="E9612" t="inlineStr">
        <is>
          <t>ARVIKA</t>
        </is>
      </c>
      <c r="F9612" t="inlineStr">
        <is>
          <t>Kyrkan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18411-2023</t>
        </is>
      </c>
      <c r="B9613" s="1" t="n">
        <v>45042</v>
      </c>
      <c r="C9613" s="1" t="n">
        <v>45736</v>
      </c>
      <c r="D9613" t="inlineStr">
        <is>
          <t>VÄRMLANDS LÄN</t>
        </is>
      </c>
      <c r="E9613" t="inlineStr">
        <is>
          <t>TORSBY</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18503-2023</t>
        </is>
      </c>
      <c r="B9614" s="1" t="n">
        <v>45042</v>
      </c>
      <c r="C9614" s="1" t="n">
        <v>45736</v>
      </c>
      <c r="D9614" t="inlineStr">
        <is>
          <t>VÄRMLANDS LÄN</t>
        </is>
      </c>
      <c r="E9614" t="inlineStr">
        <is>
          <t>FORSHAGA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18392-2023</t>
        </is>
      </c>
      <c r="B9615" s="1" t="n">
        <v>45042</v>
      </c>
      <c r="C9615" s="1" t="n">
        <v>45736</v>
      </c>
      <c r="D9615" t="inlineStr">
        <is>
          <t>VÄRMLANDS LÄN</t>
        </is>
      </c>
      <c r="E9615" t="inlineStr">
        <is>
          <t>SUNNE</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18419-2023</t>
        </is>
      </c>
      <c r="B9616" s="1" t="n">
        <v>45042</v>
      </c>
      <c r="C9616" s="1" t="n">
        <v>45736</v>
      </c>
      <c r="D9616" t="inlineStr">
        <is>
          <t>VÄRMLANDS LÄN</t>
        </is>
      </c>
      <c r="E9616" t="inlineStr">
        <is>
          <t>EDA</t>
        </is>
      </c>
      <c r="F9616" t="inlineStr">
        <is>
          <t>Bergvik skog väst AB</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18442-2023</t>
        </is>
      </c>
      <c r="B9617" s="1" t="n">
        <v>45042</v>
      </c>
      <c r="C9617" s="1" t="n">
        <v>45736</v>
      </c>
      <c r="D9617" t="inlineStr">
        <is>
          <t>VÄRMLANDS LÄN</t>
        </is>
      </c>
      <c r="E9617" t="inlineStr">
        <is>
          <t>SUNNE</t>
        </is>
      </c>
      <c r="G9617" t="n">
        <v>10.8</v>
      </c>
      <c r="H9617" t="n">
        <v>0</v>
      </c>
      <c r="I9617" t="n">
        <v>0</v>
      </c>
      <c r="J9617" t="n">
        <v>0</v>
      </c>
      <c r="K9617" t="n">
        <v>0</v>
      </c>
      <c r="L9617" t="n">
        <v>0</v>
      </c>
      <c r="M9617" t="n">
        <v>0</v>
      </c>
      <c r="N9617" t="n">
        <v>0</v>
      </c>
      <c r="O9617" t="n">
        <v>0</v>
      </c>
      <c r="P9617" t="n">
        <v>0</v>
      </c>
      <c r="Q9617" t="n">
        <v>0</v>
      </c>
      <c r="R9617" s="2" t="inlineStr"/>
    </row>
    <row r="9618" ht="15" customHeight="1">
      <c r="A9618" t="inlineStr">
        <is>
          <t>A 18515-2023</t>
        </is>
      </c>
      <c r="B9618" s="1" t="n">
        <v>45042</v>
      </c>
      <c r="C9618" s="1" t="n">
        <v>45736</v>
      </c>
      <c r="D9618" t="inlineStr">
        <is>
          <t>VÄRMLANDS LÄN</t>
        </is>
      </c>
      <c r="E9618" t="inlineStr">
        <is>
          <t>EDA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18651-2023</t>
        </is>
      </c>
      <c r="B9619" s="1" t="n">
        <v>45043</v>
      </c>
      <c r="C9619" s="1" t="n">
        <v>45736</v>
      </c>
      <c r="D9619" t="inlineStr">
        <is>
          <t>VÄRMLANDS LÄN</t>
        </is>
      </c>
      <c r="E9619" t="inlineStr">
        <is>
          <t>ARVIKA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18694-2023</t>
        </is>
      </c>
      <c r="B9620" s="1" t="n">
        <v>45043</v>
      </c>
      <c r="C9620" s="1" t="n">
        <v>45736</v>
      </c>
      <c r="D9620" t="inlineStr">
        <is>
          <t>VÄRMLANDS LÄN</t>
        </is>
      </c>
      <c r="E9620" t="inlineStr">
        <is>
          <t>ARVIKA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18621-2023</t>
        </is>
      </c>
      <c r="B9621" s="1" t="n">
        <v>45043</v>
      </c>
      <c r="C9621" s="1" t="n">
        <v>45736</v>
      </c>
      <c r="D9621" t="inlineStr">
        <is>
          <t>VÄRMLANDS LÄN</t>
        </is>
      </c>
      <c r="E9621" t="inlineStr">
        <is>
          <t>TORSBY</t>
        </is>
      </c>
      <c r="F9621" t="inlineStr">
        <is>
          <t>Bergvik skog väst AB</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18630-2023</t>
        </is>
      </c>
      <c r="B9622" s="1" t="n">
        <v>45043</v>
      </c>
      <c r="C9622" s="1" t="n">
        <v>45736</v>
      </c>
      <c r="D9622" t="inlineStr">
        <is>
          <t>VÄRMLANDS LÄN</t>
        </is>
      </c>
      <c r="E9622" t="inlineStr">
        <is>
          <t>FILIPSTAD</t>
        </is>
      </c>
      <c r="F9622" t="inlineStr">
        <is>
          <t>Bergvik skog väst AB</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18675-2023</t>
        </is>
      </c>
      <c r="B9623" s="1" t="n">
        <v>45043</v>
      </c>
      <c r="C9623" s="1" t="n">
        <v>45736</v>
      </c>
      <c r="D9623" t="inlineStr">
        <is>
          <t>VÄRMLANDS LÄN</t>
        </is>
      </c>
      <c r="E9623" t="inlineStr">
        <is>
          <t>TORSBY</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18718-2023</t>
        </is>
      </c>
      <c r="B9624" s="1" t="n">
        <v>45043</v>
      </c>
      <c r="C9624" s="1" t="n">
        <v>45736</v>
      </c>
      <c r="D9624" t="inlineStr">
        <is>
          <t>VÄRMLANDS LÄN</t>
        </is>
      </c>
      <c r="E9624" t="inlineStr">
        <is>
          <t>ÅRJÄNG</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18796-2023</t>
        </is>
      </c>
      <c r="B9625" s="1" t="n">
        <v>45044</v>
      </c>
      <c r="C9625" s="1" t="n">
        <v>45736</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18823-2023</t>
        </is>
      </c>
      <c r="B9626" s="1" t="n">
        <v>45044</v>
      </c>
      <c r="C9626" s="1" t="n">
        <v>45736</v>
      </c>
      <c r="D9626" t="inlineStr">
        <is>
          <t>VÄRMLANDS LÄN</t>
        </is>
      </c>
      <c r="E9626" t="inlineStr">
        <is>
          <t>SUNNE</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18876-2023</t>
        </is>
      </c>
      <c r="B9627" s="1" t="n">
        <v>45044</v>
      </c>
      <c r="C9627" s="1" t="n">
        <v>45736</v>
      </c>
      <c r="D9627" t="inlineStr">
        <is>
          <t>VÄRMLANDS LÄN</t>
        </is>
      </c>
      <c r="E9627" t="inlineStr">
        <is>
          <t>TORSBY</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18903-2023</t>
        </is>
      </c>
      <c r="B9628" s="1" t="n">
        <v>45044</v>
      </c>
      <c r="C9628" s="1" t="n">
        <v>45736</v>
      </c>
      <c r="D9628" t="inlineStr">
        <is>
          <t>VÄRMLANDS LÄN</t>
        </is>
      </c>
      <c r="E9628" t="inlineStr">
        <is>
          <t>HAGFORS</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18921-2023</t>
        </is>
      </c>
      <c r="B9629" s="1" t="n">
        <v>45044</v>
      </c>
      <c r="C9629" s="1" t="n">
        <v>45736</v>
      </c>
      <c r="D9629" t="inlineStr">
        <is>
          <t>VÄRMLANDS LÄN</t>
        </is>
      </c>
      <c r="E9629" t="inlineStr">
        <is>
          <t>SUNNE</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18957-2023</t>
        </is>
      </c>
      <c r="B9630" s="1" t="n">
        <v>45044</v>
      </c>
      <c r="C9630" s="1" t="n">
        <v>45736</v>
      </c>
      <c r="D9630" t="inlineStr">
        <is>
          <t>VÄRMLANDS LÄN</t>
        </is>
      </c>
      <c r="E9630" t="inlineStr">
        <is>
          <t>KRISTINEHAMN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18953-2023</t>
        </is>
      </c>
      <c r="B9631" s="1" t="n">
        <v>45044</v>
      </c>
      <c r="C9631" s="1" t="n">
        <v>45736</v>
      </c>
      <c r="D9631" t="inlineStr">
        <is>
          <t>VÄRMLANDS LÄN</t>
        </is>
      </c>
      <c r="E9631" t="inlineStr">
        <is>
          <t>KRISTINEHAMN</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18959-2023</t>
        </is>
      </c>
      <c r="B9632" s="1" t="n">
        <v>45044</v>
      </c>
      <c r="C9632" s="1" t="n">
        <v>45736</v>
      </c>
      <c r="D9632" t="inlineStr">
        <is>
          <t>VÄRMLANDS LÄN</t>
        </is>
      </c>
      <c r="E9632" t="inlineStr">
        <is>
          <t>KRISTINEHAMN</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18963-2023</t>
        </is>
      </c>
      <c r="B9633" s="1" t="n">
        <v>45044</v>
      </c>
      <c r="C9633" s="1" t="n">
        <v>45736</v>
      </c>
      <c r="D9633" t="inlineStr">
        <is>
          <t>VÄRMLANDS LÄN</t>
        </is>
      </c>
      <c r="E9633" t="inlineStr">
        <is>
          <t>KRISTINEHAMN</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18954-2023</t>
        </is>
      </c>
      <c r="B9634" s="1" t="n">
        <v>45044</v>
      </c>
      <c r="C9634" s="1" t="n">
        <v>45736</v>
      </c>
      <c r="D9634" t="inlineStr">
        <is>
          <t>VÄRMLANDS LÄN</t>
        </is>
      </c>
      <c r="E9634" t="inlineStr">
        <is>
          <t>KRISTINEHAMN</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18851-2023</t>
        </is>
      </c>
      <c r="B9635" s="1" t="n">
        <v>45044</v>
      </c>
      <c r="C9635" s="1" t="n">
        <v>45736</v>
      </c>
      <c r="D9635" t="inlineStr">
        <is>
          <t>VÄRMLANDS LÄN</t>
        </is>
      </c>
      <c r="E9635" t="inlineStr">
        <is>
          <t>ARVIKA</t>
        </is>
      </c>
      <c r="F9635" t="inlineStr">
        <is>
          <t>Bergvik skog väst AB</t>
        </is>
      </c>
      <c r="G9635" t="n">
        <v>10.8</v>
      </c>
      <c r="H9635" t="n">
        <v>0</v>
      </c>
      <c r="I9635" t="n">
        <v>0</v>
      </c>
      <c r="J9635" t="n">
        <v>0</v>
      </c>
      <c r="K9635" t="n">
        <v>0</v>
      </c>
      <c r="L9635" t="n">
        <v>0</v>
      </c>
      <c r="M9635" t="n">
        <v>0</v>
      </c>
      <c r="N9635" t="n">
        <v>0</v>
      </c>
      <c r="O9635" t="n">
        <v>0</v>
      </c>
      <c r="P9635" t="n">
        <v>0</v>
      </c>
      <c r="Q9635" t="n">
        <v>0</v>
      </c>
      <c r="R9635" s="2" t="inlineStr"/>
    </row>
    <row r="9636" ht="15" customHeight="1">
      <c r="A9636" t="inlineStr">
        <is>
          <t>A 18911-2023</t>
        </is>
      </c>
      <c r="B9636" s="1" t="n">
        <v>45044</v>
      </c>
      <c r="C9636" s="1" t="n">
        <v>45736</v>
      </c>
      <c r="D9636" t="inlineStr">
        <is>
          <t>VÄRMLANDS LÄN</t>
        </is>
      </c>
      <c r="E9636" t="inlineStr">
        <is>
          <t>HAGFORS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18927-2023</t>
        </is>
      </c>
      <c r="B9637" s="1" t="n">
        <v>45044</v>
      </c>
      <c r="C9637" s="1" t="n">
        <v>45736</v>
      </c>
      <c r="D9637" t="inlineStr">
        <is>
          <t>VÄRMLANDS LÄN</t>
        </is>
      </c>
      <c r="E9637" t="inlineStr">
        <is>
          <t>HAGFORS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18961-2023</t>
        </is>
      </c>
      <c r="B9638" s="1" t="n">
        <v>45044</v>
      </c>
      <c r="C9638" s="1" t="n">
        <v>45736</v>
      </c>
      <c r="D9638" t="inlineStr">
        <is>
          <t>VÄRMLANDS LÄN</t>
        </is>
      </c>
      <c r="E9638" t="inlineStr">
        <is>
          <t>KRISTINEHAMN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19188-2023</t>
        </is>
      </c>
      <c r="B9639" s="1" t="n">
        <v>45044</v>
      </c>
      <c r="C9639" s="1" t="n">
        <v>45736</v>
      </c>
      <c r="D9639" t="inlineStr">
        <is>
          <t>VÄRMLANDS LÄN</t>
        </is>
      </c>
      <c r="E9639" t="inlineStr">
        <is>
          <t>SÄFFLE</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19166-2023</t>
        </is>
      </c>
      <c r="B9640" s="1" t="n">
        <v>45044</v>
      </c>
      <c r="C9640" s="1" t="n">
        <v>45736</v>
      </c>
      <c r="D9640" t="inlineStr">
        <is>
          <t>VÄRMLANDS LÄN</t>
        </is>
      </c>
      <c r="E9640" t="inlineStr">
        <is>
          <t>KARLSTAD</t>
        </is>
      </c>
      <c r="F9640" t="inlineStr">
        <is>
          <t>Övriga statliga verk och myndigheter</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19011-2023</t>
        </is>
      </c>
      <c r="B9641" s="1" t="n">
        <v>45045</v>
      </c>
      <c r="C9641" s="1" t="n">
        <v>45736</v>
      </c>
      <c r="D9641" t="inlineStr">
        <is>
          <t>VÄRMLANDS LÄN</t>
        </is>
      </c>
      <c r="E9641" t="inlineStr">
        <is>
          <t>SUNNE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19042-2023</t>
        </is>
      </c>
      <c r="B9642" s="1" t="n">
        <v>45047</v>
      </c>
      <c r="C9642" s="1" t="n">
        <v>45736</v>
      </c>
      <c r="D9642" t="inlineStr">
        <is>
          <t>VÄRMLANDS LÄN</t>
        </is>
      </c>
      <c r="E9642" t="inlineStr">
        <is>
          <t>TORSBY</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19052-2023</t>
        </is>
      </c>
      <c r="B9643" s="1" t="n">
        <v>45047</v>
      </c>
      <c r="C9643" s="1" t="n">
        <v>45736</v>
      </c>
      <c r="D9643" t="inlineStr">
        <is>
          <t>VÄRMLANDS LÄN</t>
        </is>
      </c>
      <c r="E9643" t="inlineStr">
        <is>
          <t>ÅRJÄNG</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19069-2023</t>
        </is>
      </c>
      <c r="B9644" s="1" t="n">
        <v>45048</v>
      </c>
      <c r="C9644" s="1" t="n">
        <v>45736</v>
      </c>
      <c r="D9644" t="inlineStr">
        <is>
          <t>VÄRMLANDS LÄN</t>
        </is>
      </c>
      <c r="E9644" t="inlineStr">
        <is>
          <t>FORSHAGA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19143-2023</t>
        </is>
      </c>
      <c r="B9645" s="1" t="n">
        <v>45048</v>
      </c>
      <c r="C9645" s="1" t="n">
        <v>45736</v>
      </c>
      <c r="D9645" t="inlineStr">
        <is>
          <t>VÄRMLANDS LÄN</t>
        </is>
      </c>
      <c r="E9645" t="inlineStr">
        <is>
          <t>KARLSTAD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19080-2023</t>
        </is>
      </c>
      <c r="B9646" s="1" t="n">
        <v>45048</v>
      </c>
      <c r="C9646" s="1" t="n">
        <v>45736</v>
      </c>
      <c r="D9646" t="inlineStr">
        <is>
          <t>VÄRMLANDS LÄN</t>
        </is>
      </c>
      <c r="E9646" t="inlineStr">
        <is>
          <t>GRUMS</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19088-2023</t>
        </is>
      </c>
      <c r="B9647" s="1" t="n">
        <v>45048</v>
      </c>
      <c r="C9647" s="1" t="n">
        <v>45736</v>
      </c>
      <c r="D9647" t="inlineStr">
        <is>
          <t>VÄRMLANDS LÄN</t>
        </is>
      </c>
      <c r="E9647" t="inlineStr">
        <is>
          <t>GRUMS</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19207-2023</t>
        </is>
      </c>
      <c r="B9648" s="1" t="n">
        <v>45048</v>
      </c>
      <c r="C9648" s="1" t="n">
        <v>45736</v>
      </c>
      <c r="D9648" t="inlineStr">
        <is>
          <t>VÄRMLANDS LÄN</t>
        </is>
      </c>
      <c r="E9648" t="inlineStr">
        <is>
          <t>ARVIKA</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19173-2023</t>
        </is>
      </c>
      <c r="B9649" s="1" t="n">
        <v>45048</v>
      </c>
      <c r="C9649" s="1" t="n">
        <v>45736</v>
      </c>
      <c r="D9649" t="inlineStr">
        <is>
          <t>VÄRMLANDS LÄN</t>
        </is>
      </c>
      <c r="E9649" t="inlineStr">
        <is>
          <t>SUNNE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19313-2023</t>
        </is>
      </c>
      <c r="B9650" s="1" t="n">
        <v>45049</v>
      </c>
      <c r="C9650" s="1" t="n">
        <v>45736</v>
      </c>
      <c r="D9650" t="inlineStr">
        <is>
          <t>VÄRMLANDS LÄN</t>
        </is>
      </c>
      <c r="E9650" t="inlineStr">
        <is>
          <t>ÅRJÄNG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19323-2023</t>
        </is>
      </c>
      <c r="B9651" s="1" t="n">
        <v>45049</v>
      </c>
      <c r="C9651" s="1" t="n">
        <v>45736</v>
      </c>
      <c r="D9651" t="inlineStr">
        <is>
          <t>VÄRMLANDS LÄN</t>
        </is>
      </c>
      <c r="E9651" t="inlineStr">
        <is>
          <t>FORSHAGA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19292-2023</t>
        </is>
      </c>
      <c r="B9652" s="1" t="n">
        <v>45049</v>
      </c>
      <c r="C9652" s="1" t="n">
        <v>45736</v>
      </c>
      <c r="D9652" t="inlineStr">
        <is>
          <t>VÄRMLANDS LÄN</t>
        </is>
      </c>
      <c r="E9652" t="inlineStr">
        <is>
          <t>KARLSTAD</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19327-2023</t>
        </is>
      </c>
      <c r="B9653" s="1" t="n">
        <v>45049</v>
      </c>
      <c r="C9653" s="1" t="n">
        <v>45736</v>
      </c>
      <c r="D9653" t="inlineStr">
        <is>
          <t>VÄRMLANDS LÄN</t>
        </is>
      </c>
      <c r="E9653" t="inlineStr">
        <is>
          <t>FORSHAGA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19347-2023</t>
        </is>
      </c>
      <c r="B9654" s="1" t="n">
        <v>45049</v>
      </c>
      <c r="C9654" s="1" t="n">
        <v>45736</v>
      </c>
      <c r="D9654" t="inlineStr">
        <is>
          <t>VÄRMLANDS LÄN</t>
        </is>
      </c>
      <c r="E9654" t="inlineStr">
        <is>
          <t>EDA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19291-2023</t>
        </is>
      </c>
      <c r="B9655" s="1" t="n">
        <v>45049</v>
      </c>
      <c r="C9655" s="1" t="n">
        <v>45736</v>
      </c>
      <c r="D9655" t="inlineStr">
        <is>
          <t>VÄRMLANDS LÄN</t>
        </is>
      </c>
      <c r="E9655" t="inlineStr">
        <is>
          <t>KARLSTAD</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19400-2023</t>
        </is>
      </c>
      <c r="B9656" s="1" t="n">
        <v>45049</v>
      </c>
      <c r="C9656" s="1" t="n">
        <v>45736</v>
      </c>
      <c r="D9656" t="inlineStr">
        <is>
          <t>VÄRMLANDS LÄN</t>
        </is>
      </c>
      <c r="E9656" t="inlineStr">
        <is>
          <t>ARVIKA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19561-2023</t>
        </is>
      </c>
      <c r="B9657" s="1" t="n">
        <v>45049</v>
      </c>
      <c r="C9657" s="1" t="n">
        <v>45736</v>
      </c>
      <c r="D9657" t="inlineStr">
        <is>
          <t>VÄRMLANDS LÄN</t>
        </is>
      </c>
      <c r="E9657" t="inlineStr">
        <is>
          <t>GRUMS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19293-2023</t>
        </is>
      </c>
      <c r="B9658" s="1" t="n">
        <v>45049</v>
      </c>
      <c r="C9658" s="1" t="n">
        <v>45736</v>
      </c>
      <c r="D9658" t="inlineStr">
        <is>
          <t>VÄRMLANDS LÄN</t>
        </is>
      </c>
      <c r="E9658" t="inlineStr">
        <is>
          <t>EDA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19364-2023</t>
        </is>
      </c>
      <c r="B9659" s="1" t="n">
        <v>45049</v>
      </c>
      <c r="C9659" s="1" t="n">
        <v>45736</v>
      </c>
      <c r="D9659" t="inlineStr">
        <is>
          <t>VÄRMLANDS LÄN</t>
        </is>
      </c>
      <c r="E9659" t="inlineStr">
        <is>
          <t>ARVIKA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19376-2023</t>
        </is>
      </c>
      <c r="B9660" s="1" t="n">
        <v>45049</v>
      </c>
      <c r="C9660" s="1" t="n">
        <v>45736</v>
      </c>
      <c r="D9660" t="inlineStr">
        <is>
          <t>VÄRMLANDS LÄN</t>
        </is>
      </c>
      <c r="E9660" t="inlineStr">
        <is>
          <t>EDA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19566-2023</t>
        </is>
      </c>
      <c r="B9661" s="1" t="n">
        <v>45049</v>
      </c>
      <c r="C9661" s="1" t="n">
        <v>45736</v>
      </c>
      <c r="D9661" t="inlineStr">
        <is>
          <t>VÄRMLANDS LÄN</t>
        </is>
      </c>
      <c r="E9661" t="inlineStr">
        <is>
          <t>GRUMS</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19448-2023</t>
        </is>
      </c>
      <c r="B9662" s="1" t="n">
        <v>45050</v>
      </c>
      <c r="C9662" s="1" t="n">
        <v>45736</v>
      </c>
      <c r="D9662" t="inlineStr">
        <is>
          <t>VÄRMLANDS LÄN</t>
        </is>
      </c>
      <c r="E9662" t="inlineStr">
        <is>
          <t>EDA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19506-2023</t>
        </is>
      </c>
      <c r="B9663" s="1" t="n">
        <v>45050</v>
      </c>
      <c r="C9663" s="1" t="n">
        <v>45736</v>
      </c>
      <c r="D9663" t="inlineStr">
        <is>
          <t>VÄRMLANDS LÄN</t>
        </is>
      </c>
      <c r="E9663" t="inlineStr">
        <is>
          <t>SÄFFLE</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19547-2023</t>
        </is>
      </c>
      <c r="B9664" s="1" t="n">
        <v>45050</v>
      </c>
      <c r="C9664" s="1" t="n">
        <v>45736</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19554-2023</t>
        </is>
      </c>
      <c r="B9665" s="1" t="n">
        <v>45050</v>
      </c>
      <c r="C9665" s="1" t="n">
        <v>45736</v>
      </c>
      <c r="D9665" t="inlineStr">
        <is>
          <t>VÄRMLANDS LÄN</t>
        </is>
      </c>
      <c r="E9665" t="inlineStr">
        <is>
          <t>SUNNE</t>
        </is>
      </c>
      <c r="F9665" t="inlineStr">
        <is>
          <t>Övriga Aktiebolag</t>
        </is>
      </c>
      <c r="G9665" t="n">
        <v>11.2</v>
      </c>
      <c r="H9665" t="n">
        <v>0</v>
      </c>
      <c r="I9665" t="n">
        <v>0</v>
      </c>
      <c r="J9665" t="n">
        <v>0</v>
      </c>
      <c r="K9665" t="n">
        <v>0</v>
      </c>
      <c r="L9665" t="n">
        <v>0</v>
      </c>
      <c r="M9665" t="n">
        <v>0</v>
      </c>
      <c r="N9665" t="n">
        <v>0</v>
      </c>
      <c r="O9665" t="n">
        <v>0</v>
      </c>
      <c r="P9665" t="n">
        <v>0</v>
      </c>
      <c r="Q9665" t="n">
        <v>0</v>
      </c>
      <c r="R9665" s="2" t="inlineStr"/>
    </row>
    <row r="9666" ht="15" customHeight="1">
      <c r="A9666" t="inlineStr">
        <is>
          <t>A 19463-2023</t>
        </is>
      </c>
      <c r="B9666" s="1" t="n">
        <v>45050</v>
      </c>
      <c r="C9666" s="1" t="n">
        <v>45736</v>
      </c>
      <c r="D9666" t="inlineStr">
        <is>
          <t>VÄRMLANDS LÄN</t>
        </is>
      </c>
      <c r="E9666" t="inlineStr">
        <is>
          <t>SUNNE</t>
        </is>
      </c>
      <c r="G9666" t="n">
        <v>12.6</v>
      </c>
      <c r="H9666" t="n">
        <v>0</v>
      </c>
      <c r="I9666" t="n">
        <v>0</v>
      </c>
      <c r="J9666" t="n">
        <v>0</v>
      </c>
      <c r="K9666" t="n">
        <v>0</v>
      </c>
      <c r="L9666" t="n">
        <v>0</v>
      </c>
      <c r="M9666" t="n">
        <v>0</v>
      </c>
      <c r="N9666" t="n">
        <v>0</v>
      </c>
      <c r="O9666" t="n">
        <v>0</v>
      </c>
      <c r="P9666" t="n">
        <v>0</v>
      </c>
      <c r="Q9666" t="n">
        <v>0</v>
      </c>
      <c r="R9666" s="2" t="inlineStr"/>
    </row>
    <row r="9667" ht="15" customHeight="1">
      <c r="A9667" t="inlineStr">
        <is>
          <t>A 19457-2023</t>
        </is>
      </c>
      <c r="B9667" s="1" t="n">
        <v>45050</v>
      </c>
      <c r="C9667" s="1" t="n">
        <v>45736</v>
      </c>
      <c r="D9667" t="inlineStr">
        <is>
          <t>VÄRMLANDS LÄN</t>
        </is>
      </c>
      <c r="E9667" t="inlineStr">
        <is>
          <t>SUNNE</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19508-2023</t>
        </is>
      </c>
      <c r="B9668" s="1" t="n">
        <v>45050</v>
      </c>
      <c r="C9668" s="1" t="n">
        <v>45736</v>
      </c>
      <c r="D9668" t="inlineStr">
        <is>
          <t>VÄRMLANDS LÄN</t>
        </is>
      </c>
      <c r="E9668" t="inlineStr">
        <is>
          <t>SÄFFLE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19497-2023</t>
        </is>
      </c>
      <c r="B9669" s="1" t="n">
        <v>45050</v>
      </c>
      <c r="C9669" s="1" t="n">
        <v>45736</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19528-2023</t>
        </is>
      </c>
      <c r="B9670" s="1" t="n">
        <v>45050</v>
      </c>
      <c r="C9670" s="1" t="n">
        <v>45736</v>
      </c>
      <c r="D9670" t="inlineStr">
        <is>
          <t>VÄRMLANDS LÄN</t>
        </is>
      </c>
      <c r="E9670" t="inlineStr">
        <is>
          <t>ARVIKA</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19518-2023</t>
        </is>
      </c>
      <c r="B9671" s="1" t="n">
        <v>45050</v>
      </c>
      <c r="C9671" s="1" t="n">
        <v>45736</v>
      </c>
      <c r="D9671" t="inlineStr">
        <is>
          <t>VÄRMLANDS LÄN</t>
        </is>
      </c>
      <c r="E9671" t="inlineStr">
        <is>
          <t>SÄFFLE</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19574-2023</t>
        </is>
      </c>
      <c r="B9672" s="1" t="n">
        <v>45050</v>
      </c>
      <c r="C9672" s="1" t="n">
        <v>45736</v>
      </c>
      <c r="D9672" t="inlineStr">
        <is>
          <t>VÄRMLANDS LÄN</t>
        </is>
      </c>
      <c r="E9672" t="inlineStr">
        <is>
          <t>ARVIKA</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19494-2023</t>
        </is>
      </c>
      <c r="B9673" s="1" t="n">
        <v>45050</v>
      </c>
      <c r="C9673" s="1" t="n">
        <v>45736</v>
      </c>
      <c r="D9673" t="inlineStr">
        <is>
          <t>VÄRMLANDS LÄN</t>
        </is>
      </c>
      <c r="E9673" t="inlineStr">
        <is>
          <t>SUNNE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19500-2023</t>
        </is>
      </c>
      <c r="B9674" s="1" t="n">
        <v>45050</v>
      </c>
      <c r="C9674" s="1" t="n">
        <v>45736</v>
      </c>
      <c r="D9674" t="inlineStr">
        <is>
          <t>VÄRMLANDS LÄN</t>
        </is>
      </c>
      <c r="E9674" t="inlineStr">
        <is>
          <t>SUNNE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19512-2023</t>
        </is>
      </c>
      <c r="B9675" s="1" t="n">
        <v>45050</v>
      </c>
      <c r="C9675" s="1" t="n">
        <v>45736</v>
      </c>
      <c r="D9675" t="inlineStr">
        <is>
          <t>VÄRMLANDS LÄN</t>
        </is>
      </c>
      <c r="E9675" t="inlineStr">
        <is>
          <t>SUNNE</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19527-2023</t>
        </is>
      </c>
      <c r="B9676" s="1" t="n">
        <v>45050</v>
      </c>
      <c r="C9676" s="1" t="n">
        <v>45736</v>
      </c>
      <c r="D9676" t="inlineStr">
        <is>
          <t>VÄRMLANDS LÄN</t>
        </is>
      </c>
      <c r="E9676" t="inlineStr">
        <is>
          <t>TORSBY</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19583-2023</t>
        </is>
      </c>
      <c r="B9677" s="1" t="n">
        <v>45050</v>
      </c>
      <c r="C9677" s="1" t="n">
        <v>45736</v>
      </c>
      <c r="D9677" t="inlineStr">
        <is>
          <t>VÄRMLANDS LÄN</t>
        </is>
      </c>
      <c r="E9677" t="inlineStr">
        <is>
          <t>HAGFORS</t>
        </is>
      </c>
      <c r="F9677" t="inlineStr">
        <is>
          <t>Kommuner</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19666-2023</t>
        </is>
      </c>
      <c r="B9678" s="1" t="n">
        <v>45051</v>
      </c>
      <c r="C9678" s="1" t="n">
        <v>45736</v>
      </c>
      <c r="D9678" t="inlineStr">
        <is>
          <t>VÄRMLANDS LÄN</t>
        </is>
      </c>
      <c r="E9678" t="inlineStr">
        <is>
          <t>KARLSTAD</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19720-2023</t>
        </is>
      </c>
      <c r="B9679" s="1" t="n">
        <v>45051</v>
      </c>
      <c r="C9679" s="1" t="n">
        <v>45736</v>
      </c>
      <c r="D9679" t="inlineStr">
        <is>
          <t>VÄRMLANDS LÄN</t>
        </is>
      </c>
      <c r="E9679" t="inlineStr">
        <is>
          <t>ARVIKA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19783-2023</t>
        </is>
      </c>
      <c r="B9680" s="1" t="n">
        <v>45051</v>
      </c>
      <c r="C9680" s="1" t="n">
        <v>45736</v>
      </c>
      <c r="D9680" t="inlineStr">
        <is>
          <t>VÄRMLANDS LÄN</t>
        </is>
      </c>
      <c r="E9680" t="inlineStr">
        <is>
          <t>HAGFORS</t>
        </is>
      </c>
      <c r="F9680" t="inlineStr">
        <is>
          <t>Kommuner</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19675-2023</t>
        </is>
      </c>
      <c r="B9681" s="1" t="n">
        <v>45051</v>
      </c>
      <c r="C9681" s="1" t="n">
        <v>45736</v>
      </c>
      <c r="D9681" t="inlineStr">
        <is>
          <t>VÄRMLANDS LÄN</t>
        </is>
      </c>
      <c r="E9681" t="inlineStr">
        <is>
          <t>TORSBY</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19800-2023</t>
        </is>
      </c>
      <c r="B9682" s="1" t="n">
        <v>45051</v>
      </c>
      <c r="C9682" s="1" t="n">
        <v>45736</v>
      </c>
      <c r="D9682" t="inlineStr">
        <is>
          <t>VÄRMLANDS LÄN</t>
        </is>
      </c>
      <c r="E9682" t="inlineStr">
        <is>
          <t>EDA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19714-2023</t>
        </is>
      </c>
      <c r="B9683" s="1" t="n">
        <v>45051</v>
      </c>
      <c r="C9683" s="1" t="n">
        <v>45736</v>
      </c>
      <c r="D9683" t="inlineStr">
        <is>
          <t>VÄRMLANDS LÄN</t>
        </is>
      </c>
      <c r="E9683" t="inlineStr">
        <is>
          <t>TORSBY</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19958-2023</t>
        </is>
      </c>
      <c r="B9684" s="1" t="n">
        <v>45051</v>
      </c>
      <c r="C9684" s="1" t="n">
        <v>45736</v>
      </c>
      <c r="D9684" t="inlineStr">
        <is>
          <t>VÄRMLANDS LÄN</t>
        </is>
      </c>
      <c r="E9684" t="inlineStr">
        <is>
          <t>ÅRJÄNG</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19964-2023</t>
        </is>
      </c>
      <c r="B9685" s="1" t="n">
        <v>45051</v>
      </c>
      <c r="C9685" s="1" t="n">
        <v>45736</v>
      </c>
      <c r="D9685" t="inlineStr">
        <is>
          <t>VÄRMLANDS LÄN</t>
        </is>
      </c>
      <c r="E9685" t="inlineStr">
        <is>
          <t>ÅRJÄNG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19970-2023</t>
        </is>
      </c>
      <c r="B9686" s="1" t="n">
        <v>45051</v>
      </c>
      <c r="C9686" s="1" t="n">
        <v>45736</v>
      </c>
      <c r="D9686" t="inlineStr">
        <is>
          <t>VÄRMLANDS LÄN</t>
        </is>
      </c>
      <c r="E9686" t="inlineStr">
        <is>
          <t>ÅRJÄNG</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19975-2023</t>
        </is>
      </c>
      <c r="B9687" s="1" t="n">
        <v>45051</v>
      </c>
      <c r="C9687" s="1" t="n">
        <v>45736</v>
      </c>
      <c r="D9687" t="inlineStr">
        <is>
          <t>VÄRMLANDS LÄN</t>
        </is>
      </c>
      <c r="E9687" t="inlineStr">
        <is>
          <t>ÅRJÄNG</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19835-2023</t>
        </is>
      </c>
      <c r="B9688" s="1" t="n">
        <v>45052</v>
      </c>
      <c r="C9688" s="1" t="n">
        <v>45736</v>
      </c>
      <c r="D9688" t="inlineStr">
        <is>
          <t>VÄRMLANDS LÄN</t>
        </is>
      </c>
      <c r="E9688" t="inlineStr">
        <is>
          <t>ÅRJÄNG</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19930-2023</t>
        </is>
      </c>
      <c r="B9689" s="1" t="n">
        <v>45054</v>
      </c>
      <c r="C9689" s="1" t="n">
        <v>45736</v>
      </c>
      <c r="D9689" t="inlineStr">
        <is>
          <t>VÄRMLANDS LÄN</t>
        </is>
      </c>
      <c r="E9689" t="inlineStr">
        <is>
          <t>EDA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20030-2023</t>
        </is>
      </c>
      <c r="B9690" s="1" t="n">
        <v>45054</v>
      </c>
      <c r="C9690" s="1" t="n">
        <v>45736</v>
      </c>
      <c r="D9690" t="inlineStr">
        <is>
          <t>VÄRMLANDS LÄN</t>
        </is>
      </c>
      <c r="E9690" t="inlineStr">
        <is>
          <t>SUNNE</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20040-2023</t>
        </is>
      </c>
      <c r="B9691" s="1" t="n">
        <v>45054</v>
      </c>
      <c r="C9691" s="1" t="n">
        <v>45736</v>
      </c>
      <c r="D9691" t="inlineStr">
        <is>
          <t>VÄRMLANDS LÄN</t>
        </is>
      </c>
      <c r="E9691" t="inlineStr">
        <is>
          <t>EDA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20049-2023</t>
        </is>
      </c>
      <c r="B9692" s="1" t="n">
        <v>45054</v>
      </c>
      <c r="C9692" s="1" t="n">
        <v>45736</v>
      </c>
      <c r="D9692" t="inlineStr">
        <is>
          <t>VÄRMLANDS LÄN</t>
        </is>
      </c>
      <c r="E9692" t="inlineStr">
        <is>
          <t>EDA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20003-2023</t>
        </is>
      </c>
      <c r="B9693" s="1" t="n">
        <v>45054</v>
      </c>
      <c r="C9693" s="1" t="n">
        <v>45736</v>
      </c>
      <c r="D9693" t="inlineStr">
        <is>
          <t>VÄRMLANDS LÄN</t>
        </is>
      </c>
      <c r="E9693" t="inlineStr">
        <is>
          <t>ARVIKA</t>
        </is>
      </c>
      <c r="F9693" t="inlineStr">
        <is>
          <t>Bergvik skog väst AB</t>
        </is>
      </c>
      <c r="G9693" t="n">
        <v>22.5</v>
      </c>
      <c r="H9693" t="n">
        <v>0</v>
      </c>
      <c r="I9693" t="n">
        <v>0</v>
      </c>
      <c r="J9693" t="n">
        <v>0</v>
      </c>
      <c r="K9693" t="n">
        <v>0</v>
      </c>
      <c r="L9693" t="n">
        <v>0</v>
      </c>
      <c r="M9693" t="n">
        <v>0</v>
      </c>
      <c r="N9693" t="n">
        <v>0</v>
      </c>
      <c r="O9693" t="n">
        <v>0</v>
      </c>
      <c r="P9693" t="n">
        <v>0</v>
      </c>
      <c r="Q9693" t="n">
        <v>0</v>
      </c>
      <c r="R9693" s="2" t="inlineStr"/>
    </row>
    <row r="9694" ht="15" customHeight="1">
      <c r="A9694" t="inlineStr">
        <is>
          <t>A 20028-2023</t>
        </is>
      </c>
      <c r="B9694" s="1" t="n">
        <v>45054</v>
      </c>
      <c r="C9694" s="1" t="n">
        <v>45736</v>
      </c>
      <c r="D9694" t="inlineStr">
        <is>
          <t>VÄRMLANDS LÄN</t>
        </is>
      </c>
      <c r="E9694" t="inlineStr">
        <is>
          <t>ÅRJÄNG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20055-2023</t>
        </is>
      </c>
      <c r="B9695" s="1" t="n">
        <v>45054</v>
      </c>
      <c r="C9695" s="1" t="n">
        <v>45736</v>
      </c>
      <c r="D9695" t="inlineStr">
        <is>
          <t>VÄRMLANDS LÄN</t>
        </is>
      </c>
      <c r="E9695" t="inlineStr">
        <is>
          <t>EDA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20060-2023</t>
        </is>
      </c>
      <c r="B9696" s="1" t="n">
        <v>45054</v>
      </c>
      <c r="C9696" s="1" t="n">
        <v>45736</v>
      </c>
      <c r="D9696" t="inlineStr">
        <is>
          <t>VÄRMLANDS LÄN</t>
        </is>
      </c>
      <c r="E9696" t="inlineStr">
        <is>
          <t>HAGFORS</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19998-2023</t>
        </is>
      </c>
      <c r="B9697" s="1" t="n">
        <v>45054</v>
      </c>
      <c r="C9697" s="1" t="n">
        <v>45736</v>
      </c>
      <c r="D9697" t="inlineStr">
        <is>
          <t>VÄRMLANDS LÄN</t>
        </is>
      </c>
      <c r="E9697" t="inlineStr">
        <is>
          <t>TORSBY</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20052-2023</t>
        </is>
      </c>
      <c r="B9698" s="1" t="n">
        <v>45054</v>
      </c>
      <c r="C9698" s="1" t="n">
        <v>45736</v>
      </c>
      <c r="D9698" t="inlineStr">
        <is>
          <t>VÄRMLANDS LÄN</t>
        </is>
      </c>
      <c r="E9698" t="inlineStr">
        <is>
          <t>EDA</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20056-2023</t>
        </is>
      </c>
      <c r="B9699" s="1" t="n">
        <v>45054</v>
      </c>
      <c r="C9699" s="1" t="n">
        <v>45736</v>
      </c>
      <c r="D9699" t="inlineStr">
        <is>
          <t>VÄRMLANDS LÄN</t>
        </is>
      </c>
      <c r="E9699" t="inlineStr">
        <is>
          <t>EDA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20061-2023</t>
        </is>
      </c>
      <c r="B9700" s="1" t="n">
        <v>45054</v>
      </c>
      <c r="C9700" s="1" t="n">
        <v>45736</v>
      </c>
      <c r="D9700" t="inlineStr">
        <is>
          <t>VÄRMLANDS LÄN</t>
        </is>
      </c>
      <c r="E9700" t="inlineStr">
        <is>
          <t>SUNNE</t>
        </is>
      </c>
      <c r="F9700" t="inlineStr">
        <is>
          <t>Övriga Aktiebolag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20130-2023</t>
        </is>
      </c>
      <c r="B9701" s="1" t="n">
        <v>45055</v>
      </c>
      <c r="C9701" s="1" t="n">
        <v>45736</v>
      </c>
      <c r="D9701" t="inlineStr">
        <is>
          <t>VÄRMLANDS LÄN</t>
        </is>
      </c>
      <c r="E9701" t="inlineStr">
        <is>
          <t>TORSBY</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20156-2023</t>
        </is>
      </c>
      <c r="B9702" s="1" t="n">
        <v>45055</v>
      </c>
      <c r="C9702" s="1" t="n">
        <v>45736</v>
      </c>
      <c r="D9702" t="inlineStr">
        <is>
          <t>VÄRMLANDS LÄN</t>
        </is>
      </c>
      <c r="E9702" t="inlineStr">
        <is>
          <t>SUNNE</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20107-2023</t>
        </is>
      </c>
      <c r="B9703" s="1" t="n">
        <v>45055</v>
      </c>
      <c r="C9703" s="1" t="n">
        <v>45736</v>
      </c>
      <c r="D9703" t="inlineStr">
        <is>
          <t>VÄRMLANDS LÄN</t>
        </is>
      </c>
      <c r="E9703" t="inlineStr">
        <is>
          <t>TORSBY</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20120-2023</t>
        </is>
      </c>
      <c r="B9704" s="1" t="n">
        <v>45055</v>
      </c>
      <c r="C9704" s="1" t="n">
        <v>45736</v>
      </c>
      <c r="D9704" t="inlineStr">
        <is>
          <t>VÄRMLANDS LÄN</t>
        </is>
      </c>
      <c r="E9704" t="inlineStr">
        <is>
          <t>TORSBY</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20127-2023</t>
        </is>
      </c>
      <c r="B9705" s="1" t="n">
        <v>45055</v>
      </c>
      <c r="C9705" s="1" t="n">
        <v>45736</v>
      </c>
      <c r="D9705" t="inlineStr">
        <is>
          <t>VÄRMLANDS LÄN</t>
        </is>
      </c>
      <c r="E9705" t="inlineStr">
        <is>
          <t>TORSBY</t>
        </is>
      </c>
      <c r="G9705" t="n">
        <v>12.3</v>
      </c>
      <c r="H9705" t="n">
        <v>0</v>
      </c>
      <c r="I9705" t="n">
        <v>0</v>
      </c>
      <c r="J9705" t="n">
        <v>0</v>
      </c>
      <c r="K9705" t="n">
        <v>0</v>
      </c>
      <c r="L9705" t="n">
        <v>0</v>
      </c>
      <c r="M9705" t="n">
        <v>0</v>
      </c>
      <c r="N9705" t="n">
        <v>0</v>
      </c>
      <c r="O9705" t="n">
        <v>0</v>
      </c>
      <c r="P9705" t="n">
        <v>0</v>
      </c>
      <c r="Q9705" t="n">
        <v>0</v>
      </c>
      <c r="R9705" s="2" t="inlineStr"/>
    </row>
    <row r="9706" ht="15" customHeight="1">
      <c r="A9706" t="inlineStr">
        <is>
          <t>A 20175-2023</t>
        </is>
      </c>
      <c r="B9706" s="1" t="n">
        <v>45055</v>
      </c>
      <c r="C9706" s="1" t="n">
        <v>45736</v>
      </c>
      <c r="D9706" t="inlineStr">
        <is>
          <t>VÄRMLANDS LÄN</t>
        </is>
      </c>
      <c r="E9706" t="inlineStr">
        <is>
          <t>SÄFFLE</t>
        </is>
      </c>
      <c r="F9706" t="inlineStr">
        <is>
          <t>Kommuner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20113-2023</t>
        </is>
      </c>
      <c r="B9707" s="1" t="n">
        <v>45055</v>
      </c>
      <c r="C9707" s="1" t="n">
        <v>45736</v>
      </c>
      <c r="D9707" t="inlineStr">
        <is>
          <t>VÄRMLANDS LÄN</t>
        </is>
      </c>
      <c r="E9707" t="inlineStr">
        <is>
          <t>HAGFORS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20154-2023</t>
        </is>
      </c>
      <c r="B9708" s="1" t="n">
        <v>45055</v>
      </c>
      <c r="C9708" s="1" t="n">
        <v>45736</v>
      </c>
      <c r="D9708" t="inlineStr">
        <is>
          <t>VÄRMLANDS LÄN</t>
        </is>
      </c>
      <c r="E9708" t="inlineStr">
        <is>
          <t>ÅRJÄNG</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20250-2023</t>
        </is>
      </c>
      <c r="B9709" s="1" t="n">
        <v>45055</v>
      </c>
      <c r="C9709" s="1" t="n">
        <v>45736</v>
      </c>
      <c r="D9709" t="inlineStr">
        <is>
          <t>VÄRMLANDS LÄN</t>
        </is>
      </c>
      <c r="E9709" t="inlineStr">
        <is>
          <t>STORFORS</t>
        </is>
      </c>
      <c r="F9709" t="inlineStr">
        <is>
          <t>Kyrkan</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20238-2023</t>
        </is>
      </c>
      <c r="B9710" s="1" t="n">
        <v>45055</v>
      </c>
      <c r="C9710" s="1" t="n">
        <v>45736</v>
      </c>
      <c r="D9710" t="inlineStr">
        <is>
          <t>VÄRMLANDS LÄN</t>
        </is>
      </c>
      <c r="E9710" t="inlineStr">
        <is>
          <t>EDA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20244-2023</t>
        </is>
      </c>
      <c r="B9711" s="1" t="n">
        <v>45055</v>
      </c>
      <c r="C9711" s="1" t="n">
        <v>45736</v>
      </c>
      <c r="D9711" t="inlineStr">
        <is>
          <t>VÄRMLANDS LÄN</t>
        </is>
      </c>
      <c r="E9711" t="inlineStr">
        <is>
          <t>FORSHAGA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20259-2023</t>
        </is>
      </c>
      <c r="B9712" s="1" t="n">
        <v>45055</v>
      </c>
      <c r="C9712" s="1" t="n">
        <v>45736</v>
      </c>
      <c r="D9712" t="inlineStr">
        <is>
          <t>VÄRMLANDS LÄN</t>
        </is>
      </c>
      <c r="E9712" t="inlineStr">
        <is>
          <t>SUNNE</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20262-2023</t>
        </is>
      </c>
      <c r="B9713" s="1" t="n">
        <v>45055</v>
      </c>
      <c r="C9713" s="1" t="n">
        <v>45736</v>
      </c>
      <c r="D9713" t="inlineStr">
        <is>
          <t>VÄRMLANDS LÄN</t>
        </is>
      </c>
      <c r="E9713" t="inlineStr">
        <is>
          <t>ARVIKA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20805-2023</t>
        </is>
      </c>
      <c r="B9714" s="1" t="n">
        <v>45055</v>
      </c>
      <c r="C9714" s="1" t="n">
        <v>45736</v>
      </c>
      <c r="D9714" t="inlineStr">
        <is>
          <t>VÄRMLANDS LÄN</t>
        </is>
      </c>
      <c r="E9714" t="inlineStr">
        <is>
          <t>TORSBY</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20293-2023</t>
        </is>
      </c>
      <c r="B9715" s="1" t="n">
        <v>45056</v>
      </c>
      <c r="C9715" s="1" t="n">
        <v>45736</v>
      </c>
      <c r="D9715" t="inlineStr">
        <is>
          <t>VÄRMLANDS LÄN</t>
        </is>
      </c>
      <c r="E9715" t="inlineStr">
        <is>
          <t>TORSBY</t>
        </is>
      </c>
      <c r="F9715" t="inlineStr">
        <is>
          <t>Kyrkan</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20321-2023</t>
        </is>
      </c>
      <c r="B9716" s="1" t="n">
        <v>45056</v>
      </c>
      <c r="C9716" s="1" t="n">
        <v>45736</v>
      </c>
      <c r="D9716" t="inlineStr">
        <is>
          <t>VÄRMLANDS LÄN</t>
        </is>
      </c>
      <c r="E9716" t="inlineStr">
        <is>
          <t>TORSBY</t>
        </is>
      </c>
      <c r="F9716" t="inlineStr">
        <is>
          <t>Kyrkan</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20328-2023</t>
        </is>
      </c>
      <c r="B9717" s="1" t="n">
        <v>45056</v>
      </c>
      <c r="C9717" s="1" t="n">
        <v>45736</v>
      </c>
      <c r="D9717" t="inlineStr">
        <is>
          <t>VÄRMLANDS LÄN</t>
        </is>
      </c>
      <c r="E9717" t="inlineStr">
        <is>
          <t>SUNNE</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20337-2023</t>
        </is>
      </c>
      <c r="B9718" s="1" t="n">
        <v>45056</v>
      </c>
      <c r="C9718" s="1" t="n">
        <v>45736</v>
      </c>
      <c r="D9718" t="inlineStr">
        <is>
          <t>VÄRMLANDS LÄN</t>
        </is>
      </c>
      <c r="E9718" t="inlineStr">
        <is>
          <t>ÅRJÄNG</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20354-2023</t>
        </is>
      </c>
      <c r="B9719" s="1" t="n">
        <v>45056</v>
      </c>
      <c r="C9719" s="1" t="n">
        <v>45736</v>
      </c>
      <c r="D9719" t="inlineStr">
        <is>
          <t>VÄRMLANDS LÄN</t>
        </is>
      </c>
      <c r="E9719" t="inlineStr">
        <is>
          <t>ÅRJÄNG</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20393-2023</t>
        </is>
      </c>
      <c r="B9720" s="1" t="n">
        <v>45056</v>
      </c>
      <c r="C9720" s="1" t="n">
        <v>45736</v>
      </c>
      <c r="D9720" t="inlineStr">
        <is>
          <t>VÄRMLANDS LÄN</t>
        </is>
      </c>
      <c r="E9720" t="inlineStr">
        <is>
          <t>TORSBY</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20298-2023</t>
        </is>
      </c>
      <c r="B9721" s="1" t="n">
        <v>45056</v>
      </c>
      <c r="C9721" s="1" t="n">
        <v>45736</v>
      </c>
      <c r="D9721" t="inlineStr">
        <is>
          <t>VÄRMLANDS LÄN</t>
        </is>
      </c>
      <c r="E9721" t="inlineStr">
        <is>
          <t>TORSBY</t>
        </is>
      </c>
      <c r="F9721" t="inlineStr">
        <is>
          <t>Kyrkan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20338-2023</t>
        </is>
      </c>
      <c r="B9722" s="1" t="n">
        <v>45056</v>
      </c>
      <c r="C9722" s="1" t="n">
        <v>45736</v>
      </c>
      <c r="D9722" t="inlineStr">
        <is>
          <t>VÄRMLANDS LÄN</t>
        </is>
      </c>
      <c r="E9722" t="inlineStr">
        <is>
          <t>SUNNE</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20343-2023</t>
        </is>
      </c>
      <c r="B9723" s="1" t="n">
        <v>45056</v>
      </c>
      <c r="C9723" s="1" t="n">
        <v>45736</v>
      </c>
      <c r="D9723" t="inlineStr">
        <is>
          <t>VÄRMLANDS LÄN</t>
        </is>
      </c>
      <c r="E9723" t="inlineStr">
        <is>
          <t>SÄFFLE</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20355-2023</t>
        </is>
      </c>
      <c r="B9724" s="1" t="n">
        <v>45056</v>
      </c>
      <c r="C9724" s="1" t="n">
        <v>45736</v>
      </c>
      <c r="D9724" t="inlineStr">
        <is>
          <t>VÄRMLANDS LÄN</t>
        </is>
      </c>
      <c r="E9724" t="inlineStr">
        <is>
          <t>SÄFFLE</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20320-2023</t>
        </is>
      </c>
      <c r="B9725" s="1" t="n">
        <v>45056</v>
      </c>
      <c r="C9725" s="1" t="n">
        <v>45736</v>
      </c>
      <c r="D9725" t="inlineStr">
        <is>
          <t>VÄRMLANDS LÄN</t>
        </is>
      </c>
      <c r="E9725" t="inlineStr">
        <is>
          <t>SUNNE</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20341-2023</t>
        </is>
      </c>
      <c r="B9726" s="1" t="n">
        <v>45056</v>
      </c>
      <c r="C9726" s="1" t="n">
        <v>45736</v>
      </c>
      <c r="D9726" t="inlineStr">
        <is>
          <t>VÄRMLANDS LÄN</t>
        </is>
      </c>
      <c r="E9726" t="inlineStr">
        <is>
          <t>SUNNE</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20847-2023</t>
        </is>
      </c>
      <c r="B9727" s="1" t="n">
        <v>45056</v>
      </c>
      <c r="C9727" s="1" t="n">
        <v>45736</v>
      </c>
      <c r="D9727" t="inlineStr">
        <is>
          <t>VÄRMLANDS LÄN</t>
        </is>
      </c>
      <c r="E9727" t="inlineStr">
        <is>
          <t>TORSBY</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20999-2023</t>
        </is>
      </c>
      <c r="B9728" s="1" t="n">
        <v>45056</v>
      </c>
      <c r="C9728" s="1" t="n">
        <v>45736</v>
      </c>
      <c r="D9728" t="inlineStr">
        <is>
          <t>VÄRMLANDS LÄN</t>
        </is>
      </c>
      <c r="E9728" t="inlineStr">
        <is>
          <t>ÅRJÄNG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20470-2023</t>
        </is>
      </c>
      <c r="B9729" s="1" t="n">
        <v>45057</v>
      </c>
      <c r="C9729" s="1" t="n">
        <v>45736</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20520-2023</t>
        </is>
      </c>
      <c r="B9730" s="1" t="n">
        <v>45057</v>
      </c>
      <c r="C9730" s="1" t="n">
        <v>45736</v>
      </c>
      <c r="D9730" t="inlineStr">
        <is>
          <t>VÄRMLANDS LÄN</t>
        </is>
      </c>
      <c r="E9730" t="inlineStr">
        <is>
          <t>SÄFFLE</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20465-2023</t>
        </is>
      </c>
      <c r="B9731" s="1" t="n">
        <v>45057</v>
      </c>
      <c r="C9731" s="1" t="n">
        <v>45736</v>
      </c>
      <c r="D9731" t="inlineStr">
        <is>
          <t>VÄRMLANDS LÄN</t>
        </is>
      </c>
      <c r="E9731" t="inlineStr">
        <is>
          <t>SUNNE</t>
        </is>
      </c>
      <c r="F9731" t="inlineStr">
        <is>
          <t>Kyrkan</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20471-2023</t>
        </is>
      </c>
      <c r="B9732" s="1" t="n">
        <v>45057</v>
      </c>
      <c r="C9732" s="1" t="n">
        <v>45736</v>
      </c>
      <c r="D9732" t="inlineStr">
        <is>
          <t>VÄRMLANDS LÄN</t>
        </is>
      </c>
      <c r="E9732" t="inlineStr">
        <is>
          <t>HAGFORS</t>
        </is>
      </c>
      <c r="F9732" t="inlineStr">
        <is>
          <t>Kyrkan</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20466-2023</t>
        </is>
      </c>
      <c r="B9733" s="1" t="n">
        <v>45057</v>
      </c>
      <c r="C9733" s="1" t="n">
        <v>45736</v>
      </c>
      <c r="D9733" t="inlineStr">
        <is>
          <t>VÄRMLANDS LÄN</t>
        </is>
      </c>
      <c r="E9733" t="inlineStr">
        <is>
          <t>HAGFORS</t>
        </is>
      </c>
      <c r="F9733" t="inlineStr">
        <is>
          <t>Kyrkan</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20473-2023</t>
        </is>
      </c>
      <c r="B9734" s="1" t="n">
        <v>45057</v>
      </c>
      <c r="C9734" s="1" t="n">
        <v>45736</v>
      </c>
      <c r="D9734" t="inlineStr">
        <is>
          <t>VÄRMLANDS LÄN</t>
        </is>
      </c>
      <c r="E9734" t="inlineStr">
        <is>
          <t>FORSHAGA</t>
        </is>
      </c>
      <c r="F9734" t="inlineStr">
        <is>
          <t>Bergvik skog väst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20477-2023</t>
        </is>
      </c>
      <c r="B9735" s="1" t="n">
        <v>45057</v>
      </c>
      <c r="C9735" s="1" t="n">
        <v>45736</v>
      </c>
      <c r="D9735" t="inlineStr">
        <is>
          <t>VÄRMLANDS LÄN</t>
        </is>
      </c>
      <c r="E9735" t="inlineStr">
        <is>
          <t>KIL</t>
        </is>
      </c>
      <c r="F9735" t="inlineStr">
        <is>
          <t>Bergvik skog väst AB</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20509-2023</t>
        </is>
      </c>
      <c r="B9736" s="1" t="n">
        <v>45057</v>
      </c>
      <c r="C9736" s="1" t="n">
        <v>45736</v>
      </c>
      <c r="D9736" t="inlineStr">
        <is>
          <t>VÄRMLANDS LÄN</t>
        </is>
      </c>
      <c r="E9736" t="inlineStr">
        <is>
          <t>SUNNE</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20506-2023</t>
        </is>
      </c>
      <c r="B9737" s="1" t="n">
        <v>45057</v>
      </c>
      <c r="C9737" s="1" t="n">
        <v>45736</v>
      </c>
      <c r="D9737" t="inlineStr">
        <is>
          <t>VÄRMLANDS LÄN</t>
        </is>
      </c>
      <c r="E9737" t="inlineStr">
        <is>
          <t>SUNNE</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20532-2023</t>
        </is>
      </c>
      <c r="B9738" s="1" t="n">
        <v>45057</v>
      </c>
      <c r="C9738" s="1" t="n">
        <v>45736</v>
      </c>
      <c r="D9738" t="inlineStr">
        <is>
          <t>VÄRMLANDS LÄN</t>
        </is>
      </c>
      <c r="E9738" t="inlineStr">
        <is>
          <t>HAGFORS</t>
        </is>
      </c>
      <c r="F9738" t="inlineStr">
        <is>
          <t>Bergvik skog väst AB</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20541-2023</t>
        </is>
      </c>
      <c r="B9739" s="1" t="n">
        <v>45057</v>
      </c>
      <c r="C9739" s="1" t="n">
        <v>45736</v>
      </c>
      <c r="D9739" t="inlineStr">
        <is>
          <t>VÄRMLANDS LÄN</t>
        </is>
      </c>
      <c r="E9739" t="inlineStr">
        <is>
          <t>ARVIKA</t>
        </is>
      </c>
      <c r="F9739" t="inlineStr">
        <is>
          <t>Bergvik skog väst AB</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20569-2023</t>
        </is>
      </c>
      <c r="B9740" s="1" t="n">
        <v>45057</v>
      </c>
      <c r="C9740" s="1" t="n">
        <v>45736</v>
      </c>
      <c r="D9740" t="inlineStr">
        <is>
          <t>VÄRMLANDS LÄN</t>
        </is>
      </c>
      <c r="E9740" t="inlineStr">
        <is>
          <t>ARVIKA</t>
        </is>
      </c>
      <c r="F9740" t="inlineStr">
        <is>
          <t>Bergvik skog väst AB</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20573-2023</t>
        </is>
      </c>
      <c r="B9741" s="1" t="n">
        <v>45057</v>
      </c>
      <c r="C9741" s="1" t="n">
        <v>45736</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21081-2023</t>
        </is>
      </c>
      <c r="B9742" s="1" t="n">
        <v>45057</v>
      </c>
      <c r="C9742" s="1" t="n">
        <v>45736</v>
      </c>
      <c r="D9742" t="inlineStr">
        <is>
          <t>VÄRMLANDS LÄN</t>
        </is>
      </c>
      <c r="E9742" t="inlineStr">
        <is>
          <t>ÅRJÄNG</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20528-2023</t>
        </is>
      </c>
      <c r="B9743" s="1" t="n">
        <v>45057</v>
      </c>
      <c r="C9743" s="1" t="n">
        <v>45736</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20556-2023</t>
        </is>
      </c>
      <c r="B9744" s="1" t="n">
        <v>45057</v>
      </c>
      <c r="C9744" s="1" t="n">
        <v>45736</v>
      </c>
      <c r="D9744" t="inlineStr">
        <is>
          <t>VÄRMLANDS LÄN</t>
        </is>
      </c>
      <c r="E9744" t="inlineStr">
        <is>
          <t>ARVIKA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21188-2023</t>
        </is>
      </c>
      <c r="B9745" s="1" t="n">
        <v>45057</v>
      </c>
      <c r="C9745" s="1" t="n">
        <v>45736</v>
      </c>
      <c r="D9745" t="inlineStr">
        <is>
          <t>VÄRMLANDS LÄN</t>
        </is>
      </c>
      <c r="E9745" t="inlineStr">
        <is>
          <t>ARVIKA</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21155-2023</t>
        </is>
      </c>
      <c r="B9746" s="1" t="n">
        <v>45057</v>
      </c>
      <c r="C9746" s="1" t="n">
        <v>45736</v>
      </c>
      <c r="D9746" t="inlineStr">
        <is>
          <t>VÄRMLANDS LÄN</t>
        </is>
      </c>
      <c r="E9746" t="inlineStr">
        <is>
          <t>HAGFORS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20757-2023</t>
        </is>
      </c>
      <c r="B9747" s="1" t="n">
        <v>45058</v>
      </c>
      <c r="C9747" s="1" t="n">
        <v>45736</v>
      </c>
      <c r="D9747" t="inlineStr">
        <is>
          <t>VÄRMLANDS LÄN</t>
        </is>
      </c>
      <c r="E9747" t="inlineStr">
        <is>
          <t>TORSBY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20773-2023</t>
        </is>
      </c>
      <c r="B9748" s="1" t="n">
        <v>45058</v>
      </c>
      <c r="C9748" s="1" t="n">
        <v>45736</v>
      </c>
      <c r="D9748" t="inlineStr">
        <is>
          <t>VÄRMLANDS LÄN</t>
        </is>
      </c>
      <c r="E9748" t="inlineStr">
        <is>
          <t>ARVIKA</t>
        </is>
      </c>
      <c r="F9748" t="inlineStr">
        <is>
          <t>Bergvik skog väst AB</t>
        </is>
      </c>
      <c r="G9748" t="n">
        <v>10.1</v>
      </c>
      <c r="H9748" t="n">
        <v>0</v>
      </c>
      <c r="I9748" t="n">
        <v>0</v>
      </c>
      <c r="J9748" t="n">
        <v>0</v>
      </c>
      <c r="K9748" t="n">
        <v>0</v>
      </c>
      <c r="L9748" t="n">
        <v>0</v>
      </c>
      <c r="M9748" t="n">
        <v>0</v>
      </c>
      <c r="N9748" t="n">
        <v>0</v>
      </c>
      <c r="O9748" t="n">
        <v>0</v>
      </c>
      <c r="P9748" t="n">
        <v>0</v>
      </c>
      <c r="Q9748" t="n">
        <v>0</v>
      </c>
      <c r="R9748" s="2" t="inlineStr"/>
    </row>
    <row r="9749" ht="15" customHeight="1">
      <c r="A9749" t="inlineStr">
        <is>
          <t>A 20790-2023</t>
        </is>
      </c>
      <c r="B9749" s="1" t="n">
        <v>45058</v>
      </c>
      <c r="C9749" s="1" t="n">
        <v>45736</v>
      </c>
      <c r="D9749" t="inlineStr">
        <is>
          <t>VÄRMLANDS LÄN</t>
        </is>
      </c>
      <c r="E9749" t="inlineStr">
        <is>
          <t>SÄFFLE</t>
        </is>
      </c>
      <c r="G9749" t="n">
        <v>9.199999999999999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20831-2023</t>
        </is>
      </c>
      <c r="B9750" s="1" t="n">
        <v>45058</v>
      </c>
      <c r="C9750" s="1" t="n">
        <v>45736</v>
      </c>
      <c r="D9750" t="inlineStr">
        <is>
          <t>VÄRMLANDS LÄN</t>
        </is>
      </c>
      <c r="E9750" t="inlineStr">
        <is>
          <t>TORSBY</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20648-2023</t>
        </is>
      </c>
      <c r="B9751" s="1" t="n">
        <v>45058</v>
      </c>
      <c r="C9751" s="1" t="n">
        <v>45736</v>
      </c>
      <c r="D9751" t="inlineStr">
        <is>
          <t>VÄRMLANDS LÄN</t>
        </is>
      </c>
      <c r="E9751" t="inlineStr">
        <is>
          <t>TORSBY</t>
        </is>
      </c>
      <c r="F9751" t="inlineStr">
        <is>
          <t>Kyrkan</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20659-2023</t>
        </is>
      </c>
      <c r="B9752" s="1" t="n">
        <v>45058</v>
      </c>
      <c r="C9752" s="1" t="n">
        <v>45736</v>
      </c>
      <c r="D9752" t="inlineStr">
        <is>
          <t>VÄRMLANDS LÄN</t>
        </is>
      </c>
      <c r="E9752" t="inlineStr">
        <is>
          <t>EDA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20686-2023</t>
        </is>
      </c>
      <c r="B9753" s="1" t="n">
        <v>45058</v>
      </c>
      <c r="C9753" s="1" t="n">
        <v>45736</v>
      </c>
      <c r="D9753" t="inlineStr">
        <is>
          <t>VÄRMLANDS LÄN</t>
        </is>
      </c>
      <c r="E9753" t="inlineStr">
        <is>
          <t>KIL</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20696-2023</t>
        </is>
      </c>
      <c r="B9754" s="1" t="n">
        <v>45058</v>
      </c>
      <c r="C9754" s="1" t="n">
        <v>45736</v>
      </c>
      <c r="D9754" t="inlineStr">
        <is>
          <t>VÄRMLANDS LÄN</t>
        </is>
      </c>
      <c r="E9754" t="inlineStr">
        <is>
          <t>KRISTINEHAMN</t>
        </is>
      </c>
      <c r="F9754" t="inlineStr">
        <is>
          <t>Kommuner</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20650-2023</t>
        </is>
      </c>
      <c r="B9755" s="1" t="n">
        <v>45058</v>
      </c>
      <c r="C9755" s="1" t="n">
        <v>45736</v>
      </c>
      <c r="D9755" t="inlineStr">
        <is>
          <t>VÄRMLANDS LÄN</t>
        </is>
      </c>
      <c r="E9755" t="inlineStr">
        <is>
          <t>SUNNE</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20740-2023</t>
        </is>
      </c>
      <c r="B9756" s="1" t="n">
        <v>45058</v>
      </c>
      <c r="C9756" s="1" t="n">
        <v>45736</v>
      </c>
      <c r="D9756" t="inlineStr">
        <is>
          <t>VÄRMLANDS LÄN</t>
        </is>
      </c>
      <c r="E9756" t="inlineStr">
        <is>
          <t>TORSBY</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20746-2023</t>
        </is>
      </c>
      <c r="B9757" s="1" t="n">
        <v>45058</v>
      </c>
      <c r="C9757" s="1" t="n">
        <v>45736</v>
      </c>
      <c r="D9757" t="inlineStr">
        <is>
          <t>VÄRMLANDS LÄN</t>
        </is>
      </c>
      <c r="E9757" t="inlineStr">
        <is>
          <t>SUNNE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20697-2023</t>
        </is>
      </c>
      <c r="B9758" s="1" t="n">
        <v>45058</v>
      </c>
      <c r="C9758" s="1" t="n">
        <v>45736</v>
      </c>
      <c r="D9758" t="inlineStr">
        <is>
          <t>VÄRMLANDS LÄN</t>
        </is>
      </c>
      <c r="E9758" t="inlineStr">
        <is>
          <t>KIL</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20737-2023</t>
        </is>
      </c>
      <c r="B9759" s="1" t="n">
        <v>45058</v>
      </c>
      <c r="C9759" s="1" t="n">
        <v>45736</v>
      </c>
      <c r="D9759" t="inlineStr">
        <is>
          <t>VÄRMLANDS LÄN</t>
        </is>
      </c>
      <c r="E9759" t="inlineStr">
        <is>
          <t>TORSBY</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20802-2023</t>
        </is>
      </c>
      <c r="B9760" s="1" t="n">
        <v>45058</v>
      </c>
      <c r="C9760" s="1" t="n">
        <v>45736</v>
      </c>
      <c r="D9760" t="inlineStr">
        <is>
          <t>VÄRMLANDS LÄN</t>
        </is>
      </c>
      <c r="E9760" t="inlineStr">
        <is>
          <t>ARVIKA</t>
        </is>
      </c>
      <c r="F9760" t="inlineStr">
        <is>
          <t>Bergvik skog väst AB</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20829-2023</t>
        </is>
      </c>
      <c r="B9761" s="1" t="n">
        <v>45058</v>
      </c>
      <c r="C9761" s="1" t="n">
        <v>45736</v>
      </c>
      <c r="D9761" t="inlineStr">
        <is>
          <t>VÄRMLANDS LÄN</t>
        </is>
      </c>
      <c r="E9761" t="inlineStr">
        <is>
          <t>TORSBY</t>
        </is>
      </c>
      <c r="F9761" t="inlineStr">
        <is>
          <t>Bergvik skog väst AB</t>
        </is>
      </c>
      <c r="G9761" t="n">
        <v>12.2</v>
      </c>
      <c r="H9761" t="n">
        <v>0</v>
      </c>
      <c r="I9761" t="n">
        <v>0</v>
      </c>
      <c r="J9761" t="n">
        <v>0</v>
      </c>
      <c r="K9761" t="n">
        <v>0</v>
      </c>
      <c r="L9761" t="n">
        <v>0</v>
      </c>
      <c r="M9761" t="n">
        <v>0</v>
      </c>
      <c r="N9761" t="n">
        <v>0</v>
      </c>
      <c r="O9761" t="n">
        <v>0</v>
      </c>
      <c r="P9761" t="n">
        <v>0</v>
      </c>
      <c r="Q9761" t="n">
        <v>0</v>
      </c>
      <c r="R9761" s="2" t="inlineStr"/>
    </row>
    <row r="9762" ht="15" customHeight="1">
      <c r="A9762" t="inlineStr">
        <is>
          <t>A 20751-2023</t>
        </is>
      </c>
      <c r="B9762" s="1" t="n">
        <v>45058</v>
      </c>
      <c r="C9762" s="1" t="n">
        <v>45736</v>
      </c>
      <c r="D9762" t="inlineStr">
        <is>
          <t>VÄRMLANDS LÄN</t>
        </is>
      </c>
      <c r="E9762" t="inlineStr">
        <is>
          <t>ARVIKA</t>
        </is>
      </c>
      <c r="F9762" t="inlineStr">
        <is>
          <t>Bergvik skog väst AB</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20799-2023</t>
        </is>
      </c>
      <c r="B9763" s="1" t="n">
        <v>45058</v>
      </c>
      <c r="C9763" s="1" t="n">
        <v>45736</v>
      </c>
      <c r="D9763" t="inlineStr">
        <is>
          <t>VÄRMLANDS LÄN</t>
        </is>
      </c>
      <c r="E9763" t="inlineStr">
        <is>
          <t>SUNNE</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20810-2023</t>
        </is>
      </c>
      <c r="B9764" s="1" t="n">
        <v>45058</v>
      </c>
      <c r="C9764" s="1" t="n">
        <v>45736</v>
      </c>
      <c r="D9764" t="inlineStr">
        <is>
          <t>VÄRMLANDS LÄN</t>
        </is>
      </c>
      <c r="E9764" t="inlineStr">
        <is>
          <t>HAGFORS</t>
        </is>
      </c>
      <c r="F9764" t="inlineStr">
        <is>
          <t>Bergvik skog väst AB</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20830-2023</t>
        </is>
      </c>
      <c r="B9765" s="1" t="n">
        <v>45058</v>
      </c>
      <c r="C9765" s="1" t="n">
        <v>45736</v>
      </c>
      <c r="D9765" t="inlineStr">
        <is>
          <t>VÄRMLANDS LÄN</t>
        </is>
      </c>
      <c r="E9765" t="inlineStr">
        <is>
          <t>TORSBY</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20665-2023</t>
        </is>
      </c>
      <c r="B9766" s="1" t="n">
        <v>45058</v>
      </c>
      <c r="C9766" s="1" t="n">
        <v>45736</v>
      </c>
      <c r="D9766" t="inlineStr">
        <is>
          <t>VÄRMLANDS LÄN</t>
        </is>
      </c>
      <c r="E9766" t="inlineStr">
        <is>
          <t>EDA</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20674-2023</t>
        </is>
      </c>
      <c r="B9767" s="1" t="n">
        <v>45058</v>
      </c>
      <c r="C9767" s="1" t="n">
        <v>45736</v>
      </c>
      <c r="D9767" t="inlineStr">
        <is>
          <t>VÄRMLANDS LÄN</t>
        </is>
      </c>
      <c r="E9767" t="inlineStr">
        <is>
          <t>ÅRJÄNG</t>
        </is>
      </c>
      <c r="G9767" t="n">
        <v>11.1</v>
      </c>
      <c r="H9767" t="n">
        <v>0</v>
      </c>
      <c r="I9767" t="n">
        <v>0</v>
      </c>
      <c r="J9767" t="n">
        <v>0</v>
      </c>
      <c r="K9767" t="n">
        <v>0</v>
      </c>
      <c r="L9767" t="n">
        <v>0</v>
      </c>
      <c r="M9767" t="n">
        <v>0</v>
      </c>
      <c r="N9767" t="n">
        <v>0</v>
      </c>
      <c r="O9767" t="n">
        <v>0</v>
      </c>
      <c r="P9767" t="n">
        <v>0</v>
      </c>
      <c r="Q9767" t="n">
        <v>0</v>
      </c>
      <c r="R9767" s="2" t="inlineStr"/>
    </row>
    <row r="9768" ht="15" customHeight="1">
      <c r="A9768" t="inlineStr">
        <is>
          <t>A 20679-2023</t>
        </is>
      </c>
      <c r="B9768" s="1" t="n">
        <v>45058</v>
      </c>
      <c r="C9768" s="1" t="n">
        <v>45736</v>
      </c>
      <c r="D9768" t="inlineStr">
        <is>
          <t>VÄRMLANDS LÄN</t>
        </is>
      </c>
      <c r="E9768" t="inlineStr">
        <is>
          <t>TORSBY</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20721-2023</t>
        </is>
      </c>
      <c r="B9769" s="1" t="n">
        <v>45058</v>
      </c>
      <c r="C9769" s="1" t="n">
        <v>45736</v>
      </c>
      <c r="D9769" t="inlineStr">
        <is>
          <t>VÄRMLANDS LÄN</t>
        </is>
      </c>
      <c r="E9769" t="inlineStr">
        <is>
          <t>TORSBY</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20725-2023</t>
        </is>
      </c>
      <c r="B9770" s="1" t="n">
        <v>45058</v>
      </c>
      <c r="C9770" s="1" t="n">
        <v>45736</v>
      </c>
      <c r="D9770" t="inlineStr">
        <is>
          <t>VÄRMLANDS LÄN</t>
        </is>
      </c>
      <c r="E9770" t="inlineStr">
        <is>
          <t>STORFORS</t>
        </is>
      </c>
      <c r="F9770" t="inlineStr">
        <is>
          <t>Bergvik skog väst AB</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20733-2023</t>
        </is>
      </c>
      <c r="B9771" s="1" t="n">
        <v>45058</v>
      </c>
      <c r="C9771" s="1" t="n">
        <v>45736</v>
      </c>
      <c r="D9771" t="inlineStr">
        <is>
          <t>VÄRMLANDS LÄN</t>
        </is>
      </c>
      <c r="E9771" t="inlineStr">
        <is>
          <t>TORSBY</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20739-2023</t>
        </is>
      </c>
      <c r="B9772" s="1" t="n">
        <v>45058</v>
      </c>
      <c r="C9772" s="1" t="n">
        <v>45736</v>
      </c>
      <c r="D9772" t="inlineStr">
        <is>
          <t>VÄRMLANDS LÄN</t>
        </is>
      </c>
      <c r="E9772" t="inlineStr">
        <is>
          <t>ARVIKA</t>
        </is>
      </c>
      <c r="F9772" t="inlineStr">
        <is>
          <t>Bergvik skog väst AB</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20745-2023</t>
        </is>
      </c>
      <c r="B9773" s="1" t="n">
        <v>45058</v>
      </c>
      <c r="C9773" s="1" t="n">
        <v>45736</v>
      </c>
      <c r="D9773" t="inlineStr">
        <is>
          <t>VÄRMLANDS LÄN</t>
        </is>
      </c>
      <c r="E9773" t="inlineStr">
        <is>
          <t>TORSBY</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20769-2023</t>
        </is>
      </c>
      <c r="B9774" s="1" t="n">
        <v>45058</v>
      </c>
      <c r="C9774" s="1" t="n">
        <v>45736</v>
      </c>
      <c r="D9774" t="inlineStr">
        <is>
          <t>VÄRMLANDS LÄN</t>
        </is>
      </c>
      <c r="E9774" t="inlineStr">
        <is>
          <t>HAGFORS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20780-2023</t>
        </is>
      </c>
      <c r="B9775" s="1" t="n">
        <v>45058</v>
      </c>
      <c r="C9775" s="1" t="n">
        <v>45736</v>
      </c>
      <c r="D9775" t="inlineStr">
        <is>
          <t>VÄRMLANDS LÄN</t>
        </is>
      </c>
      <c r="E9775" t="inlineStr">
        <is>
          <t>HAGFORS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20791-2023</t>
        </is>
      </c>
      <c r="B9776" s="1" t="n">
        <v>45058</v>
      </c>
      <c r="C9776" s="1" t="n">
        <v>45736</v>
      </c>
      <c r="D9776" t="inlineStr">
        <is>
          <t>VÄRMLANDS LÄN</t>
        </is>
      </c>
      <c r="E9776" t="inlineStr">
        <is>
          <t>FILIPSTAD</t>
        </is>
      </c>
      <c r="F9776" t="inlineStr">
        <is>
          <t>Bergvik skog väst AB</t>
        </is>
      </c>
      <c r="G9776" t="n">
        <v>8</v>
      </c>
      <c r="H9776" t="n">
        <v>0</v>
      </c>
      <c r="I9776" t="n">
        <v>0</v>
      </c>
      <c r="J9776" t="n">
        <v>0</v>
      </c>
      <c r="K9776" t="n">
        <v>0</v>
      </c>
      <c r="L9776" t="n">
        <v>0</v>
      </c>
      <c r="M9776" t="n">
        <v>0</v>
      </c>
      <c r="N9776" t="n">
        <v>0</v>
      </c>
      <c r="O9776" t="n">
        <v>0</v>
      </c>
      <c r="P9776" t="n">
        <v>0</v>
      </c>
      <c r="Q9776" t="n">
        <v>0</v>
      </c>
      <c r="R9776" s="2" t="inlineStr"/>
    </row>
    <row r="9777" ht="15" customHeight="1">
      <c r="A9777" t="inlineStr">
        <is>
          <t>A 20832-2023</t>
        </is>
      </c>
      <c r="B9777" s="1" t="n">
        <v>45058</v>
      </c>
      <c r="C9777" s="1" t="n">
        <v>45736</v>
      </c>
      <c r="D9777" t="inlineStr">
        <is>
          <t>VÄRMLANDS LÄN</t>
        </is>
      </c>
      <c r="E9777" t="inlineStr">
        <is>
          <t>FILIPSTAD</t>
        </is>
      </c>
      <c r="F9777" t="inlineStr">
        <is>
          <t>Bergvik skog väst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21258-2023</t>
        </is>
      </c>
      <c r="B9778" s="1" t="n">
        <v>45058</v>
      </c>
      <c r="C9778" s="1" t="n">
        <v>45736</v>
      </c>
      <c r="D9778" t="inlineStr">
        <is>
          <t>VÄRMLANDS LÄN</t>
        </is>
      </c>
      <c r="E9778" t="inlineStr">
        <is>
          <t>TORSBY</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21255-2023</t>
        </is>
      </c>
      <c r="B9779" s="1" t="n">
        <v>45058</v>
      </c>
      <c r="C9779" s="1" t="n">
        <v>45736</v>
      </c>
      <c r="D9779" t="inlineStr">
        <is>
          <t>VÄRMLANDS LÄN</t>
        </is>
      </c>
      <c r="E9779" t="inlineStr">
        <is>
          <t>TORSBY</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20898-2023</t>
        </is>
      </c>
      <c r="B9780" s="1" t="n">
        <v>45059</v>
      </c>
      <c r="C9780" s="1" t="n">
        <v>45736</v>
      </c>
      <c r="D9780" t="inlineStr">
        <is>
          <t>VÄRMLANDS LÄN</t>
        </is>
      </c>
      <c r="E9780" t="inlineStr">
        <is>
          <t>TORSBY</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20905-2023</t>
        </is>
      </c>
      <c r="B9781" s="1" t="n">
        <v>45060</v>
      </c>
      <c r="C9781" s="1" t="n">
        <v>45736</v>
      </c>
      <c r="D9781" t="inlineStr">
        <is>
          <t>VÄRMLANDS LÄN</t>
        </is>
      </c>
      <c r="E9781" t="inlineStr">
        <is>
          <t>ÅRJÄNG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20913-2023</t>
        </is>
      </c>
      <c r="B9782" s="1" t="n">
        <v>45061</v>
      </c>
      <c r="C9782" s="1" t="n">
        <v>45736</v>
      </c>
      <c r="D9782" t="inlineStr">
        <is>
          <t>VÄRMLANDS LÄN</t>
        </is>
      </c>
      <c r="E9782" t="inlineStr">
        <is>
          <t>STORFORS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20917-2023</t>
        </is>
      </c>
      <c r="B9783" s="1" t="n">
        <v>45061</v>
      </c>
      <c r="C9783" s="1" t="n">
        <v>45736</v>
      </c>
      <c r="D9783" t="inlineStr">
        <is>
          <t>VÄRMLANDS LÄN</t>
        </is>
      </c>
      <c r="E9783" t="inlineStr">
        <is>
          <t>STORFORS</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20934-2023</t>
        </is>
      </c>
      <c r="B9784" s="1" t="n">
        <v>45061</v>
      </c>
      <c r="C9784" s="1" t="n">
        <v>45736</v>
      </c>
      <c r="D9784" t="inlineStr">
        <is>
          <t>VÄRMLANDS LÄN</t>
        </is>
      </c>
      <c r="E9784" t="inlineStr">
        <is>
          <t>KIL</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20920-2023</t>
        </is>
      </c>
      <c r="B9785" s="1" t="n">
        <v>45061</v>
      </c>
      <c r="C9785" s="1" t="n">
        <v>45736</v>
      </c>
      <c r="D9785" t="inlineStr">
        <is>
          <t>VÄRMLANDS LÄN</t>
        </is>
      </c>
      <c r="E9785" t="inlineStr">
        <is>
          <t>EDA</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21045-2023</t>
        </is>
      </c>
      <c r="B9786" s="1" t="n">
        <v>45061</v>
      </c>
      <c r="C9786" s="1" t="n">
        <v>45736</v>
      </c>
      <c r="D9786" t="inlineStr">
        <is>
          <t>VÄRMLANDS LÄN</t>
        </is>
      </c>
      <c r="E9786" t="inlineStr">
        <is>
          <t>EDA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20948-2023</t>
        </is>
      </c>
      <c r="B9787" s="1" t="n">
        <v>45061</v>
      </c>
      <c r="C9787" s="1" t="n">
        <v>45736</v>
      </c>
      <c r="D9787" t="inlineStr">
        <is>
          <t>VÄRMLANDS LÄN</t>
        </is>
      </c>
      <c r="E9787" t="inlineStr">
        <is>
          <t>KIL</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20954-2023</t>
        </is>
      </c>
      <c r="B9788" s="1" t="n">
        <v>45061</v>
      </c>
      <c r="C9788" s="1" t="n">
        <v>45736</v>
      </c>
      <c r="D9788" t="inlineStr">
        <is>
          <t>VÄRMLANDS LÄN</t>
        </is>
      </c>
      <c r="E9788" t="inlineStr">
        <is>
          <t>GRUMS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20922-2023</t>
        </is>
      </c>
      <c r="B9789" s="1" t="n">
        <v>45061</v>
      </c>
      <c r="C9789" s="1" t="n">
        <v>45736</v>
      </c>
      <c r="D9789" t="inlineStr">
        <is>
          <t>VÄRMLANDS LÄN</t>
        </is>
      </c>
      <c r="E9789" t="inlineStr">
        <is>
          <t>EDA</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20945-2023</t>
        </is>
      </c>
      <c r="B9790" s="1" t="n">
        <v>45061</v>
      </c>
      <c r="C9790" s="1" t="n">
        <v>45736</v>
      </c>
      <c r="D9790" t="inlineStr">
        <is>
          <t>VÄRMLANDS LÄN</t>
        </is>
      </c>
      <c r="E9790" t="inlineStr">
        <is>
          <t>KIL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21003-2023</t>
        </is>
      </c>
      <c r="B9791" s="1" t="n">
        <v>45061</v>
      </c>
      <c r="C9791" s="1" t="n">
        <v>45736</v>
      </c>
      <c r="D9791" t="inlineStr">
        <is>
          <t>VÄRMLANDS LÄN</t>
        </is>
      </c>
      <c r="E9791" t="inlineStr">
        <is>
          <t>ARVIKA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21094-2023</t>
        </is>
      </c>
      <c r="B9792" s="1" t="n">
        <v>45061</v>
      </c>
      <c r="C9792" s="1" t="n">
        <v>45736</v>
      </c>
      <c r="D9792" t="inlineStr">
        <is>
          <t>VÄRMLANDS LÄN</t>
        </is>
      </c>
      <c r="E9792" t="inlineStr">
        <is>
          <t>KARLSTAD</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20932-2023</t>
        </is>
      </c>
      <c r="B9793" s="1" t="n">
        <v>45061</v>
      </c>
      <c r="C9793" s="1" t="n">
        <v>45736</v>
      </c>
      <c r="D9793" t="inlineStr">
        <is>
          <t>VÄRMLANDS LÄN</t>
        </is>
      </c>
      <c r="E9793" t="inlineStr">
        <is>
          <t>ÅRJÄNG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20978-2023</t>
        </is>
      </c>
      <c r="B9794" s="1" t="n">
        <v>45061</v>
      </c>
      <c r="C9794" s="1" t="n">
        <v>45736</v>
      </c>
      <c r="D9794" t="inlineStr">
        <is>
          <t>VÄRMLANDS LÄN</t>
        </is>
      </c>
      <c r="E9794" t="inlineStr">
        <is>
          <t>SUNNE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21032-2023</t>
        </is>
      </c>
      <c r="B9795" s="1" t="n">
        <v>45061</v>
      </c>
      <c r="C9795" s="1" t="n">
        <v>45736</v>
      </c>
      <c r="D9795" t="inlineStr">
        <is>
          <t>VÄRMLANDS LÄN</t>
        </is>
      </c>
      <c r="E9795" t="inlineStr">
        <is>
          <t>KIL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21080-2023</t>
        </is>
      </c>
      <c r="B9796" s="1" t="n">
        <v>45061</v>
      </c>
      <c r="C9796" s="1" t="n">
        <v>45736</v>
      </c>
      <c r="D9796" t="inlineStr">
        <is>
          <t>VÄRMLANDS LÄN</t>
        </is>
      </c>
      <c r="E9796" t="inlineStr">
        <is>
          <t>SÄFFLE</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21076-2023</t>
        </is>
      </c>
      <c r="B9797" s="1" t="n">
        <v>45061</v>
      </c>
      <c r="C9797" s="1" t="n">
        <v>45736</v>
      </c>
      <c r="D9797" t="inlineStr">
        <is>
          <t>VÄRMLANDS LÄN</t>
        </is>
      </c>
      <c r="E9797" t="inlineStr">
        <is>
          <t>TORSBY</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21033-2023</t>
        </is>
      </c>
      <c r="B9798" s="1" t="n">
        <v>45061</v>
      </c>
      <c r="C9798" s="1" t="n">
        <v>45736</v>
      </c>
      <c r="D9798" t="inlineStr">
        <is>
          <t>VÄRMLANDS LÄN</t>
        </is>
      </c>
      <c r="E9798" t="inlineStr">
        <is>
          <t>TORSBY</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21078-2023</t>
        </is>
      </c>
      <c r="B9799" s="1" t="n">
        <v>45061</v>
      </c>
      <c r="C9799" s="1" t="n">
        <v>45736</v>
      </c>
      <c r="D9799" t="inlineStr">
        <is>
          <t>VÄRMLANDS LÄN</t>
        </is>
      </c>
      <c r="E9799" t="inlineStr">
        <is>
          <t>TORSBY</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21392-2023</t>
        </is>
      </c>
      <c r="B9800" s="1" t="n">
        <v>45061</v>
      </c>
      <c r="C9800" s="1" t="n">
        <v>45736</v>
      </c>
      <c r="D9800" t="inlineStr">
        <is>
          <t>VÄRMLANDS LÄN</t>
        </is>
      </c>
      <c r="E9800" t="inlineStr">
        <is>
          <t>ÅRJÄNG</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21128-2023</t>
        </is>
      </c>
      <c r="B9801" s="1" t="n">
        <v>45062</v>
      </c>
      <c r="C9801" s="1" t="n">
        <v>45736</v>
      </c>
      <c r="D9801" t="inlineStr">
        <is>
          <t>VÄRMLANDS LÄN</t>
        </is>
      </c>
      <c r="E9801" t="inlineStr">
        <is>
          <t>ÅRJÄNG</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21132-2023</t>
        </is>
      </c>
      <c r="B9802" s="1" t="n">
        <v>45062</v>
      </c>
      <c r="C9802" s="1" t="n">
        <v>45736</v>
      </c>
      <c r="D9802" t="inlineStr">
        <is>
          <t>VÄRMLANDS LÄN</t>
        </is>
      </c>
      <c r="E9802" t="inlineStr">
        <is>
          <t>EDA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21158-2023</t>
        </is>
      </c>
      <c r="B9803" s="1" t="n">
        <v>45062</v>
      </c>
      <c r="C9803" s="1" t="n">
        <v>45736</v>
      </c>
      <c r="D9803" t="inlineStr">
        <is>
          <t>VÄRMLANDS LÄN</t>
        </is>
      </c>
      <c r="E9803" t="inlineStr">
        <is>
          <t>TORSBY</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21184-2023</t>
        </is>
      </c>
      <c r="B9804" s="1" t="n">
        <v>45062</v>
      </c>
      <c r="C9804" s="1" t="n">
        <v>45736</v>
      </c>
      <c r="D9804" t="inlineStr">
        <is>
          <t>VÄRMLANDS LÄN</t>
        </is>
      </c>
      <c r="E9804" t="inlineStr">
        <is>
          <t>SÄFFLE</t>
        </is>
      </c>
      <c r="G9804" t="n">
        <v>7.6</v>
      </c>
      <c r="H9804" t="n">
        <v>0</v>
      </c>
      <c r="I9804" t="n">
        <v>0</v>
      </c>
      <c r="J9804" t="n">
        <v>0</v>
      </c>
      <c r="K9804" t="n">
        <v>0</v>
      </c>
      <c r="L9804" t="n">
        <v>0</v>
      </c>
      <c r="M9804" t="n">
        <v>0</v>
      </c>
      <c r="N9804" t="n">
        <v>0</v>
      </c>
      <c r="O9804" t="n">
        <v>0</v>
      </c>
      <c r="P9804" t="n">
        <v>0</v>
      </c>
      <c r="Q9804" t="n">
        <v>0</v>
      </c>
      <c r="R9804" s="2" t="inlineStr"/>
    </row>
    <row r="9805" ht="15" customHeight="1">
      <c r="A9805" t="inlineStr">
        <is>
          <t>A 21197-2023</t>
        </is>
      </c>
      <c r="B9805" s="1" t="n">
        <v>45062</v>
      </c>
      <c r="C9805" s="1" t="n">
        <v>45736</v>
      </c>
      <c r="D9805" t="inlineStr">
        <is>
          <t>VÄRMLANDS LÄN</t>
        </is>
      </c>
      <c r="E9805" t="inlineStr">
        <is>
          <t>STORFORS</t>
        </is>
      </c>
      <c r="F9805" t="inlineStr">
        <is>
          <t>Naturvårdsverket</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21189-2023</t>
        </is>
      </c>
      <c r="B9806" s="1" t="n">
        <v>45062</v>
      </c>
      <c r="C9806" s="1" t="n">
        <v>45736</v>
      </c>
      <c r="D9806" t="inlineStr">
        <is>
          <t>VÄRMLANDS LÄN</t>
        </is>
      </c>
      <c r="E9806" t="inlineStr">
        <is>
          <t>TORSBY</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21129-2023</t>
        </is>
      </c>
      <c r="B9807" s="1" t="n">
        <v>45062</v>
      </c>
      <c r="C9807" s="1" t="n">
        <v>45736</v>
      </c>
      <c r="D9807" t="inlineStr">
        <is>
          <t>VÄRMLANDS LÄN</t>
        </is>
      </c>
      <c r="E9807" t="inlineStr">
        <is>
          <t>ÅRJÄNG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21138-2023</t>
        </is>
      </c>
      <c r="B9808" s="1" t="n">
        <v>45062</v>
      </c>
      <c r="C9808" s="1" t="n">
        <v>45736</v>
      </c>
      <c r="D9808" t="inlineStr">
        <is>
          <t>VÄRMLANDS LÄN</t>
        </is>
      </c>
      <c r="E9808" t="inlineStr">
        <is>
          <t>SUNNE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21154-2023</t>
        </is>
      </c>
      <c r="B9809" s="1" t="n">
        <v>45062</v>
      </c>
      <c r="C9809" s="1" t="n">
        <v>45736</v>
      </c>
      <c r="D9809" t="inlineStr">
        <is>
          <t>VÄRMLANDS LÄN</t>
        </is>
      </c>
      <c r="E9809" t="inlineStr">
        <is>
          <t>TORSBY</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21288-2023</t>
        </is>
      </c>
      <c r="B9810" s="1" t="n">
        <v>45062</v>
      </c>
      <c r="C9810" s="1" t="n">
        <v>45736</v>
      </c>
      <c r="D9810" t="inlineStr">
        <is>
          <t>VÄRMLANDS LÄN</t>
        </is>
      </c>
      <c r="E9810" t="inlineStr">
        <is>
          <t>FORSHAGA</t>
        </is>
      </c>
      <c r="F9810" t="inlineStr">
        <is>
          <t>Bergvik skog väst AB</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21177-2023</t>
        </is>
      </c>
      <c r="B9811" s="1" t="n">
        <v>45062</v>
      </c>
      <c r="C9811" s="1" t="n">
        <v>45736</v>
      </c>
      <c r="D9811" t="inlineStr">
        <is>
          <t>VÄRMLANDS LÄN</t>
        </is>
      </c>
      <c r="E9811" t="inlineStr">
        <is>
          <t>ÅRJÄNG</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21303-2023</t>
        </is>
      </c>
      <c r="B9812" s="1" t="n">
        <v>45062</v>
      </c>
      <c r="C9812" s="1" t="n">
        <v>45736</v>
      </c>
      <c r="D9812" t="inlineStr">
        <is>
          <t>VÄRMLANDS LÄN</t>
        </is>
      </c>
      <c r="E9812" t="inlineStr">
        <is>
          <t>SUNNE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21242-2023</t>
        </is>
      </c>
      <c r="B9813" s="1" t="n">
        <v>45062</v>
      </c>
      <c r="C9813" s="1" t="n">
        <v>45736</v>
      </c>
      <c r="D9813" t="inlineStr">
        <is>
          <t>VÄRMLANDS LÄN</t>
        </is>
      </c>
      <c r="E9813" t="inlineStr">
        <is>
          <t>FORSHAGA</t>
        </is>
      </c>
      <c r="F9813" t="inlineStr">
        <is>
          <t>Bergvik skog väst AB</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21252-2023</t>
        </is>
      </c>
      <c r="B9814" s="1" t="n">
        <v>45062</v>
      </c>
      <c r="C9814" s="1" t="n">
        <v>45736</v>
      </c>
      <c r="D9814" t="inlineStr">
        <is>
          <t>VÄRMLANDS LÄN</t>
        </is>
      </c>
      <c r="E9814" t="inlineStr">
        <is>
          <t>FORSHAGA</t>
        </is>
      </c>
      <c r="F9814" t="inlineStr">
        <is>
          <t>Bergvik skog väst AB</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21295-2023</t>
        </is>
      </c>
      <c r="B9815" s="1" t="n">
        <v>45062</v>
      </c>
      <c r="C9815" s="1" t="n">
        <v>45736</v>
      </c>
      <c r="D9815" t="inlineStr">
        <is>
          <t>VÄRMLANDS LÄN</t>
        </is>
      </c>
      <c r="E9815" t="inlineStr">
        <is>
          <t>FORSHAGA</t>
        </is>
      </c>
      <c r="F9815" t="inlineStr">
        <is>
          <t>Bergvik skog väst AB</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21309-2023</t>
        </is>
      </c>
      <c r="B9816" s="1" t="n">
        <v>45062</v>
      </c>
      <c r="C9816" s="1" t="n">
        <v>45736</v>
      </c>
      <c r="D9816" t="inlineStr">
        <is>
          <t>VÄRMLANDS LÄN</t>
        </is>
      </c>
      <c r="E9816" t="inlineStr">
        <is>
          <t>HAGFORS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21629-2023</t>
        </is>
      </c>
      <c r="B9817" s="1" t="n">
        <v>45062</v>
      </c>
      <c r="C9817" s="1" t="n">
        <v>45736</v>
      </c>
      <c r="D9817" t="inlineStr">
        <is>
          <t>VÄRMLANDS LÄN</t>
        </is>
      </c>
      <c r="E9817" t="inlineStr">
        <is>
          <t>KARLSTAD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21371-2023</t>
        </is>
      </c>
      <c r="B9818" s="1" t="n">
        <v>45063</v>
      </c>
      <c r="C9818" s="1" t="n">
        <v>45736</v>
      </c>
      <c r="D9818" t="inlineStr">
        <is>
          <t>VÄRMLANDS LÄN</t>
        </is>
      </c>
      <c r="E9818" t="inlineStr">
        <is>
          <t>EDA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21468-2023</t>
        </is>
      </c>
      <c r="B9819" s="1" t="n">
        <v>45063</v>
      </c>
      <c r="C9819" s="1" t="n">
        <v>45736</v>
      </c>
      <c r="D9819" t="inlineStr">
        <is>
          <t>VÄRMLANDS LÄN</t>
        </is>
      </c>
      <c r="E9819" t="inlineStr">
        <is>
          <t>ARVIKA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21484-2023</t>
        </is>
      </c>
      <c r="B9820" s="1" t="n">
        <v>45063</v>
      </c>
      <c r="C9820" s="1" t="n">
        <v>45736</v>
      </c>
      <c r="D9820" t="inlineStr">
        <is>
          <t>VÄRMLANDS LÄN</t>
        </is>
      </c>
      <c r="E9820" t="inlineStr">
        <is>
          <t>SUNNE</t>
        </is>
      </c>
      <c r="F9820" t="inlineStr">
        <is>
          <t>Bergvik skog väst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21493-2023</t>
        </is>
      </c>
      <c r="B9821" s="1" t="n">
        <v>45063</v>
      </c>
      <c r="C9821" s="1" t="n">
        <v>45736</v>
      </c>
      <c r="D9821" t="inlineStr">
        <is>
          <t>VÄRMLANDS LÄN</t>
        </is>
      </c>
      <c r="E9821" t="inlineStr">
        <is>
          <t>HAGFORS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21409-2023</t>
        </is>
      </c>
      <c r="B9822" s="1" t="n">
        <v>45063</v>
      </c>
      <c r="C9822" s="1" t="n">
        <v>45736</v>
      </c>
      <c r="D9822" t="inlineStr">
        <is>
          <t>VÄRMLANDS LÄN</t>
        </is>
      </c>
      <c r="E9822" t="inlineStr">
        <is>
          <t>TORSBY</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21365-2023</t>
        </is>
      </c>
      <c r="B9823" s="1" t="n">
        <v>45063</v>
      </c>
      <c r="C9823" s="1" t="n">
        <v>45736</v>
      </c>
      <c r="D9823" t="inlineStr">
        <is>
          <t>VÄRMLANDS LÄN</t>
        </is>
      </c>
      <c r="E9823" t="inlineStr">
        <is>
          <t>TORSBY</t>
        </is>
      </c>
      <c r="F9823" t="inlineStr">
        <is>
          <t>Kyrkan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21492-2023</t>
        </is>
      </c>
      <c r="B9824" s="1" t="n">
        <v>45063</v>
      </c>
      <c r="C9824" s="1" t="n">
        <v>45736</v>
      </c>
      <c r="D9824" t="inlineStr">
        <is>
          <t>VÄRMLANDS LÄN</t>
        </is>
      </c>
      <c r="E9824" t="inlineStr">
        <is>
          <t>SÄFFLE</t>
        </is>
      </c>
      <c r="G9824" t="n">
        <v>9.800000000000001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21523-2023</t>
        </is>
      </c>
      <c r="B9825" s="1" t="n">
        <v>45063</v>
      </c>
      <c r="C9825" s="1" t="n">
        <v>45736</v>
      </c>
      <c r="D9825" t="inlineStr">
        <is>
          <t>VÄRMLANDS LÄN</t>
        </is>
      </c>
      <c r="E9825" t="inlineStr">
        <is>
          <t>ARVIKA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21470-2023</t>
        </is>
      </c>
      <c r="B9826" s="1" t="n">
        <v>45063</v>
      </c>
      <c r="C9826" s="1" t="n">
        <v>45736</v>
      </c>
      <c r="D9826" t="inlineStr">
        <is>
          <t>VÄRMLANDS LÄN</t>
        </is>
      </c>
      <c r="E9826" t="inlineStr">
        <is>
          <t>EDA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21503-2023</t>
        </is>
      </c>
      <c r="B9827" s="1" t="n">
        <v>45063</v>
      </c>
      <c r="C9827" s="1" t="n">
        <v>45736</v>
      </c>
      <c r="D9827" t="inlineStr">
        <is>
          <t>VÄRMLANDS LÄN</t>
        </is>
      </c>
      <c r="E9827" t="inlineStr">
        <is>
          <t>KRISTINEHAMN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21390-2023</t>
        </is>
      </c>
      <c r="B9828" s="1" t="n">
        <v>45063</v>
      </c>
      <c r="C9828" s="1" t="n">
        <v>45736</v>
      </c>
      <c r="D9828" t="inlineStr">
        <is>
          <t>VÄRMLANDS LÄN</t>
        </is>
      </c>
      <c r="E9828" t="inlineStr">
        <is>
          <t>TORSBY</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21411-2023</t>
        </is>
      </c>
      <c r="B9829" s="1" t="n">
        <v>45063</v>
      </c>
      <c r="C9829" s="1" t="n">
        <v>45736</v>
      </c>
      <c r="D9829" t="inlineStr">
        <is>
          <t>VÄRMLANDS LÄN</t>
        </is>
      </c>
      <c r="E9829" t="inlineStr">
        <is>
          <t>TORSBY</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21464-2023</t>
        </is>
      </c>
      <c r="B9830" s="1" t="n">
        <v>45063</v>
      </c>
      <c r="C9830" s="1" t="n">
        <v>45736</v>
      </c>
      <c r="D9830" t="inlineStr">
        <is>
          <t>VÄRMLANDS LÄN</t>
        </is>
      </c>
      <c r="E9830" t="inlineStr">
        <is>
          <t>ARVIKA</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21570-2023</t>
        </is>
      </c>
      <c r="B9831" s="1" t="n">
        <v>45063</v>
      </c>
      <c r="C9831" s="1" t="n">
        <v>45736</v>
      </c>
      <c r="D9831" t="inlineStr">
        <is>
          <t>VÄRMLANDS LÄN</t>
        </is>
      </c>
      <c r="E9831" t="inlineStr">
        <is>
          <t>SUNNE</t>
        </is>
      </c>
      <c r="F9831" t="inlineStr">
        <is>
          <t>Bergvik skog väst AB</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21563-2023</t>
        </is>
      </c>
      <c r="B9832" s="1" t="n">
        <v>45063</v>
      </c>
      <c r="C9832" s="1" t="n">
        <v>45736</v>
      </c>
      <c r="D9832" t="inlineStr">
        <is>
          <t>VÄRMLANDS LÄN</t>
        </is>
      </c>
      <c r="E9832" t="inlineStr">
        <is>
          <t>SÄFFLE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21557-2023</t>
        </is>
      </c>
      <c r="B9833" s="1" t="n">
        <v>45063</v>
      </c>
      <c r="C9833" s="1" t="n">
        <v>45736</v>
      </c>
      <c r="D9833" t="inlineStr">
        <is>
          <t>VÄRMLANDS LÄN</t>
        </is>
      </c>
      <c r="E9833" t="inlineStr">
        <is>
          <t>ÅRJÄNG</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21593-2023</t>
        </is>
      </c>
      <c r="B9834" s="1" t="n">
        <v>45063</v>
      </c>
      <c r="C9834" s="1" t="n">
        <v>45736</v>
      </c>
      <c r="D9834" t="inlineStr">
        <is>
          <t>VÄRMLANDS LÄN</t>
        </is>
      </c>
      <c r="E9834" t="inlineStr">
        <is>
          <t>FILIPSTAD</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21633-2023</t>
        </is>
      </c>
      <c r="B9835" s="1" t="n">
        <v>45063</v>
      </c>
      <c r="C9835" s="1" t="n">
        <v>45736</v>
      </c>
      <c r="D9835" t="inlineStr">
        <is>
          <t>VÄRMLANDS LÄN</t>
        </is>
      </c>
      <c r="E9835" t="inlineStr">
        <is>
          <t>STORFORS</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21580-2023</t>
        </is>
      </c>
      <c r="B9836" s="1" t="n">
        <v>45063</v>
      </c>
      <c r="C9836" s="1" t="n">
        <v>45736</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21605-2023</t>
        </is>
      </c>
      <c r="B9837" s="1" t="n">
        <v>45063</v>
      </c>
      <c r="C9837" s="1" t="n">
        <v>45736</v>
      </c>
      <c r="D9837" t="inlineStr">
        <is>
          <t>VÄRMLANDS LÄN</t>
        </is>
      </c>
      <c r="E9837" t="inlineStr">
        <is>
          <t>FILIPSTAD</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21608-2023</t>
        </is>
      </c>
      <c r="B9838" s="1" t="n">
        <v>45063</v>
      </c>
      <c r="C9838" s="1" t="n">
        <v>45736</v>
      </c>
      <c r="D9838" t="inlineStr">
        <is>
          <t>VÄRMLANDS LÄN</t>
        </is>
      </c>
      <c r="E9838" t="inlineStr">
        <is>
          <t>FILIPSTAD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21669-2023</t>
        </is>
      </c>
      <c r="B9839" s="1" t="n">
        <v>45063</v>
      </c>
      <c r="C9839" s="1" t="n">
        <v>45736</v>
      </c>
      <c r="D9839" t="inlineStr">
        <is>
          <t>VÄRMLANDS LÄN</t>
        </is>
      </c>
      <c r="E9839" t="inlineStr">
        <is>
          <t>KARLSTAD</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21670-2023</t>
        </is>
      </c>
      <c r="B9840" s="1" t="n">
        <v>45064</v>
      </c>
      <c r="C9840" s="1" t="n">
        <v>45736</v>
      </c>
      <c r="D9840" t="inlineStr">
        <is>
          <t>VÄRMLANDS LÄN</t>
        </is>
      </c>
      <c r="E9840" t="inlineStr">
        <is>
          <t>KARLSTAD</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22174-2023</t>
        </is>
      </c>
      <c r="B9841" s="1" t="n">
        <v>45065</v>
      </c>
      <c r="C9841" s="1" t="n">
        <v>45736</v>
      </c>
      <c r="D9841" t="inlineStr">
        <is>
          <t>VÄRMLANDS LÄN</t>
        </is>
      </c>
      <c r="E9841" t="inlineStr">
        <is>
          <t>SÄFFLE</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22180-2023</t>
        </is>
      </c>
      <c r="B9842" s="1" t="n">
        <v>45065</v>
      </c>
      <c r="C9842" s="1" t="n">
        <v>45736</v>
      </c>
      <c r="D9842" t="inlineStr">
        <is>
          <t>VÄRMLANDS LÄN</t>
        </is>
      </c>
      <c r="E9842" t="inlineStr">
        <is>
          <t>SÄFFLE</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21786-2023</t>
        </is>
      </c>
      <c r="B9843" s="1" t="n">
        <v>45066</v>
      </c>
      <c r="C9843" s="1" t="n">
        <v>45736</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21807-2023</t>
        </is>
      </c>
      <c r="B9844" s="1" t="n">
        <v>45068</v>
      </c>
      <c r="C9844" s="1" t="n">
        <v>45736</v>
      </c>
      <c r="D9844" t="inlineStr">
        <is>
          <t>VÄRMLANDS LÄN</t>
        </is>
      </c>
      <c r="E9844" t="inlineStr">
        <is>
          <t>ARVIKA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21790-2023</t>
        </is>
      </c>
      <c r="B9845" s="1" t="n">
        <v>45067</v>
      </c>
      <c r="C9845" s="1" t="n">
        <v>45736</v>
      </c>
      <c r="D9845" t="inlineStr">
        <is>
          <t>VÄRMLANDS LÄN</t>
        </is>
      </c>
      <c r="E9845" t="inlineStr">
        <is>
          <t>TORSBY</t>
        </is>
      </c>
      <c r="F9845" t="inlineStr">
        <is>
          <t>Övriga statliga verk och myndigheter</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21809-2023</t>
        </is>
      </c>
      <c r="B9846" s="1" t="n">
        <v>45068</v>
      </c>
      <c r="C9846" s="1" t="n">
        <v>45736</v>
      </c>
      <c r="D9846" t="inlineStr">
        <is>
          <t>VÄRMLANDS LÄN</t>
        </is>
      </c>
      <c r="E9846" t="inlineStr">
        <is>
          <t>ARVIKA</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21839-2023</t>
        </is>
      </c>
      <c r="B9847" s="1" t="n">
        <v>45068</v>
      </c>
      <c r="C9847" s="1" t="n">
        <v>45736</v>
      </c>
      <c r="D9847" t="inlineStr">
        <is>
          <t>VÄRMLANDS LÄN</t>
        </is>
      </c>
      <c r="E9847" t="inlineStr">
        <is>
          <t>TORSBY</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21847-2023</t>
        </is>
      </c>
      <c r="B9848" s="1" t="n">
        <v>45068</v>
      </c>
      <c r="C9848" s="1" t="n">
        <v>45736</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21851-2023</t>
        </is>
      </c>
      <c r="B9849" s="1" t="n">
        <v>45068</v>
      </c>
      <c r="C9849" s="1" t="n">
        <v>45736</v>
      </c>
      <c r="D9849" t="inlineStr">
        <is>
          <t>VÄRMLANDS LÄN</t>
        </is>
      </c>
      <c r="E9849" t="inlineStr">
        <is>
          <t>ARVIKA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21861-2023</t>
        </is>
      </c>
      <c r="B9850" s="1" t="n">
        <v>45068</v>
      </c>
      <c r="C9850" s="1" t="n">
        <v>45736</v>
      </c>
      <c r="D9850" t="inlineStr">
        <is>
          <t>VÄRMLANDS LÄN</t>
        </is>
      </c>
      <c r="E9850" t="inlineStr">
        <is>
          <t>KRISTINEHAMN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21871-2023</t>
        </is>
      </c>
      <c r="B9851" s="1" t="n">
        <v>45068</v>
      </c>
      <c r="C9851" s="1" t="n">
        <v>45736</v>
      </c>
      <c r="D9851" t="inlineStr">
        <is>
          <t>VÄRMLANDS LÄN</t>
        </is>
      </c>
      <c r="E9851" t="inlineStr">
        <is>
          <t>STORFORS</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21943-2023</t>
        </is>
      </c>
      <c r="B9852" s="1" t="n">
        <v>45068</v>
      </c>
      <c r="C9852" s="1" t="n">
        <v>45736</v>
      </c>
      <c r="D9852" t="inlineStr">
        <is>
          <t>VÄRMLANDS LÄN</t>
        </is>
      </c>
      <c r="E9852" t="inlineStr">
        <is>
          <t>KARLSTAD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21808-2023</t>
        </is>
      </c>
      <c r="B9853" s="1" t="n">
        <v>45068</v>
      </c>
      <c r="C9853" s="1" t="n">
        <v>45736</v>
      </c>
      <c r="D9853" t="inlineStr">
        <is>
          <t>VÄRMLANDS LÄN</t>
        </is>
      </c>
      <c r="E9853" t="inlineStr">
        <is>
          <t>ARVIKA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21920-2023</t>
        </is>
      </c>
      <c r="B9854" s="1" t="n">
        <v>45068</v>
      </c>
      <c r="C9854" s="1" t="n">
        <v>45736</v>
      </c>
      <c r="D9854" t="inlineStr">
        <is>
          <t>VÄRMLANDS LÄN</t>
        </is>
      </c>
      <c r="E9854" t="inlineStr">
        <is>
          <t>SUNNE</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21925-2023</t>
        </is>
      </c>
      <c r="B9855" s="1" t="n">
        <v>45068</v>
      </c>
      <c r="C9855" s="1" t="n">
        <v>45736</v>
      </c>
      <c r="D9855" t="inlineStr">
        <is>
          <t>VÄRMLANDS LÄN</t>
        </is>
      </c>
      <c r="E9855" t="inlineStr">
        <is>
          <t>SUNNE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21929-2023</t>
        </is>
      </c>
      <c r="B9856" s="1" t="n">
        <v>45068</v>
      </c>
      <c r="C9856" s="1" t="n">
        <v>45736</v>
      </c>
      <c r="D9856" t="inlineStr">
        <is>
          <t>VÄRMLANDS LÄN</t>
        </is>
      </c>
      <c r="E9856" t="inlineStr">
        <is>
          <t>STORFORS</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21959-2023</t>
        </is>
      </c>
      <c r="B9857" s="1" t="n">
        <v>45068</v>
      </c>
      <c r="C9857" s="1" t="n">
        <v>45736</v>
      </c>
      <c r="D9857" t="inlineStr">
        <is>
          <t>VÄRMLANDS LÄN</t>
        </is>
      </c>
      <c r="E9857" t="inlineStr">
        <is>
          <t>ARVIKA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21913-2023</t>
        </is>
      </c>
      <c r="B9858" s="1" t="n">
        <v>45068</v>
      </c>
      <c r="C9858" s="1" t="n">
        <v>45736</v>
      </c>
      <c r="D9858" t="inlineStr">
        <is>
          <t>VÄRMLANDS LÄN</t>
        </is>
      </c>
      <c r="E9858" t="inlineStr">
        <is>
          <t>SUNNE</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21958-2023</t>
        </is>
      </c>
      <c r="B9859" s="1" t="n">
        <v>45068</v>
      </c>
      <c r="C9859" s="1" t="n">
        <v>45736</v>
      </c>
      <c r="D9859" t="inlineStr">
        <is>
          <t>VÄRMLANDS LÄN</t>
        </is>
      </c>
      <c r="E9859" t="inlineStr">
        <is>
          <t>SÄFFLE</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21962-2023</t>
        </is>
      </c>
      <c r="B9860" s="1" t="n">
        <v>45068</v>
      </c>
      <c r="C9860" s="1" t="n">
        <v>45736</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21970-2023</t>
        </is>
      </c>
      <c r="B9861" s="1" t="n">
        <v>45068</v>
      </c>
      <c r="C9861" s="1" t="n">
        <v>45736</v>
      </c>
      <c r="D9861" t="inlineStr">
        <is>
          <t>VÄRMLANDS LÄN</t>
        </is>
      </c>
      <c r="E9861" t="inlineStr">
        <is>
          <t>SUNNE</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21988-2023</t>
        </is>
      </c>
      <c r="B9862" s="1" t="n">
        <v>45068</v>
      </c>
      <c r="C9862" s="1" t="n">
        <v>45736</v>
      </c>
      <c r="D9862" t="inlineStr">
        <is>
          <t>VÄRMLANDS LÄN</t>
        </is>
      </c>
      <c r="E9862" t="inlineStr">
        <is>
          <t>TORSBY</t>
        </is>
      </c>
      <c r="F9862" t="inlineStr">
        <is>
          <t>Bergvik skog väst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21912-2023</t>
        </is>
      </c>
      <c r="B9863" s="1" t="n">
        <v>45068</v>
      </c>
      <c r="C9863" s="1" t="n">
        <v>45736</v>
      </c>
      <c r="D9863" t="inlineStr">
        <is>
          <t>VÄRMLANDS LÄN</t>
        </is>
      </c>
      <c r="E9863" t="inlineStr">
        <is>
          <t>TORSBY</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21953-2023</t>
        </is>
      </c>
      <c r="B9864" s="1" t="n">
        <v>45068</v>
      </c>
      <c r="C9864" s="1" t="n">
        <v>45736</v>
      </c>
      <c r="D9864" t="inlineStr">
        <is>
          <t>VÄRMLANDS LÄN</t>
        </is>
      </c>
      <c r="E9864" t="inlineStr">
        <is>
          <t>ARVIKA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21974-2023</t>
        </is>
      </c>
      <c r="B9865" s="1" t="n">
        <v>45068</v>
      </c>
      <c r="C9865" s="1" t="n">
        <v>45736</v>
      </c>
      <c r="D9865" t="inlineStr">
        <is>
          <t>VÄRMLANDS LÄN</t>
        </is>
      </c>
      <c r="E9865" t="inlineStr">
        <is>
          <t>SÄFFLE</t>
        </is>
      </c>
      <c r="G9865" t="n">
        <v>11.8</v>
      </c>
      <c r="H9865" t="n">
        <v>0</v>
      </c>
      <c r="I9865" t="n">
        <v>0</v>
      </c>
      <c r="J9865" t="n">
        <v>0</v>
      </c>
      <c r="K9865" t="n">
        <v>0</v>
      </c>
      <c r="L9865" t="n">
        <v>0</v>
      </c>
      <c r="M9865" t="n">
        <v>0</v>
      </c>
      <c r="N9865" t="n">
        <v>0</v>
      </c>
      <c r="O9865" t="n">
        <v>0</v>
      </c>
      <c r="P9865" t="n">
        <v>0</v>
      </c>
      <c r="Q9865" t="n">
        <v>0</v>
      </c>
      <c r="R9865" s="2" t="inlineStr"/>
    </row>
    <row r="9866" ht="15" customHeight="1">
      <c r="A9866" t="inlineStr">
        <is>
          <t>A 22132-2023</t>
        </is>
      </c>
      <c r="B9866" s="1" t="n">
        <v>45069</v>
      </c>
      <c r="C9866" s="1" t="n">
        <v>45736</v>
      </c>
      <c r="D9866" t="inlineStr">
        <is>
          <t>VÄRMLANDS LÄN</t>
        </is>
      </c>
      <c r="E9866" t="inlineStr">
        <is>
          <t>FILIPSTAD</t>
        </is>
      </c>
      <c r="F9866" t="inlineStr">
        <is>
          <t>Bergvik skog väst AB</t>
        </is>
      </c>
      <c r="G9866" t="n">
        <v>16.4</v>
      </c>
      <c r="H9866" t="n">
        <v>0</v>
      </c>
      <c r="I9866" t="n">
        <v>0</v>
      </c>
      <c r="J9866" t="n">
        <v>0</v>
      </c>
      <c r="K9866" t="n">
        <v>0</v>
      </c>
      <c r="L9866" t="n">
        <v>0</v>
      </c>
      <c r="M9866" t="n">
        <v>0</v>
      </c>
      <c r="N9866" t="n">
        <v>0</v>
      </c>
      <c r="O9866" t="n">
        <v>0</v>
      </c>
      <c r="P9866" t="n">
        <v>0</v>
      </c>
      <c r="Q9866" t="n">
        <v>0</v>
      </c>
      <c r="R9866" s="2" t="inlineStr"/>
    </row>
    <row r="9867" ht="15" customHeight="1">
      <c r="A9867" t="inlineStr">
        <is>
          <t>A 22065-2023</t>
        </is>
      </c>
      <c r="B9867" s="1" t="n">
        <v>45069</v>
      </c>
      <c r="C9867" s="1" t="n">
        <v>45736</v>
      </c>
      <c r="D9867" t="inlineStr">
        <is>
          <t>VÄRMLANDS LÄN</t>
        </is>
      </c>
      <c r="E9867" t="inlineStr">
        <is>
          <t>EDA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22080-2023</t>
        </is>
      </c>
      <c r="B9868" s="1" t="n">
        <v>45069</v>
      </c>
      <c r="C9868" s="1" t="n">
        <v>45736</v>
      </c>
      <c r="D9868" t="inlineStr">
        <is>
          <t>VÄRMLANDS LÄN</t>
        </is>
      </c>
      <c r="E9868" t="inlineStr">
        <is>
          <t>SUNNE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22089-2023</t>
        </is>
      </c>
      <c r="B9869" s="1" t="n">
        <v>45069</v>
      </c>
      <c r="C9869" s="1" t="n">
        <v>45736</v>
      </c>
      <c r="D9869" t="inlineStr">
        <is>
          <t>VÄRMLANDS LÄN</t>
        </is>
      </c>
      <c r="E9869" t="inlineStr">
        <is>
          <t>TORSBY</t>
        </is>
      </c>
      <c r="G9869" t="n">
        <v>9.5</v>
      </c>
      <c r="H9869" t="n">
        <v>0</v>
      </c>
      <c r="I9869" t="n">
        <v>0</v>
      </c>
      <c r="J9869" t="n">
        <v>0</v>
      </c>
      <c r="K9869" t="n">
        <v>0</v>
      </c>
      <c r="L9869" t="n">
        <v>0</v>
      </c>
      <c r="M9869" t="n">
        <v>0</v>
      </c>
      <c r="N9869" t="n">
        <v>0</v>
      </c>
      <c r="O9869" t="n">
        <v>0</v>
      </c>
      <c r="P9869" t="n">
        <v>0</v>
      </c>
      <c r="Q9869" t="n">
        <v>0</v>
      </c>
      <c r="R9869" s="2" t="inlineStr"/>
    </row>
    <row r="9870" ht="15" customHeight="1">
      <c r="A9870" t="inlineStr">
        <is>
          <t>A 22068-2023</t>
        </is>
      </c>
      <c r="B9870" s="1" t="n">
        <v>45069</v>
      </c>
      <c r="C9870" s="1" t="n">
        <v>45736</v>
      </c>
      <c r="D9870" t="inlineStr">
        <is>
          <t>VÄRMLANDS LÄN</t>
        </is>
      </c>
      <c r="E9870" t="inlineStr">
        <is>
          <t>EDA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22161-2023</t>
        </is>
      </c>
      <c r="B9871" s="1" t="n">
        <v>45069</v>
      </c>
      <c r="C9871" s="1" t="n">
        <v>45736</v>
      </c>
      <c r="D9871" t="inlineStr">
        <is>
          <t>VÄRMLANDS LÄN</t>
        </is>
      </c>
      <c r="E9871" t="inlineStr">
        <is>
          <t>SUNNE</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22172-2023</t>
        </is>
      </c>
      <c r="B9872" s="1" t="n">
        <v>45069</v>
      </c>
      <c r="C9872" s="1" t="n">
        <v>45736</v>
      </c>
      <c r="D9872" t="inlineStr">
        <is>
          <t>VÄRMLANDS LÄN</t>
        </is>
      </c>
      <c r="E9872" t="inlineStr">
        <is>
          <t>SUNNE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22023-2023</t>
        </is>
      </c>
      <c r="B9873" s="1" t="n">
        <v>45069</v>
      </c>
      <c r="C9873" s="1" t="n">
        <v>45736</v>
      </c>
      <c r="D9873" t="inlineStr">
        <is>
          <t>VÄRMLANDS LÄN</t>
        </is>
      </c>
      <c r="E9873" t="inlineStr">
        <is>
          <t>ÅRJÄNG</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22030-2023</t>
        </is>
      </c>
      <c r="B9874" s="1" t="n">
        <v>45069</v>
      </c>
      <c r="C9874" s="1" t="n">
        <v>45736</v>
      </c>
      <c r="D9874" t="inlineStr">
        <is>
          <t>VÄRMLANDS LÄN</t>
        </is>
      </c>
      <c r="E9874" t="inlineStr">
        <is>
          <t>TORSBY</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22032-2023</t>
        </is>
      </c>
      <c r="B9875" s="1" t="n">
        <v>45069</v>
      </c>
      <c r="C9875" s="1" t="n">
        <v>45736</v>
      </c>
      <c r="D9875" t="inlineStr">
        <is>
          <t>VÄRMLANDS LÄN</t>
        </is>
      </c>
      <c r="E9875" t="inlineStr">
        <is>
          <t>ÅRJÄNG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22024-2023</t>
        </is>
      </c>
      <c r="B9876" s="1" t="n">
        <v>45069</v>
      </c>
      <c r="C9876" s="1" t="n">
        <v>45736</v>
      </c>
      <c r="D9876" t="inlineStr">
        <is>
          <t>VÄRMLANDS LÄN</t>
        </is>
      </c>
      <c r="E9876" t="inlineStr">
        <is>
          <t>SUNNE</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22031-2023</t>
        </is>
      </c>
      <c r="B9877" s="1" t="n">
        <v>45069</v>
      </c>
      <c r="C9877" s="1" t="n">
        <v>45736</v>
      </c>
      <c r="D9877" t="inlineStr">
        <is>
          <t>VÄRMLANDS LÄN</t>
        </is>
      </c>
      <c r="E9877" t="inlineStr">
        <is>
          <t>HAGFORS</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22038-2023</t>
        </is>
      </c>
      <c r="B9878" s="1" t="n">
        <v>45069</v>
      </c>
      <c r="C9878" s="1" t="n">
        <v>45736</v>
      </c>
      <c r="D9878" t="inlineStr">
        <is>
          <t>VÄRMLANDS LÄN</t>
        </is>
      </c>
      <c r="E9878" t="inlineStr">
        <is>
          <t>TORSBY</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22026-2023</t>
        </is>
      </c>
      <c r="B9879" s="1" t="n">
        <v>45069</v>
      </c>
      <c r="C9879" s="1" t="n">
        <v>45736</v>
      </c>
      <c r="D9879" t="inlineStr">
        <is>
          <t>VÄRMLANDS LÄN</t>
        </is>
      </c>
      <c r="E9879" t="inlineStr">
        <is>
          <t>SUNNE</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22033-2023</t>
        </is>
      </c>
      <c r="B9880" s="1" t="n">
        <v>45069</v>
      </c>
      <c r="C9880" s="1" t="n">
        <v>45736</v>
      </c>
      <c r="D9880" t="inlineStr">
        <is>
          <t>VÄRMLANDS LÄN</t>
        </is>
      </c>
      <c r="E9880" t="inlineStr">
        <is>
          <t>TORSBY</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22254-2023</t>
        </is>
      </c>
      <c r="B9881" s="1" t="n">
        <v>45070</v>
      </c>
      <c r="C9881" s="1" t="n">
        <v>45736</v>
      </c>
      <c r="D9881" t="inlineStr">
        <is>
          <t>VÄRMLANDS LÄN</t>
        </is>
      </c>
      <c r="E9881" t="inlineStr">
        <is>
          <t>SÄFFLE</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22260-2023</t>
        </is>
      </c>
      <c r="B9882" s="1" t="n">
        <v>45070</v>
      </c>
      <c r="C9882" s="1" t="n">
        <v>45736</v>
      </c>
      <c r="D9882" t="inlineStr">
        <is>
          <t>VÄRMLANDS LÄN</t>
        </is>
      </c>
      <c r="E9882" t="inlineStr">
        <is>
          <t>SUNNE</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22268-2023</t>
        </is>
      </c>
      <c r="B9883" s="1" t="n">
        <v>45070</v>
      </c>
      <c r="C9883" s="1" t="n">
        <v>45736</v>
      </c>
      <c r="D9883" t="inlineStr">
        <is>
          <t>VÄRMLANDS LÄN</t>
        </is>
      </c>
      <c r="E9883" t="inlineStr">
        <is>
          <t>FILIPSTAD</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22331-2023</t>
        </is>
      </c>
      <c r="B9884" s="1" t="n">
        <v>45070</v>
      </c>
      <c r="C9884" s="1" t="n">
        <v>45736</v>
      </c>
      <c r="D9884" t="inlineStr">
        <is>
          <t>VÄRMLANDS LÄN</t>
        </is>
      </c>
      <c r="E9884" t="inlineStr">
        <is>
          <t>ARVIKA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22337-2023</t>
        </is>
      </c>
      <c r="B9885" s="1" t="n">
        <v>45070</v>
      </c>
      <c r="C9885" s="1" t="n">
        <v>45736</v>
      </c>
      <c r="D9885" t="inlineStr">
        <is>
          <t>VÄRMLANDS LÄN</t>
        </is>
      </c>
      <c r="E9885" t="inlineStr">
        <is>
          <t>ARVIKA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22347-2023</t>
        </is>
      </c>
      <c r="B9886" s="1" t="n">
        <v>45070</v>
      </c>
      <c r="C9886" s="1" t="n">
        <v>45736</v>
      </c>
      <c r="D9886" t="inlineStr">
        <is>
          <t>VÄRMLANDS LÄN</t>
        </is>
      </c>
      <c r="E9886" t="inlineStr">
        <is>
          <t>GRUMS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22409-2023</t>
        </is>
      </c>
      <c r="B9887" s="1" t="n">
        <v>45070</v>
      </c>
      <c r="C9887" s="1" t="n">
        <v>45736</v>
      </c>
      <c r="D9887" t="inlineStr">
        <is>
          <t>VÄRMLANDS LÄN</t>
        </is>
      </c>
      <c r="E9887" t="inlineStr">
        <is>
          <t>KARLSTAD</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22294-2023</t>
        </is>
      </c>
      <c r="B9888" s="1" t="n">
        <v>45070</v>
      </c>
      <c r="C9888" s="1" t="n">
        <v>45736</v>
      </c>
      <c r="D9888" t="inlineStr">
        <is>
          <t>VÄRMLANDS LÄN</t>
        </is>
      </c>
      <c r="E9888" t="inlineStr">
        <is>
          <t>EDA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22325-2023</t>
        </is>
      </c>
      <c r="B9889" s="1" t="n">
        <v>45070</v>
      </c>
      <c r="C9889" s="1" t="n">
        <v>45736</v>
      </c>
      <c r="D9889" t="inlineStr">
        <is>
          <t>VÄRMLANDS LÄN</t>
        </is>
      </c>
      <c r="E9889" t="inlineStr">
        <is>
          <t>HAGFORS</t>
        </is>
      </c>
      <c r="F9889" t="inlineStr">
        <is>
          <t>Bergvik skog väst AB</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22363-2023</t>
        </is>
      </c>
      <c r="B9890" s="1" t="n">
        <v>45070</v>
      </c>
      <c r="C9890" s="1" t="n">
        <v>45736</v>
      </c>
      <c r="D9890" t="inlineStr">
        <is>
          <t>VÄRMLANDS LÄN</t>
        </is>
      </c>
      <c r="E9890" t="inlineStr">
        <is>
          <t>HAGFORS</t>
        </is>
      </c>
      <c r="F9890" t="inlineStr">
        <is>
          <t>Bergvik skog väst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22386-2023</t>
        </is>
      </c>
      <c r="B9891" s="1" t="n">
        <v>45070</v>
      </c>
      <c r="C9891" s="1" t="n">
        <v>45736</v>
      </c>
      <c r="D9891" t="inlineStr">
        <is>
          <t>VÄRMLANDS LÄN</t>
        </is>
      </c>
      <c r="E9891" t="inlineStr">
        <is>
          <t>TORSBY</t>
        </is>
      </c>
      <c r="F9891" t="inlineStr">
        <is>
          <t>Bergvik skog väst AB</t>
        </is>
      </c>
      <c r="G9891" t="n">
        <v>11.1</v>
      </c>
      <c r="H9891" t="n">
        <v>0</v>
      </c>
      <c r="I9891" t="n">
        <v>0</v>
      </c>
      <c r="J9891" t="n">
        <v>0</v>
      </c>
      <c r="K9891" t="n">
        <v>0</v>
      </c>
      <c r="L9891" t="n">
        <v>0</v>
      </c>
      <c r="M9891" t="n">
        <v>0</v>
      </c>
      <c r="N9891" t="n">
        <v>0</v>
      </c>
      <c r="O9891" t="n">
        <v>0</v>
      </c>
      <c r="P9891" t="n">
        <v>0</v>
      </c>
      <c r="Q9891" t="n">
        <v>0</v>
      </c>
      <c r="R9891" s="2" t="inlineStr"/>
    </row>
    <row r="9892" ht="15" customHeight="1">
      <c r="A9892" t="inlineStr">
        <is>
          <t>A 22285-2023</t>
        </is>
      </c>
      <c r="B9892" s="1" t="n">
        <v>45070</v>
      </c>
      <c r="C9892" s="1" t="n">
        <v>45736</v>
      </c>
      <c r="D9892" t="inlineStr">
        <is>
          <t>VÄRMLANDS LÄN</t>
        </is>
      </c>
      <c r="E9892" t="inlineStr">
        <is>
          <t>HAGFORS</t>
        </is>
      </c>
      <c r="F9892" t="inlineStr">
        <is>
          <t>Bergvik skog väst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22316-2023</t>
        </is>
      </c>
      <c r="B9893" s="1" t="n">
        <v>45070</v>
      </c>
      <c r="C9893" s="1" t="n">
        <v>45736</v>
      </c>
      <c r="D9893" t="inlineStr">
        <is>
          <t>VÄRMLANDS LÄN</t>
        </is>
      </c>
      <c r="E9893" t="inlineStr">
        <is>
          <t>ARVIKA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22278-2023</t>
        </is>
      </c>
      <c r="B9894" s="1" t="n">
        <v>45070</v>
      </c>
      <c r="C9894" s="1" t="n">
        <v>45736</v>
      </c>
      <c r="D9894" t="inlineStr">
        <is>
          <t>VÄRMLANDS LÄN</t>
        </is>
      </c>
      <c r="E9894" t="inlineStr">
        <is>
          <t>SÄFFLE</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22301-2023</t>
        </is>
      </c>
      <c r="B9895" s="1" t="n">
        <v>45070</v>
      </c>
      <c r="C9895" s="1" t="n">
        <v>45736</v>
      </c>
      <c r="D9895" t="inlineStr">
        <is>
          <t>VÄRMLANDS LÄN</t>
        </is>
      </c>
      <c r="E9895" t="inlineStr">
        <is>
          <t>TORSBY</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23073-2023</t>
        </is>
      </c>
      <c r="B9896" s="1" t="n">
        <v>45070</v>
      </c>
      <c r="C9896" s="1" t="n">
        <v>45736</v>
      </c>
      <c r="D9896" t="inlineStr">
        <is>
          <t>VÄRMLANDS LÄN</t>
        </is>
      </c>
      <c r="E9896" t="inlineStr">
        <is>
          <t>TORSBY</t>
        </is>
      </c>
      <c r="G9896" t="n">
        <v>15.1</v>
      </c>
      <c r="H9896" t="n">
        <v>0</v>
      </c>
      <c r="I9896" t="n">
        <v>0</v>
      </c>
      <c r="J9896" t="n">
        <v>0</v>
      </c>
      <c r="K9896" t="n">
        <v>0</v>
      </c>
      <c r="L9896" t="n">
        <v>0</v>
      </c>
      <c r="M9896" t="n">
        <v>0</v>
      </c>
      <c r="N9896" t="n">
        <v>0</v>
      </c>
      <c r="O9896" t="n">
        <v>0</v>
      </c>
      <c r="P9896" t="n">
        <v>0</v>
      </c>
      <c r="Q9896" t="n">
        <v>0</v>
      </c>
      <c r="R9896" s="2" t="inlineStr"/>
    </row>
    <row r="9897" ht="15" customHeight="1">
      <c r="A9897" t="inlineStr">
        <is>
          <t>A 22850-2023</t>
        </is>
      </c>
      <c r="B9897" s="1" t="n">
        <v>45070</v>
      </c>
      <c r="C9897" s="1" t="n">
        <v>45736</v>
      </c>
      <c r="D9897" t="inlineStr">
        <is>
          <t>VÄRMLANDS LÄN</t>
        </is>
      </c>
      <c r="E9897" t="inlineStr">
        <is>
          <t>ÅRJÄNG</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22920-2023</t>
        </is>
      </c>
      <c r="B9898" s="1" t="n">
        <v>45070</v>
      </c>
      <c r="C9898" s="1" t="n">
        <v>45736</v>
      </c>
      <c r="D9898" t="inlineStr">
        <is>
          <t>VÄRMLANDS LÄN</t>
        </is>
      </c>
      <c r="E9898" t="inlineStr">
        <is>
          <t>TORSBY</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22494-2023</t>
        </is>
      </c>
      <c r="B9899" s="1" t="n">
        <v>45071</v>
      </c>
      <c r="C9899" s="1" t="n">
        <v>45736</v>
      </c>
      <c r="D9899" t="inlineStr">
        <is>
          <t>VÄRMLANDS LÄN</t>
        </is>
      </c>
      <c r="E9899" t="inlineStr">
        <is>
          <t>TORSBY</t>
        </is>
      </c>
      <c r="F9899" t="inlineStr">
        <is>
          <t>Bergvik skog väst AB</t>
        </is>
      </c>
      <c r="G9899" t="n">
        <v>25.7</v>
      </c>
      <c r="H9899" t="n">
        <v>0</v>
      </c>
      <c r="I9899" t="n">
        <v>0</v>
      </c>
      <c r="J9899" t="n">
        <v>0</v>
      </c>
      <c r="K9899" t="n">
        <v>0</v>
      </c>
      <c r="L9899" t="n">
        <v>0</v>
      </c>
      <c r="M9899" t="n">
        <v>0</v>
      </c>
      <c r="N9899" t="n">
        <v>0</v>
      </c>
      <c r="O9899" t="n">
        <v>0</v>
      </c>
      <c r="P9899" t="n">
        <v>0</v>
      </c>
      <c r="Q9899" t="n">
        <v>0</v>
      </c>
      <c r="R9899" s="2" t="inlineStr"/>
    </row>
    <row r="9900" ht="15" customHeight="1">
      <c r="A9900" t="inlineStr">
        <is>
          <t>A 22524-2023</t>
        </is>
      </c>
      <c r="B9900" s="1" t="n">
        <v>45071</v>
      </c>
      <c r="C9900" s="1" t="n">
        <v>45736</v>
      </c>
      <c r="D9900" t="inlineStr">
        <is>
          <t>VÄRMLANDS LÄN</t>
        </is>
      </c>
      <c r="E9900" t="inlineStr">
        <is>
          <t>TORSBY</t>
        </is>
      </c>
      <c r="F9900" t="inlineStr">
        <is>
          <t>Bergvik skog väst AB</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22535-2023</t>
        </is>
      </c>
      <c r="B9901" s="1" t="n">
        <v>45071</v>
      </c>
      <c r="C9901" s="1" t="n">
        <v>45736</v>
      </c>
      <c r="D9901" t="inlineStr">
        <is>
          <t>VÄRMLANDS LÄN</t>
        </is>
      </c>
      <c r="E9901" t="inlineStr">
        <is>
          <t>KARLSTAD</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22496-2023</t>
        </is>
      </c>
      <c r="B9902" s="1" t="n">
        <v>45071</v>
      </c>
      <c r="C9902" s="1" t="n">
        <v>45736</v>
      </c>
      <c r="D9902" t="inlineStr">
        <is>
          <t>VÄRMLANDS LÄN</t>
        </is>
      </c>
      <c r="E9902" t="inlineStr">
        <is>
          <t>ARVIKA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22587-2023</t>
        </is>
      </c>
      <c r="B9903" s="1" t="n">
        <v>45071</v>
      </c>
      <c r="C9903" s="1" t="n">
        <v>45736</v>
      </c>
      <c r="D9903" t="inlineStr">
        <is>
          <t>VÄRMLANDS LÄN</t>
        </is>
      </c>
      <c r="E9903" t="inlineStr">
        <is>
          <t>TORSBY</t>
        </is>
      </c>
      <c r="F9903" t="inlineStr">
        <is>
          <t>Bergvik skog väst AB</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22618-2023</t>
        </is>
      </c>
      <c r="B9904" s="1" t="n">
        <v>45071</v>
      </c>
      <c r="C9904" s="1" t="n">
        <v>45736</v>
      </c>
      <c r="D9904" t="inlineStr">
        <is>
          <t>VÄRMLANDS LÄN</t>
        </is>
      </c>
      <c r="E9904" t="inlineStr">
        <is>
          <t>TORSBY</t>
        </is>
      </c>
      <c r="F9904" t="inlineStr">
        <is>
          <t>Bergvik skog väst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22655-2023</t>
        </is>
      </c>
      <c r="B9905" s="1" t="n">
        <v>45071</v>
      </c>
      <c r="C9905" s="1" t="n">
        <v>45736</v>
      </c>
      <c r="D9905" t="inlineStr">
        <is>
          <t>VÄRMLANDS LÄN</t>
        </is>
      </c>
      <c r="E9905" t="inlineStr">
        <is>
          <t>TORSBY</t>
        </is>
      </c>
      <c r="F9905" t="inlineStr">
        <is>
          <t>Bergvik skog väst AB</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22489-2023</t>
        </is>
      </c>
      <c r="B9906" s="1" t="n">
        <v>45071</v>
      </c>
      <c r="C9906" s="1" t="n">
        <v>45736</v>
      </c>
      <c r="D9906" t="inlineStr">
        <is>
          <t>VÄRMLANDS LÄN</t>
        </is>
      </c>
      <c r="E9906" t="inlineStr">
        <is>
          <t>SUNNE</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22505-2023</t>
        </is>
      </c>
      <c r="B9907" s="1" t="n">
        <v>45071</v>
      </c>
      <c r="C9907" s="1" t="n">
        <v>45736</v>
      </c>
      <c r="D9907" t="inlineStr">
        <is>
          <t>VÄRMLANDS LÄN</t>
        </is>
      </c>
      <c r="E9907" t="inlineStr">
        <is>
          <t>KARLSTAD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22538-2023</t>
        </is>
      </c>
      <c r="B9908" s="1" t="n">
        <v>45071</v>
      </c>
      <c r="C9908" s="1" t="n">
        <v>45736</v>
      </c>
      <c r="D9908" t="inlineStr">
        <is>
          <t>VÄRMLANDS LÄN</t>
        </is>
      </c>
      <c r="E9908" t="inlineStr">
        <is>
          <t>KARLSTAD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22611-2023</t>
        </is>
      </c>
      <c r="B9909" s="1" t="n">
        <v>45071</v>
      </c>
      <c r="C9909" s="1" t="n">
        <v>45736</v>
      </c>
      <c r="D9909" t="inlineStr">
        <is>
          <t>VÄRMLANDS LÄN</t>
        </is>
      </c>
      <c r="E9909" t="inlineStr">
        <is>
          <t>HAGFORS</t>
        </is>
      </c>
      <c r="F9909" t="inlineStr">
        <is>
          <t>Bergvik skog väst AB</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22540-2023</t>
        </is>
      </c>
      <c r="B9910" s="1" t="n">
        <v>45071</v>
      </c>
      <c r="C9910" s="1" t="n">
        <v>45736</v>
      </c>
      <c r="D9910" t="inlineStr">
        <is>
          <t>VÄRMLANDS LÄN</t>
        </is>
      </c>
      <c r="E9910" t="inlineStr">
        <is>
          <t>KARLSTAD</t>
        </is>
      </c>
      <c r="G9910" t="n">
        <v>12.1</v>
      </c>
      <c r="H9910" t="n">
        <v>0</v>
      </c>
      <c r="I9910" t="n">
        <v>0</v>
      </c>
      <c r="J9910" t="n">
        <v>0</v>
      </c>
      <c r="K9910" t="n">
        <v>0</v>
      </c>
      <c r="L9910" t="n">
        <v>0</v>
      </c>
      <c r="M9910" t="n">
        <v>0</v>
      </c>
      <c r="N9910" t="n">
        <v>0</v>
      </c>
      <c r="O9910" t="n">
        <v>0</v>
      </c>
      <c r="P9910" t="n">
        <v>0</v>
      </c>
      <c r="Q9910" t="n">
        <v>0</v>
      </c>
      <c r="R9910" s="2" t="inlineStr"/>
    </row>
    <row r="9911" ht="15" customHeight="1">
      <c r="A9911" t="inlineStr">
        <is>
          <t>A 22563-2023</t>
        </is>
      </c>
      <c r="B9911" s="1" t="n">
        <v>45071</v>
      </c>
      <c r="C9911" s="1" t="n">
        <v>45736</v>
      </c>
      <c r="D9911" t="inlineStr">
        <is>
          <t>VÄRMLANDS LÄN</t>
        </is>
      </c>
      <c r="E9911" t="inlineStr">
        <is>
          <t>ARVIKA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22676-2023</t>
        </is>
      </c>
      <c r="B9912" s="1" t="n">
        <v>45071</v>
      </c>
      <c r="C9912" s="1" t="n">
        <v>45736</v>
      </c>
      <c r="D9912" t="inlineStr">
        <is>
          <t>VÄRMLANDS LÄN</t>
        </is>
      </c>
      <c r="E9912" t="inlineStr">
        <is>
          <t>HAGFORS</t>
        </is>
      </c>
      <c r="F9912" t="inlineStr">
        <is>
          <t>Bergvik skog väst AB</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22681-2023</t>
        </is>
      </c>
      <c r="B9913" s="1" t="n">
        <v>45071</v>
      </c>
      <c r="C9913" s="1" t="n">
        <v>45736</v>
      </c>
      <c r="D9913" t="inlineStr">
        <is>
          <t>VÄRMLANDS LÄN</t>
        </is>
      </c>
      <c r="E9913" t="inlineStr">
        <is>
          <t>FILIPSTAD</t>
        </is>
      </c>
      <c r="F9913" t="inlineStr">
        <is>
          <t>Bergvik skog väst AB</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22705-2023</t>
        </is>
      </c>
      <c r="B9914" s="1" t="n">
        <v>45071</v>
      </c>
      <c r="C9914" s="1" t="n">
        <v>45736</v>
      </c>
      <c r="D9914" t="inlineStr">
        <is>
          <t>VÄRMLANDS LÄN</t>
        </is>
      </c>
      <c r="E9914" t="inlineStr">
        <is>
          <t>TORSBY</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22666-2023</t>
        </is>
      </c>
      <c r="B9915" s="1" t="n">
        <v>45071</v>
      </c>
      <c r="C9915" s="1" t="n">
        <v>45736</v>
      </c>
      <c r="D9915" t="inlineStr">
        <is>
          <t>VÄRMLANDS LÄN</t>
        </is>
      </c>
      <c r="E9915" t="inlineStr">
        <is>
          <t>FILIPSTAD</t>
        </is>
      </c>
      <c r="F9915" t="inlineStr">
        <is>
          <t>Bergvik skog väst AB</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22687-2023</t>
        </is>
      </c>
      <c r="B9916" s="1" t="n">
        <v>45071</v>
      </c>
      <c r="C9916" s="1" t="n">
        <v>45736</v>
      </c>
      <c r="D9916" t="inlineStr">
        <is>
          <t>VÄRMLANDS LÄN</t>
        </is>
      </c>
      <c r="E9916" t="inlineStr">
        <is>
          <t>TORSBY</t>
        </is>
      </c>
      <c r="F9916" t="inlineStr">
        <is>
          <t>Bergvik skog väst AB</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22665-2023</t>
        </is>
      </c>
      <c r="B9917" s="1" t="n">
        <v>45071</v>
      </c>
      <c r="C9917" s="1" t="n">
        <v>45736</v>
      </c>
      <c r="D9917" t="inlineStr">
        <is>
          <t>VÄRMLANDS LÄN</t>
        </is>
      </c>
      <c r="E9917" t="inlineStr">
        <is>
          <t>FILIPSTAD</t>
        </is>
      </c>
      <c r="F9917" t="inlineStr">
        <is>
          <t>Bergvik skog väst AB</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22634-2023</t>
        </is>
      </c>
      <c r="B9918" s="1" t="n">
        <v>45071</v>
      </c>
      <c r="C9918" s="1" t="n">
        <v>45736</v>
      </c>
      <c r="D9918" t="inlineStr">
        <is>
          <t>VÄRMLANDS LÄN</t>
        </is>
      </c>
      <c r="E9918" t="inlineStr">
        <is>
          <t>TORSBY</t>
        </is>
      </c>
      <c r="F9918" t="inlineStr">
        <is>
          <t>Bergvik skog väst AB</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22675-2023</t>
        </is>
      </c>
      <c r="B9919" s="1" t="n">
        <v>45071</v>
      </c>
      <c r="C9919" s="1" t="n">
        <v>45736</v>
      </c>
      <c r="D9919" t="inlineStr">
        <is>
          <t>VÄRMLANDS LÄN</t>
        </is>
      </c>
      <c r="E9919" t="inlineStr">
        <is>
          <t>TORSBY</t>
        </is>
      </c>
      <c r="F9919" t="inlineStr">
        <is>
          <t>Bergvik skog väst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22680-2023</t>
        </is>
      </c>
      <c r="B9920" s="1" t="n">
        <v>45071</v>
      </c>
      <c r="C9920" s="1" t="n">
        <v>45736</v>
      </c>
      <c r="D9920" t="inlineStr">
        <is>
          <t>VÄRMLANDS LÄN</t>
        </is>
      </c>
      <c r="E9920" t="inlineStr">
        <is>
          <t>SÄFFLE</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22702-2023</t>
        </is>
      </c>
      <c r="B9921" s="1" t="n">
        <v>45071</v>
      </c>
      <c r="C9921" s="1" t="n">
        <v>45736</v>
      </c>
      <c r="D9921" t="inlineStr">
        <is>
          <t>VÄRMLANDS LÄN</t>
        </is>
      </c>
      <c r="E9921" t="inlineStr">
        <is>
          <t>TORSBY</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23180-2023</t>
        </is>
      </c>
      <c r="B9922" s="1" t="n">
        <v>45071</v>
      </c>
      <c r="C9922" s="1" t="n">
        <v>45736</v>
      </c>
      <c r="D9922" t="inlineStr">
        <is>
          <t>VÄRMLANDS LÄN</t>
        </is>
      </c>
      <c r="E9922" t="inlineStr">
        <is>
          <t>EDA</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23196-2023</t>
        </is>
      </c>
      <c r="B9923" s="1" t="n">
        <v>45071</v>
      </c>
      <c r="C9923" s="1" t="n">
        <v>45736</v>
      </c>
      <c r="D9923" t="inlineStr">
        <is>
          <t>VÄRMLANDS LÄN</t>
        </is>
      </c>
      <c r="E9923" t="inlineStr">
        <is>
          <t>EDA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23191-2023</t>
        </is>
      </c>
      <c r="B9924" s="1" t="n">
        <v>45071</v>
      </c>
      <c r="C9924" s="1" t="n">
        <v>45736</v>
      </c>
      <c r="D9924" t="inlineStr">
        <is>
          <t>VÄRMLANDS LÄN</t>
        </is>
      </c>
      <c r="E9924" t="inlineStr">
        <is>
          <t>EDA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23176-2023</t>
        </is>
      </c>
      <c r="B9925" s="1" t="n">
        <v>45071</v>
      </c>
      <c r="C9925" s="1" t="n">
        <v>45736</v>
      </c>
      <c r="D9925" t="inlineStr">
        <is>
          <t>VÄRMLANDS LÄN</t>
        </is>
      </c>
      <c r="E9925" t="inlineStr">
        <is>
          <t>EDA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22764-2023</t>
        </is>
      </c>
      <c r="B9926" s="1" t="n">
        <v>45072</v>
      </c>
      <c r="C9926" s="1" t="n">
        <v>45736</v>
      </c>
      <c r="D9926" t="inlineStr">
        <is>
          <t>VÄRMLANDS LÄN</t>
        </is>
      </c>
      <c r="E9926" t="inlineStr">
        <is>
          <t>HAGFORS</t>
        </is>
      </c>
      <c r="F9926" t="inlineStr">
        <is>
          <t>Kyrkan</t>
        </is>
      </c>
      <c r="G9926" t="n">
        <v>8.699999999999999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22809-2023</t>
        </is>
      </c>
      <c r="B9927" s="1" t="n">
        <v>45072</v>
      </c>
      <c r="C9927" s="1" t="n">
        <v>45736</v>
      </c>
      <c r="D9927" t="inlineStr">
        <is>
          <t>VÄRMLANDS LÄN</t>
        </is>
      </c>
      <c r="E9927" t="inlineStr">
        <is>
          <t>HAGFORS</t>
        </is>
      </c>
      <c r="F9927" t="inlineStr">
        <is>
          <t>Bergvik skog väst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22813-2023</t>
        </is>
      </c>
      <c r="B9928" s="1" t="n">
        <v>45072</v>
      </c>
      <c r="C9928" s="1" t="n">
        <v>45736</v>
      </c>
      <c r="D9928" t="inlineStr">
        <is>
          <t>VÄRMLANDS LÄN</t>
        </is>
      </c>
      <c r="E9928" t="inlineStr">
        <is>
          <t>ARVIKA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22830-2023</t>
        </is>
      </c>
      <c r="B9929" s="1" t="n">
        <v>45072</v>
      </c>
      <c r="C9929" s="1" t="n">
        <v>45736</v>
      </c>
      <c r="D9929" t="inlineStr">
        <is>
          <t>VÄRMLANDS LÄN</t>
        </is>
      </c>
      <c r="E9929" t="inlineStr">
        <is>
          <t>FILIPSTAD</t>
        </is>
      </c>
      <c r="F9929" t="inlineStr">
        <is>
          <t>Bergvik skog väst AB</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22766-2023</t>
        </is>
      </c>
      <c r="B9930" s="1" t="n">
        <v>45072</v>
      </c>
      <c r="C9930" s="1" t="n">
        <v>45736</v>
      </c>
      <c r="D9930" t="inlineStr">
        <is>
          <t>VÄRMLANDS LÄN</t>
        </is>
      </c>
      <c r="E9930" t="inlineStr">
        <is>
          <t>KRISTINEHAMN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22807-2023</t>
        </is>
      </c>
      <c r="B9931" s="1" t="n">
        <v>45072</v>
      </c>
      <c r="C9931" s="1" t="n">
        <v>45736</v>
      </c>
      <c r="D9931" t="inlineStr">
        <is>
          <t>VÄRMLANDS LÄN</t>
        </is>
      </c>
      <c r="E9931" t="inlineStr">
        <is>
          <t>HAGFORS</t>
        </is>
      </c>
      <c r="F9931" t="inlineStr">
        <is>
          <t>Bergvik skog väst AB</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22819-2023</t>
        </is>
      </c>
      <c r="B9932" s="1" t="n">
        <v>45072</v>
      </c>
      <c r="C9932" s="1" t="n">
        <v>45736</v>
      </c>
      <c r="D9932" t="inlineStr">
        <is>
          <t>VÄRMLANDS LÄN</t>
        </is>
      </c>
      <c r="E9932" t="inlineStr">
        <is>
          <t>STORFORS</t>
        </is>
      </c>
      <c r="F9932" t="inlineStr">
        <is>
          <t>Bergvik skog väst AB</t>
        </is>
      </c>
      <c r="G9932" t="n">
        <v>10</v>
      </c>
      <c r="H9932" t="n">
        <v>0</v>
      </c>
      <c r="I9932" t="n">
        <v>0</v>
      </c>
      <c r="J9932" t="n">
        <v>0</v>
      </c>
      <c r="K9932" t="n">
        <v>0</v>
      </c>
      <c r="L9932" t="n">
        <v>0</v>
      </c>
      <c r="M9932" t="n">
        <v>0</v>
      </c>
      <c r="N9932" t="n">
        <v>0</v>
      </c>
      <c r="O9932" t="n">
        <v>0</v>
      </c>
      <c r="P9932" t="n">
        <v>0</v>
      </c>
      <c r="Q9932" t="n">
        <v>0</v>
      </c>
      <c r="R9932" s="2" t="inlineStr"/>
    </row>
    <row r="9933" ht="15" customHeight="1">
      <c r="A9933" t="inlineStr">
        <is>
          <t>A 22828-2023</t>
        </is>
      </c>
      <c r="B9933" s="1" t="n">
        <v>45072</v>
      </c>
      <c r="C9933" s="1" t="n">
        <v>45736</v>
      </c>
      <c r="D9933" t="inlineStr">
        <is>
          <t>VÄRMLANDS LÄN</t>
        </is>
      </c>
      <c r="E9933" t="inlineStr">
        <is>
          <t>ARVIKA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22866-2023</t>
        </is>
      </c>
      <c r="B9934" s="1" t="n">
        <v>45072</v>
      </c>
      <c r="C9934" s="1" t="n">
        <v>45736</v>
      </c>
      <c r="D9934" t="inlineStr">
        <is>
          <t>VÄRMLANDS LÄN</t>
        </is>
      </c>
      <c r="E9934" t="inlineStr">
        <is>
          <t>FILIPSTAD</t>
        </is>
      </c>
      <c r="F9934" t="inlineStr">
        <is>
          <t>Bergvik skog väst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22923-2023</t>
        </is>
      </c>
      <c r="B9935" s="1" t="n">
        <v>45072</v>
      </c>
      <c r="C9935" s="1" t="n">
        <v>45736</v>
      </c>
      <c r="D9935" t="inlineStr">
        <is>
          <t>VÄRMLANDS LÄN</t>
        </is>
      </c>
      <c r="E9935" t="inlineStr">
        <is>
          <t>SUNNE</t>
        </is>
      </c>
      <c r="F9935" t="inlineStr">
        <is>
          <t>Bergvik skog väst AB</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22927-2023</t>
        </is>
      </c>
      <c r="B9936" s="1" t="n">
        <v>45072</v>
      </c>
      <c r="C9936" s="1" t="n">
        <v>45736</v>
      </c>
      <c r="D9936" t="inlineStr">
        <is>
          <t>VÄRMLANDS LÄN</t>
        </is>
      </c>
      <c r="E9936" t="inlineStr">
        <is>
          <t>FORSHAGA</t>
        </is>
      </c>
      <c r="F9936" t="inlineStr">
        <is>
          <t>Kyrkan</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22896-2023</t>
        </is>
      </c>
      <c r="B9937" s="1" t="n">
        <v>45072</v>
      </c>
      <c r="C9937" s="1" t="n">
        <v>45736</v>
      </c>
      <c r="D9937" t="inlineStr">
        <is>
          <t>VÄRMLANDS LÄN</t>
        </is>
      </c>
      <c r="E9937" t="inlineStr">
        <is>
          <t>KRISTINEHAMN</t>
        </is>
      </c>
      <c r="F9937" t="inlineStr">
        <is>
          <t>Bergvik skog väst AB</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22914-2023</t>
        </is>
      </c>
      <c r="B9938" s="1" t="n">
        <v>45072</v>
      </c>
      <c r="C9938" s="1" t="n">
        <v>45736</v>
      </c>
      <c r="D9938" t="inlineStr">
        <is>
          <t>VÄRMLANDS LÄN</t>
        </is>
      </c>
      <c r="E9938" t="inlineStr">
        <is>
          <t>ARVIKA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22929-2023</t>
        </is>
      </c>
      <c r="B9939" s="1" t="n">
        <v>45072</v>
      </c>
      <c r="C9939" s="1" t="n">
        <v>45736</v>
      </c>
      <c r="D9939" t="inlineStr">
        <is>
          <t>VÄRMLANDS LÄN</t>
        </is>
      </c>
      <c r="E9939" t="inlineStr">
        <is>
          <t>SÄFFLE</t>
        </is>
      </c>
      <c r="F9939" t="inlineStr">
        <is>
          <t>Bergvik skog väst AB</t>
        </is>
      </c>
      <c r="G9939" t="n">
        <v>18.5</v>
      </c>
      <c r="H9939" t="n">
        <v>0</v>
      </c>
      <c r="I9939" t="n">
        <v>0</v>
      </c>
      <c r="J9939" t="n">
        <v>0</v>
      </c>
      <c r="K9939" t="n">
        <v>0</v>
      </c>
      <c r="L9939" t="n">
        <v>0</v>
      </c>
      <c r="M9939" t="n">
        <v>0</v>
      </c>
      <c r="N9939" t="n">
        <v>0</v>
      </c>
      <c r="O9939" t="n">
        <v>0</v>
      </c>
      <c r="P9939" t="n">
        <v>0</v>
      </c>
      <c r="Q9939" t="n">
        <v>0</v>
      </c>
      <c r="R9939" s="2" t="inlineStr"/>
    </row>
    <row r="9940" ht="15" customHeight="1">
      <c r="A9940" t="inlineStr">
        <is>
          <t>A 22935-2023</t>
        </is>
      </c>
      <c r="B9940" s="1" t="n">
        <v>45072</v>
      </c>
      <c r="C9940" s="1" t="n">
        <v>45736</v>
      </c>
      <c r="D9940" t="inlineStr">
        <is>
          <t>VÄRMLANDS LÄN</t>
        </is>
      </c>
      <c r="E9940" t="inlineStr">
        <is>
          <t>STORFORS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22939-2023</t>
        </is>
      </c>
      <c r="B9941" s="1" t="n">
        <v>45072</v>
      </c>
      <c r="C9941" s="1" t="n">
        <v>45736</v>
      </c>
      <c r="D9941" t="inlineStr">
        <is>
          <t>VÄRMLANDS LÄN</t>
        </is>
      </c>
      <c r="E9941" t="inlineStr">
        <is>
          <t>TORSBY</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22943-2023</t>
        </is>
      </c>
      <c r="B9942" s="1" t="n">
        <v>45072</v>
      </c>
      <c r="C9942" s="1" t="n">
        <v>45736</v>
      </c>
      <c r="D9942" t="inlineStr">
        <is>
          <t>VÄRMLANDS LÄN</t>
        </is>
      </c>
      <c r="E9942" t="inlineStr">
        <is>
          <t>TORSBY</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22916-2023</t>
        </is>
      </c>
      <c r="B9943" s="1" t="n">
        <v>45072</v>
      </c>
      <c r="C9943" s="1" t="n">
        <v>45736</v>
      </c>
      <c r="D9943" t="inlineStr">
        <is>
          <t>VÄRMLANDS LÄN</t>
        </is>
      </c>
      <c r="E9943" t="inlineStr">
        <is>
          <t>ÅRJÄNG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22922-2023</t>
        </is>
      </c>
      <c r="B9944" s="1" t="n">
        <v>45072</v>
      </c>
      <c r="C9944" s="1" t="n">
        <v>45736</v>
      </c>
      <c r="D9944" t="inlineStr">
        <is>
          <t>VÄRMLANDS LÄN</t>
        </is>
      </c>
      <c r="E9944" t="inlineStr">
        <is>
          <t>ARVIKA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22926-2023</t>
        </is>
      </c>
      <c r="B9945" s="1" t="n">
        <v>45072</v>
      </c>
      <c r="C9945" s="1" t="n">
        <v>45736</v>
      </c>
      <c r="D9945" t="inlineStr">
        <is>
          <t>VÄRMLANDS LÄN</t>
        </is>
      </c>
      <c r="E9945" t="inlineStr">
        <is>
          <t>ARVIKA</t>
        </is>
      </c>
      <c r="F9945" t="inlineStr">
        <is>
          <t>Bergvik skog väst AB</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22934-2023</t>
        </is>
      </c>
      <c r="B9946" s="1" t="n">
        <v>45072</v>
      </c>
      <c r="C9946" s="1" t="n">
        <v>45736</v>
      </c>
      <c r="D9946" t="inlineStr">
        <is>
          <t>VÄRMLANDS LÄN</t>
        </is>
      </c>
      <c r="E9946" t="inlineStr">
        <is>
          <t>ARVIKA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23027-2023</t>
        </is>
      </c>
      <c r="B9947" s="1" t="n">
        <v>45074</v>
      </c>
      <c r="C9947" s="1" t="n">
        <v>45736</v>
      </c>
      <c r="D9947" t="inlineStr">
        <is>
          <t>VÄRMLANDS LÄN</t>
        </is>
      </c>
      <c r="E9947" t="inlineStr">
        <is>
          <t>SUNNE</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23034-2023</t>
        </is>
      </c>
      <c r="B9948" s="1" t="n">
        <v>45074</v>
      </c>
      <c r="C9948" s="1" t="n">
        <v>45736</v>
      </c>
      <c r="D9948" t="inlineStr">
        <is>
          <t>VÄRMLANDS LÄN</t>
        </is>
      </c>
      <c r="E9948" t="inlineStr">
        <is>
          <t>ARVIKA</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23045-2023</t>
        </is>
      </c>
      <c r="B9949" s="1" t="n">
        <v>45075</v>
      </c>
      <c r="C9949" s="1" t="n">
        <v>45736</v>
      </c>
      <c r="D9949" t="inlineStr">
        <is>
          <t>VÄRMLANDS LÄN</t>
        </is>
      </c>
      <c r="E9949" t="inlineStr">
        <is>
          <t>FILIPSTAD</t>
        </is>
      </c>
      <c r="F9949" t="inlineStr">
        <is>
          <t>Bergvik skog väst AB</t>
        </is>
      </c>
      <c r="G9949" t="n">
        <v>2.8</v>
      </c>
      <c r="H9949" t="n">
        <v>0</v>
      </c>
      <c r="I9949" t="n">
        <v>0</v>
      </c>
      <c r="J9949" t="n">
        <v>0</v>
      </c>
      <c r="K9949" t="n">
        <v>0</v>
      </c>
      <c r="L9949" t="n">
        <v>0</v>
      </c>
      <c r="M9949" t="n">
        <v>0</v>
      </c>
      <c r="N9949" t="n">
        <v>0</v>
      </c>
      <c r="O9949" t="n">
        <v>0</v>
      </c>
      <c r="P9949" t="n">
        <v>0</v>
      </c>
      <c r="Q9949" t="n">
        <v>0</v>
      </c>
      <c r="R9949" s="2" t="inlineStr"/>
      <c r="U9949">
        <f>HYPERLINK("https://klasma.github.io/Logging_1782/knärot/A 23045-2023 karta knärot.png", "A 23045-2023")</f>
        <v/>
      </c>
      <c r="V9949">
        <f>HYPERLINK("https://klasma.github.io/Logging_1782/klagomål/A 23045-2023 FSC-klagomål.docx", "A 23045-2023")</f>
        <v/>
      </c>
      <c r="W9949">
        <f>HYPERLINK("https://klasma.github.io/Logging_1782/klagomålsmail/A 23045-2023 FSC-klagomål mail.docx", "A 23045-2023")</f>
        <v/>
      </c>
      <c r="X9949">
        <f>HYPERLINK("https://klasma.github.io/Logging_1782/tillsyn/A 23045-2023 tillsynsbegäran.docx", "A 23045-2023")</f>
        <v/>
      </c>
      <c r="Y9949">
        <f>HYPERLINK("https://klasma.github.io/Logging_1782/tillsynsmail/A 23045-2023 tillsynsbegäran mail.docx", "A 23045-2023")</f>
        <v/>
      </c>
    </row>
    <row r="9950" ht="15" customHeight="1">
      <c r="A9950" t="inlineStr">
        <is>
          <t>A 23055-2023</t>
        </is>
      </c>
      <c r="B9950" s="1" t="n">
        <v>45075</v>
      </c>
      <c r="C9950" s="1" t="n">
        <v>45736</v>
      </c>
      <c r="D9950" t="inlineStr">
        <is>
          <t>VÄRMLANDS LÄN</t>
        </is>
      </c>
      <c r="E9950" t="inlineStr">
        <is>
          <t>SÄFFLE</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23135-2023</t>
        </is>
      </c>
      <c r="B9951" s="1" t="n">
        <v>45075</v>
      </c>
      <c r="C9951" s="1" t="n">
        <v>45736</v>
      </c>
      <c r="D9951" t="inlineStr">
        <is>
          <t>VÄRMLANDS LÄN</t>
        </is>
      </c>
      <c r="E9951" t="inlineStr">
        <is>
          <t>ÅRJÄNG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23046-2023</t>
        </is>
      </c>
      <c r="B9952" s="1" t="n">
        <v>45075</v>
      </c>
      <c r="C9952" s="1" t="n">
        <v>45736</v>
      </c>
      <c r="D9952" t="inlineStr">
        <is>
          <t>VÄRMLANDS LÄN</t>
        </is>
      </c>
      <c r="E9952" t="inlineStr">
        <is>
          <t>FILIPSTAD</t>
        </is>
      </c>
      <c r="F9952" t="inlineStr">
        <is>
          <t>Bergvik skog väst AB</t>
        </is>
      </c>
      <c r="G9952" t="n">
        <v>1.7</v>
      </c>
      <c r="H9952" t="n">
        <v>0</v>
      </c>
      <c r="I9952" t="n">
        <v>0</v>
      </c>
      <c r="J9952" t="n">
        <v>0</v>
      </c>
      <c r="K9952" t="n">
        <v>0</v>
      </c>
      <c r="L9952" t="n">
        <v>0</v>
      </c>
      <c r="M9952" t="n">
        <v>0</v>
      </c>
      <c r="N9952" t="n">
        <v>0</v>
      </c>
      <c r="O9952" t="n">
        <v>0</v>
      </c>
      <c r="P9952" t="n">
        <v>0</v>
      </c>
      <c r="Q9952" t="n">
        <v>0</v>
      </c>
      <c r="R9952" s="2" t="inlineStr"/>
      <c r="U9952">
        <f>HYPERLINK("https://klasma.github.io/Logging_1782/knärot/A 23046-2023 karta knärot.png", "A 23046-2023")</f>
        <v/>
      </c>
      <c r="V9952">
        <f>HYPERLINK("https://klasma.github.io/Logging_1782/klagomål/A 23046-2023 FSC-klagomål.docx", "A 23046-2023")</f>
        <v/>
      </c>
      <c r="W9952">
        <f>HYPERLINK("https://klasma.github.io/Logging_1782/klagomålsmail/A 23046-2023 FSC-klagomål mail.docx", "A 23046-2023")</f>
        <v/>
      </c>
      <c r="X9952">
        <f>HYPERLINK("https://klasma.github.io/Logging_1782/tillsyn/A 23046-2023 tillsynsbegäran.docx", "A 23046-2023")</f>
        <v/>
      </c>
      <c r="Y9952">
        <f>HYPERLINK("https://klasma.github.io/Logging_1782/tillsynsmail/A 23046-2023 tillsynsbegäran mail.docx", "A 23046-2023")</f>
        <v/>
      </c>
    </row>
    <row r="9953" ht="15" customHeight="1">
      <c r="A9953" t="inlineStr">
        <is>
          <t>A 23057-2023</t>
        </is>
      </c>
      <c r="B9953" s="1" t="n">
        <v>45075</v>
      </c>
      <c r="C9953" s="1" t="n">
        <v>45736</v>
      </c>
      <c r="D9953" t="inlineStr">
        <is>
          <t>VÄRMLANDS LÄN</t>
        </is>
      </c>
      <c r="E9953" t="inlineStr">
        <is>
          <t>SUNNE</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23067-2023</t>
        </is>
      </c>
      <c r="B9954" s="1" t="n">
        <v>45075</v>
      </c>
      <c r="C9954" s="1" t="n">
        <v>45736</v>
      </c>
      <c r="D9954" t="inlineStr">
        <is>
          <t>VÄRMLANDS LÄN</t>
        </is>
      </c>
      <c r="E9954" t="inlineStr">
        <is>
          <t>KIL</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23182-2023</t>
        </is>
      </c>
      <c r="B9955" s="1" t="n">
        <v>45075</v>
      </c>
      <c r="C9955" s="1" t="n">
        <v>45736</v>
      </c>
      <c r="D9955" t="inlineStr">
        <is>
          <t>VÄRMLANDS LÄN</t>
        </is>
      </c>
      <c r="E9955" t="inlineStr">
        <is>
          <t>SUNNE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23203-2023</t>
        </is>
      </c>
      <c r="B9956" s="1" t="n">
        <v>45075</v>
      </c>
      <c r="C9956" s="1" t="n">
        <v>45736</v>
      </c>
      <c r="D9956" t="inlineStr">
        <is>
          <t>VÄRMLANDS LÄN</t>
        </is>
      </c>
      <c r="E9956" t="inlineStr">
        <is>
          <t>ÅRJÄNG</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23216-2023</t>
        </is>
      </c>
      <c r="B9957" s="1" t="n">
        <v>45075</v>
      </c>
      <c r="C9957" s="1" t="n">
        <v>45736</v>
      </c>
      <c r="D9957" t="inlineStr">
        <is>
          <t>VÄRMLANDS LÄN</t>
        </is>
      </c>
      <c r="E9957" t="inlineStr">
        <is>
          <t>ÅRJÄNG</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23150-2023</t>
        </is>
      </c>
      <c r="B9958" s="1" t="n">
        <v>45075</v>
      </c>
      <c r="C9958" s="1" t="n">
        <v>45736</v>
      </c>
      <c r="D9958" t="inlineStr">
        <is>
          <t>VÄRMLANDS LÄN</t>
        </is>
      </c>
      <c r="E9958" t="inlineStr">
        <is>
          <t>ÅRJÄNG</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23184-2023</t>
        </is>
      </c>
      <c r="B9959" s="1" t="n">
        <v>45075</v>
      </c>
      <c r="C9959" s="1" t="n">
        <v>45736</v>
      </c>
      <c r="D9959" t="inlineStr">
        <is>
          <t>VÄRMLANDS LÄN</t>
        </is>
      </c>
      <c r="E9959" t="inlineStr">
        <is>
          <t>ÅRJÄNG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23054-2023</t>
        </is>
      </c>
      <c r="B9960" s="1" t="n">
        <v>45075</v>
      </c>
      <c r="C9960" s="1" t="n">
        <v>45736</v>
      </c>
      <c r="D9960" t="inlineStr">
        <is>
          <t>VÄRMLANDS LÄN</t>
        </is>
      </c>
      <c r="E9960" t="inlineStr">
        <is>
          <t>HAGFORS</t>
        </is>
      </c>
      <c r="F9960" t="inlineStr">
        <is>
          <t>Bergvik skog väst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23068-2023</t>
        </is>
      </c>
      <c r="B9961" s="1" t="n">
        <v>45075</v>
      </c>
      <c r="C9961" s="1" t="n">
        <v>45736</v>
      </c>
      <c r="D9961" t="inlineStr">
        <is>
          <t>VÄRMLANDS LÄN</t>
        </is>
      </c>
      <c r="E9961" t="inlineStr">
        <is>
          <t>SUNNE</t>
        </is>
      </c>
      <c r="F9961" t="inlineStr">
        <is>
          <t>Bergvik skog väst AB</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23117-2023</t>
        </is>
      </c>
      <c r="B9962" s="1" t="n">
        <v>45075</v>
      </c>
      <c r="C9962" s="1" t="n">
        <v>45736</v>
      </c>
      <c r="D9962" t="inlineStr">
        <is>
          <t>VÄRMLANDS LÄN</t>
        </is>
      </c>
      <c r="E9962" t="inlineStr">
        <is>
          <t>FORSHAGA</t>
        </is>
      </c>
      <c r="F9962" t="inlineStr">
        <is>
          <t>Kyrkan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23143-2023</t>
        </is>
      </c>
      <c r="B9963" s="1" t="n">
        <v>45075</v>
      </c>
      <c r="C9963" s="1" t="n">
        <v>45736</v>
      </c>
      <c r="D9963" t="inlineStr">
        <is>
          <t>VÄRMLANDS LÄN</t>
        </is>
      </c>
      <c r="E9963" t="inlineStr">
        <is>
          <t>STORFORS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23167-2023</t>
        </is>
      </c>
      <c r="B9964" s="1" t="n">
        <v>45075</v>
      </c>
      <c r="C9964" s="1" t="n">
        <v>45736</v>
      </c>
      <c r="D9964" t="inlineStr">
        <is>
          <t>VÄRMLANDS LÄN</t>
        </is>
      </c>
      <c r="E9964" t="inlineStr">
        <is>
          <t>SUNNE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23212-2023</t>
        </is>
      </c>
      <c r="B9965" s="1" t="n">
        <v>45075</v>
      </c>
      <c r="C9965" s="1" t="n">
        <v>45736</v>
      </c>
      <c r="D9965" t="inlineStr">
        <is>
          <t>VÄRMLANDS LÄN</t>
        </is>
      </c>
      <c r="E9965" t="inlineStr">
        <is>
          <t>ÅRJÄNG</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23945-2023</t>
        </is>
      </c>
      <c r="B9966" s="1" t="n">
        <v>45075</v>
      </c>
      <c r="C9966" s="1" t="n">
        <v>45736</v>
      </c>
      <c r="D9966" t="inlineStr">
        <is>
          <t>VÄRMLANDS LÄN</t>
        </is>
      </c>
      <c r="E9966" t="inlineStr">
        <is>
          <t>ÅRJÄNG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23940-2023</t>
        </is>
      </c>
      <c r="B9967" s="1" t="n">
        <v>45075</v>
      </c>
      <c r="C9967" s="1" t="n">
        <v>45736</v>
      </c>
      <c r="D9967" t="inlineStr">
        <is>
          <t>VÄRMLANDS LÄN</t>
        </is>
      </c>
      <c r="E9967" t="inlineStr">
        <is>
          <t>ÅRJÄNG</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23352-2023</t>
        </is>
      </c>
      <c r="B9968" s="1" t="n">
        <v>45076</v>
      </c>
      <c r="C9968" s="1" t="n">
        <v>45736</v>
      </c>
      <c r="D9968" t="inlineStr">
        <is>
          <t>VÄRMLANDS LÄN</t>
        </is>
      </c>
      <c r="E9968" t="inlineStr">
        <is>
          <t>SUNNE</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23450-2023</t>
        </is>
      </c>
      <c r="B9969" s="1" t="n">
        <v>45076</v>
      </c>
      <c r="C9969" s="1" t="n">
        <v>45736</v>
      </c>
      <c r="D9969" t="inlineStr">
        <is>
          <t>VÄRMLANDS LÄN</t>
        </is>
      </c>
      <c r="E9969" t="inlineStr">
        <is>
          <t>ARVIKA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23460-2023</t>
        </is>
      </c>
      <c r="B9970" s="1" t="n">
        <v>45076</v>
      </c>
      <c r="C9970" s="1" t="n">
        <v>45736</v>
      </c>
      <c r="D9970" t="inlineStr">
        <is>
          <t>VÄRMLANDS LÄN</t>
        </is>
      </c>
      <c r="E9970" t="inlineStr">
        <is>
          <t>SUNNE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23334-2023</t>
        </is>
      </c>
      <c r="B9971" s="1" t="n">
        <v>45076</v>
      </c>
      <c r="C9971" s="1" t="n">
        <v>45736</v>
      </c>
      <c r="D9971" t="inlineStr">
        <is>
          <t>VÄRMLANDS LÄN</t>
        </is>
      </c>
      <c r="E9971" t="inlineStr">
        <is>
          <t>ÅRJÄNG</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23335-2023</t>
        </is>
      </c>
      <c r="B9972" s="1" t="n">
        <v>45076</v>
      </c>
      <c r="C9972" s="1" t="n">
        <v>45736</v>
      </c>
      <c r="D9972" t="inlineStr">
        <is>
          <t>VÄRMLANDS LÄN</t>
        </is>
      </c>
      <c r="E9972" t="inlineStr">
        <is>
          <t>FILIPSTAD</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23358-2023</t>
        </is>
      </c>
      <c r="B9973" s="1" t="n">
        <v>45076</v>
      </c>
      <c r="C9973" s="1" t="n">
        <v>45736</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23368-2023</t>
        </is>
      </c>
      <c r="B9974" s="1" t="n">
        <v>45076</v>
      </c>
      <c r="C9974" s="1" t="n">
        <v>45736</v>
      </c>
      <c r="D9974" t="inlineStr">
        <is>
          <t>VÄRMLANDS LÄN</t>
        </is>
      </c>
      <c r="E9974" t="inlineStr">
        <is>
          <t>KIL</t>
        </is>
      </c>
      <c r="F9974" t="inlineStr">
        <is>
          <t>Bergvik skog väst AB</t>
        </is>
      </c>
      <c r="G9974" t="n">
        <v>9.1</v>
      </c>
      <c r="H9974" t="n">
        <v>0</v>
      </c>
      <c r="I9974" t="n">
        <v>0</v>
      </c>
      <c r="J9974" t="n">
        <v>0</v>
      </c>
      <c r="K9974" t="n">
        <v>0</v>
      </c>
      <c r="L9974" t="n">
        <v>0</v>
      </c>
      <c r="M9974" t="n">
        <v>0</v>
      </c>
      <c r="N9974" t="n">
        <v>0</v>
      </c>
      <c r="O9974" t="n">
        <v>0</v>
      </c>
      <c r="P9974" t="n">
        <v>0</v>
      </c>
      <c r="Q9974" t="n">
        <v>0</v>
      </c>
      <c r="R9974" s="2" t="inlineStr"/>
    </row>
    <row r="9975" ht="15" customHeight="1">
      <c r="A9975" t="inlineStr">
        <is>
          <t>A 23399-2023</t>
        </is>
      </c>
      <c r="B9975" s="1" t="n">
        <v>45076</v>
      </c>
      <c r="C9975" s="1" t="n">
        <v>45736</v>
      </c>
      <c r="D9975" t="inlineStr">
        <is>
          <t>VÄRMLANDS LÄN</t>
        </is>
      </c>
      <c r="E9975" t="inlineStr">
        <is>
          <t>SUNNE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23371-2023</t>
        </is>
      </c>
      <c r="B9976" s="1" t="n">
        <v>45076</v>
      </c>
      <c r="C9976" s="1" t="n">
        <v>45736</v>
      </c>
      <c r="D9976" t="inlineStr">
        <is>
          <t>VÄRMLANDS LÄN</t>
        </is>
      </c>
      <c r="E9976" t="inlineStr">
        <is>
          <t>HAGFORS</t>
        </is>
      </c>
      <c r="F9976" t="inlineStr">
        <is>
          <t>Bergvik skog väst AB</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23398-2023</t>
        </is>
      </c>
      <c r="B9977" s="1" t="n">
        <v>45076</v>
      </c>
      <c r="C9977" s="1" t="n">
        <v>45736</v>
      </c>
      <c r="D9977" t="inlineStr">
        <is>
          <t>VÄRMLANDS LÄN</t>
        </is>
      </c>
      <c r="E9977" t="inlineStr">
        <is>
          <t>SUNNE</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23442-2023</t>
        </is>
      </c>
      <c r="B9978" s="1" t="n">
        <v>45076</v>
      </c>
      <c r="C9978" s="1" t="n">
        <v>45736</v>
      </c>
      <c r="D9978" t="inlineStr">
        <is>
          <t>VÄRMLANDS LÄN</t>
        </is>
      </c>
      <c r="E9978" t="inlineStr">
        <is>
          <t>EDA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23440-2023</t>
        </is>
      </c>
      <c r="B9979" s="1" t="n">
        <v>45076</v>
      </c>
      <c r="C9979" s="1" t="n">
        <v>45736</v>
      </c>
      <c r="D9979" t="inlineStr">
        <is>
          <t>VÄRMLANDS LÄN</t>
        </is>
      </c>
      <c r="E9979" t="inlineStr">
        <is>
          <t>EDA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24385-2023</t>
        </is>
      </c>
      <c r="B9980" s="1" t="n">
        <v>45076</v>
      </c>
      <c r="C9980" s="1" t="n">
        <v>45736</v>
      </c>
      <c r="D9980" t="inlineStr">
        <is>
          <t>VÄRMLANDS LÄN</t>
        </is>
      </c>
      <c r="E9980" t="inlineStr">
        <is>
          <t>KRISTINEHAMN</t>
        </is>
      </c>
      <c r="G9980" t="n">
        <v>15.9</v>
      </c>
      <c r="H9980" t="n">
        <v>0</v>
      </c>
      <c r="I9980" t="n">
        <v>0</v>
      </c>
      <c r="J9980" t="n">
        <v>0</v>
      </c>
      <c r="K9980" t="n">
        <v>0</v>
      </c>
      <c r="L9980" t="n">
        <v>0</v>
      </c>
      <c r="M9980" t="n">
        <v>0</v>
      </c>
      <c r="N9980" t="n">
        <v>0</v>
      </c>
      <c r="O9980" t="n">
        <v>0</v>
      </c>
      <c r="P9980" t="n">
        <v>0</v>
      </c>
      <c r="Q9980" t="n">
        <v>0</v>
      </c>
      <c r="R9980" s="2" t="inlineStr"/>
    </row>
    <row r="9981" ht="15" customHeight="1">
      <c r="A9981" t="inlineStr">
        <is>
          <t>A 23617-2023</t>
        </is>
      </c>
      <c r="B9981" s="1" t="n">
        <v>45077</v>
      </c>
      <c r="C9981" s="1" t="n">
        <v>45736</v>
      </c>
      <c r="D9981" t="inlineStr">
        <is>
          <t>VÄRMLANDS LÄN</t>
        </is>
      </c>
      <c r="E9981" t="inlineStr">
        <is>
          <t>FILIPSTAD</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23685-2023</t>
        </is>
      </c>
      <c r="B9982" s="1" t="n">
        <v>45077</v>
      </c>
      <c r="C9982" s="1" t="n">
        <v>45736</v>
      </c>
      <c r="D9982" t="inlineStr">
        <is>
          <t>VÄRMLANDS LÄN</t>
        </is>
      </c>
      <c r="E9982" t="inlineStr">
        <is>
          <t>FORSHAGA</t>
        </is>
      </c>
      <c r="F9982" t="inlineStr">
        <is>
          <t>Bergvik skog väst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23708-2023</t>
        </is>
      </c>
      <c r="B9983" s="1" t="n">
        <v>45077</v>
      </c>
      <c r="C9983" s="1" t="n">
        <v>45736</v>
      </c>
      <c r="D9983" t="inlineStr">
        <is>
          <t>VÄRMLANDS LÄN</t>
        </is>
      </c>
      <c r="E9983" t="inlineStr">
        <is>
          <t>HAGFORS</t>
        </is>
      </c>
      <c r="F9983" t="inlineStr">
        <is>
          <t>Bergvik skog väst AB</t>
        </is>
      </c>
      <c r="G9983" t="n">
        <v>25.7</v>
      </c>
      <c r="H9983" t="n">
        <v>0</v>
      </c>
      <c r="I9983" t="n">
        <v>0</v>
      </c>
      <c r="J9983" t="n">
        <v>0</v>
      </c>
      <c r="K9983" t="n">
        <v>0</v>
      </c>
      <c r="L9983" t="n">
        <v>0</v>
      </c>
      <c r="M9983" t="n">
        <v>0</v>
      </c>
      <c r="N9983" t="n">
        <v>0</v>
      </c>
      <c r="O9983" t="n">
        <v>0</v>
      </c>
      <c r="P9983" t="n">
        <v>0</v>
      </c>
      <c r="Q9983" t="n">
        <v>0</v>
      </c>
      <c r="R9983" s="2" t="inlineStr"/>
    </row>
    <row r="9984" ht="15" customHeight="1">
      <c r="A9984" t="inlineStr">
        <is>
          <t>A 23554-2023</t>
        </is>
      </c>
      <c r="B9984" s="1" t="n">
        <v>45077</v>
      </c>
      <c r="C9984" s="1" t="n">
        <v>45736</v>
      </c>
      <c r="D9984" t="inlineStr">
        <is>
          <t>VÄRMLANDS LÄN</t>
        </is>
      </c>
      <c r="E9984" t="inlineStr">
        <is>
          <t>STORFORS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23572-2023</t>
        </is>
      </c>
      <c r="B9985" s="1" t="n">
        <v>45077</v>
      </c>
      <c r="C9985" s="1" t="n">
        <v>45736</v>
      </c>
      <c r="D9985" t="inlineStr">
        <is>
          <t>VÄRMLANDS LÄN</t>
        </is>
      </c>
      <c r="E9985" t="inlineStr">
        <is>
          <t>TORSBY</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23601-2023</t>
        </is>
      </c>
      <c r="B9986" s="1" t="n">
        <v>45077</v>
      </c>
      <c r="C9986" s="1" t="n">
        <v>45736</v>
      </c>
      <c r="D9986" t="inlineStr">
        <is>
          <t>VÄRMLANDS LÄN</t>
        </is>
      </c>
      <c r="E9986" t="inlineStr">
        <is>
          <t>ARVIKA</t>
        </is>
      </c>
      <c r="G9986" t="n">
        <v>10.6</v>
      </c>
      <c r="H9986" t="n">
        <v>0</v>
      </c>
      <c r="I9986" t="n">
        <v>0</v>
      </c>
      <c r="J9986" t="n">
        <v>0</v>
      </c>
      <c r="K9986" t="n">
        <v>0</v>
      </c>
      <c r="L9986" t="n">
        <v>0</v>
      </c>
      <c r="M9986" t="n">
        <v>0</v>
      </c>
      <c r="N9986" t="n">
        <v>0</v>
      </c>
      <c r="O9986" t="n">
        <v>0</v>
      </c>
      <c r="P9986" t="n">
        <v>0</v>
      </c>
      <c r="Q9986" t="n">
        <v>0</v>
      </c>
      <c r="R9986" s="2" t="inlineStr"/>
    </row>
    <row r="9987" ht="15" customHeight="1">
      <c r="A9987" t="inlineStr">
        <is>
          <t>A 23618-2023</t>
        </is>
      </c>
      <c r="B9987" s="1" t="n">
        <v>45077</v>
      </c>
      <c r="C9987" s="1" t="n">
        <v>45736</v>
      </c>
      <c r="D9987" t="inlineStr">
        <is>
          <t>VÄRMLANDS LÄN</t>
        </is>
      </c>
      <c r="E9987" t="inlineStr">
        <is>
          <t>FILIPSTAD</t>
        </is>
      </c>
      <c r="G9987" t="n">
        <v>15.8</v>
      </c>
      <c r="H9987" t="n">
        <v>0</v>
      </c>
      <c r="I9987" t="n">
        <v>0</v>
      </c>
      <c r="J9987" t="n">
        <v>0</v>
      </c>
      <c r="K9987" t="n">
        <v>0</v>
      </c>
      <c r="L9987" t="n">
        <v>0</v>
      </c>
      <c r="M9987" t="n">
        <v>0</v>
      </c>
      <c r="N9987" t="n">
        <v>0</v>
      </c>
      <c r="O9987" t="n">
        <v>0</v>
      </c>
      <c r="P9987" t="n">
        <v>0</v>
      </c>
      <c r="Q9987" t="n">
        <v>0</v>
      </c>
      <c r="R9987" s="2" t="inlineStr"/>
    </row>
    <row r="9988" ht="15" customHeight="1">
      <c r="A9988" t="inlineStr">
        <is>
          <t>A 23620-2023</t>
        </is>
      </c>
      <c r="B9988" s="1" t="n">
        <v>45077</v>
      </c>
      <c r="C9988" s="1" t="n">
        <v>45736</v>
      </c>
      <c r="D9988" t="inlineStr">
        <is>
          <t>VÄRMLANDS LÄN</t>
        </is>
      </c>
      <c r="E9988" t="inlineStr">
        <is>
          <t>FILIPSTAD</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23624-2023</t>
        </is>
      </c>
      <c r="B9989" s="1" t="n">
        <v>45077</v>
      </c>
      <c r="C9989" s="1" t="n">
        <v>45736</v>
      </c>
      <c r="D9989" t="inlineStr">
        <is>
          <t>VÄRMLANDS LÄN</t>
        </is>
      </c>
      <c r="E9989" t="inlineStr">
        <is>
          <t>TORSBY</t>
        </is>
      </c>
      <c r="F9989" t="inlineStr">
        <is>
          <t>Bergvik skog väst AB</t>
        </is>
      </c>
      <c r="G9989" t="n">
        <v>27.9</v>
      </c>
      <c r="H9989" t="n">
        <v>0</v>
      </c>
      <c r="I9989" t="n">
        <v>0</v>
      </c>
      <c r="J9989" t="n">
        <v>0</v>
      </c>
      <c r="K9989" t="n">
        <v>0</v>
      </c>
      <c r="L9989" t="n">
        <v>0</v>
      </c>
      <c r="M9989" t="n">
        <v>0</v>
      </c>
      <c r="N9989" t="n">
        <v>0</v>
      </c>
      <c r="O9989" t="n">
        <v>0</v>
      </c>
      <c r="P9989" t="n">
        <v>0</v>
      </c>
      <c r="Q9989" t="n">
        <v>0</v>
      </c>
      <c r="R9989" s="2" t="inlineStr"/>
    </row>
    <row r="9990" ht="15" customHeight="1">
      <c r="A9990" t="inlineStr">
        <is>
          <t>A 23629-2023</t>
        </is>
      </c>
      <c r="B9990" s="1" t="n">
        <v>45077</v>
      </c>
      <c r="C9990" s="1" t="n">
        <v>45736</v>
      </c>
      <c r="D9990" t="inlineStr">
        <is>
          <t>VÄRMLANDS LÄN</t>
        </is>
      </c>
      <c r="E9990" t="inlineStr">
        <is>
          <t>ARVIKA</t>
        </is>
      </c>
      <c r="F9990" t="inlineStr">
        <is>
          <t>Bergvik skog väst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23703-2023</t>
        </is>
      </c>
      <c r="B9991" s="1" t="n">
        <v>45077</v>
      </c>
      <c r="C9991" s="1" t="n">
        <v>45736</v>
      </c>
      <c r="D9991" t="inlineStr">
        <is>
          <t>VÄRMLANDS LÄN</t>
        </is>
      </c>
      <c r="E9991" t="inlineStr">
        <is>
          <t>ARVIKA</t>
        </is>
      </c>
      <c r="F9991" t="inlineStr">
        <is>
          <t>Bergvik skog väst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23719-2023</t>
        </is>
      </c>
      <c r="B9992" s="1" t="n">
        <v>45077</v>
      </c>
      <c r="C9992" s="1" t="n">
        <v>45736</v>
      </c>
      <c r="D9992" t="inlineStr">
        <is>
          <t>VÄRMLANDS LÄN</t>
        </is>
      </c>
      <c r="E9992" t="inlineStr">
        <is>
          <t>FORSHAGA</t>
        </is>
      </c>
      <c r="F9992" t="inlineStr">
        <is>
          <t>Bergvik skog väst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23728-2023</t>
        </is>
      </c>
      <c r="B9993" s="1" t="n">
        <v>45077</v>
      </c>
      <c r="C9993" s="1" t="n">
        <v>45736</v>
      </c>
      <c r="D9993" t="inlineStr">
        <is>
          <t>VÄRMLANDS LÄN</t>
        </is>
      </c>
      <c r="E9993" t="inlineStr">
        <is>
          <t>SUNNE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23660-2023</t>
        </is>
      </c>
      <c r="B9994" s="1" t="n">
        <v>45077</v>
      </c>
      <c r="C9994" s="1" t="n">
        <v>45736</v>
      </c>
      <c r="D9994" t="inlineStr">
        <is>
          <t>VÄRMLANDS LÄN</t>
        </is>
      </c>
      <c r="E9994" t="inlineStr">
        <is>
          <t>ARVIKA</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23696-2023</t>
        </is>
      </c>
      <c r="B9995" s="1" t="n">
        <v>45077</v>
      </c>
      <c r="C9995" s="1" t="n">
        <v>45736</v>
      </c>
      <c r="D9995" t="inlineStr">
        <is>
          <t>VÄRMLANDS LÄN</t>
        </is>
      </c>
      <c r="E9995" t="inlineStr">
        <is>
          <t>FILIPSTAD</t>
        </is>
      </c>
      <c r="F9995" t="inlineStr">
        <is>
          <t>Bergvik skog väst AB</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23717-2023</t>
        </is>
      </c>
      <c r="B9996" s="1" t="n">
        <v>45077</v>
      </c>
      <c r="C9996" s="1" t="n">
        <v>45736</v>
      </c>
      <c r="D9996" t="inlineStr">
        <is>
          <t>VÄRMLANDS LÄN</t>
        </is>
      </c>
      <c r="E9996" t="inlineStr">
        <is>
          <t>ARVIKA</t>
        </is>
      </c>
      <c r="F9996" t="inlineStr">
        <is>
          <t>Bergvik skog väst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24488-2023</t>
        </is>
      </c>
      <c r="B9997" s="1" t="n">
        <v>45077</v>
      </c>
      <c r="C9997" s="1" t="n">
        <v>45736</v>
      </c>
      <c r="D9997" t="inlineStr">
        <is>
          <t>VÄRMLANDS LÄN</t>
        </is>
      </c>
      <c r="E9997" t="inlineStr">
        <is>
          <t>KARLSTAD</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23796-2023</t>
        </is>
      </c>
      <c r="B9998" s="1" t="n">
        <v>45078</v>
      </c>
      <c r="C9998" s="1" t="n">
        <v>45736</v>
      </c>
      <c r="D9998" t="inlineStr">
        <is>
          <t>VÄRMLANDS LÄN</t>
        </is>
      </c>
      <c r="E9998" t="inlineStr">
        <is>
          <t>KIL</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23855-2023</t>
        </is>
      </c>
      <c r="B9999" s="1" t="n">
        <v>45078</v>
      </c>
      <c r="C9999" s="1" t="n">
        <v>45736</v>
      </c>
      <c r="D9999" t="inlineStr">
        <is>
          <t>VÄRMLANDS LÄN</t>
        </is>
      </c>
      <c r="E9999" t="inlineStr">
        <is>
          <t>GRUMS</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23871-2023</t>
        </is>
      </c>
      <c r="B10000" s="1" t="n">
        <v>45078</v>
      </c>
      <c r="C10000" s="1" t="n">
        <v>45736</v>
      </c>
      <c r="D10000" t="inlineStr">
        <is>
          <t>VÄRMLANDS LÄN</t>
        </is>
      </c>
      <c r="E10000" t="inlineStr">
        <is>
          <t>ÅRJÄNG</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23937-2023</t>
        </is>
      </c>
      <c r="B10001" s="1" t="n">
        <v>45078</v>
      </c>
      <c r="C10001" s="1" t="n">
        <v>45736</v>
      </c>
      <c r="D10001" t="inlineStr">
        <is>
          <t>VÄRMLANDS LÄN</t>
        </is>
      </c>
      <c r="E10001" t="inlineStr">
        <is>
          <t>HAGFORS</t>
        </is>
      </c>
      <c r="F10001" t="inlineStr">
        <is>
          <t>Kyrkan</t>
        </is>
      </c>
      <c r="G10001" t="n">
        <v>14.2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23793-2023</t>
        </is>
      </c>
      <c r="B10002" s="1" t="n">
        <v>45078</v>
      </c>
      <c r="C10002" s="1" t="n">
        <v>45736</v>
      </c>
      <c r="D10002" t="inlineStr">
        <is>
          <t>VÄRMLANDS LÄN</t>
        </is>
      </c>
      <c r="E10002" t="inlineStr">
        <is>
          <t>SUNNE</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23795-2023</t>
        </is>
      </c>
      <c r="B10003" s="1" t="n">
        <v>45078</v>
      </c>
      <c r="C10003" s="1" t="n">
        <v>45736</v>
      </c>
      <c r="D10003" t="inlineStr">
        <is>
          <t>VÄRMLANDS LÄN</t>
        </is>
      </c>
      <c r="E10003" t="inlineStr">
        <is>
          <t>KIL</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23794-2023</t>
        </is>
      </c>
      <c r="B10004" s="1" t="n">
        <v>45078</v>
      </c>
      <c r="C10004" s="1" t="n">
        <v>45736</v>
      </c>
      <c r="D10004" t="inlineStr">
        <is>
          <t>VÄRMLANDS LÄN</t>
        </is>
      </c>
      <c r="E10004" t="inlineStr">
        <is>
          <t>KIL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23822-2023</t>
        </is>
      </c>
      <c r="B10005" s="1" t="n">
        <v>45078</v>
      </c>
      <c r="C10005" s="1" t="n">
        <v>45736</v>
      </c>
      <c r="D10005" t="inlineStr">
        <is>
          <t>VÄRMLANDS LÄN</t>
        </is>
      </c>
      <c r="E10005" t="inlineStr">
        <is>
          <t>FILIPSTAD</t>
        </is>
      </c>
      <c r="F10005" t="inlineStr">
        <is>
          <t>Bergvik skog väst AB</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23826-2023</t>
        </is>
      </c>
      <c r="B10006" s="1" t="n">
        <v>45078</v>
      </c>
      <c r="C10006" s="1" t="n">
        <v>45736</v>
      </c>
      <c r="D10006" t="inlineStr">
        <is>
          <t>VÄRMLANDS LÄN</t>
        </is>
      </c>
      <c r="E10006" t="inlineStr">
        <is>
          <t>FORSHAGA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23837-2023</t>
        </is>
      </c>
      <c r="B10007" s="1" t="n">
        <v>45078</v>
      </c>
      <c r="C10007" s="1" t="n">
        <v>45736</v>
      </c>
      <c r="D10007" t="inlineStr">
        <is>
          <t>VÄRMLANDS LÄN</t>
        </is>
      </c>
      <c r="E10007" t="inlineStr">
        <is>
          <t>FILIPSTAD</t>
        </is>
      </c>
      <c r="F10007" t="inlineStr">
        <is>
          <t>Bergvik skog väst AB</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23873-2023</t>
        </is>
      </c>
      <c r="B10008" s="1" t="n">
        <v>45078</v>
      </c>
      <c r="C10008" s="1" t="n">
        <v>45736</v>
      </c>
      <c r="D10008" t="inlineStr">
        <is>
          <t>VÄRMLANDS LÄN</t>
        </is>
      </c>
      <c r="E10008" t="inlineStr">
        <is>
          <t>HAGFORS</t>
        </is>
      </c>
      <c r="F10008" t="inlineStr">
        <is>
          <t>Bergvik skog väst AB</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23903-2023</t>
        </is>
      </c>
      <c r="B10009" s="1" t="n">
        <v>45078</v>
      </c>
      <c r="C10009" s="1" t="n">
        <v>45736</v>
      </c>
      <c r="D10009" t="inlineStr">
        <is>
          <t>VÄRMLANDS LÄN</t>
        </is>
      </c>
      <c r="E10009" t="inlineStr">
        <is>
          <t>ARVIKA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23991-2023</t>
        </is>
      </c>
      <c r="B10010" s="1" t="n">
        <v>45078</v>
      </c>
      <c r="C10010" s="1" t="n">
        <v>45736</v>
      </c>
      <c r="D10010" t="inlineStr">
        <is>
          <t>VÄRMLANDS LÄN</t>
        </is>
      </c>
      <c r="E10010" t="inlineStr">
        <is>
          <t>ÅRJÄNG</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23995-2023</t>
        </is>
      </c>
      <c r="B10011" s="1" t="n">
        <v>45078</v>
      </c>
      <c r="C10011" s="1" t="n">
        <v>45736</v>
      </c>
      <c r="D10011" t="inlineStr">
        <is>
          <t>VÄRMLANDS LÄN</t>
        </is>
      </c>
      <c r="E10011" t="inlineStr">
        <is>
          <t>SUNNE</t>
        </is>
      </c>
      <c r="G10011" t="n">
        <v>18.1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23847-2023</t>
        </is>
      </c>
      <c r="B10012" s="1" t="n">
        <v>45078</v>
      </c>
      <c r="C10012" s="1" t="n">
        <v>45736</v>
      </c>
      <c r="D10012" t="inlineStr">
        <is>
          <t>VÄRMLANDS LÄN</t>
        </is>
      </c>
      <c r="E10012" t="inlineStr">
        <is>
          <t>ÅRJÄNG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23851-2023</t>
        </is>
      </c>
      <c r="B10013" s="1" t="n">
        <v>45078</v>
      </c>
      <c r="C10013" s="1" t="n">
        <v>45736</v>
      </c>
      <c r="D10013" t="inlineStr">
        <is>
          <t>VÄRMLANDS LÄN</t>
        </is>
      </c>
      <c r="E10013" t="inlineStr">
        <is>
          <t>ÅRJÄNG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23894-2023</t>
        </is>
      </c>
      <c r="B10014" s="1" t="n">
        <v>45078</v>
      </c>
      <c r="C10014" s="1" t="n">
        <v>45736</v>
      </c>
      <c r="D10014" t="inlineStr">
        <is>
          <t>VÄRMLANDS LÄN</t>
        </is>
      </c>
      <c r="E10014" t="inlineStr">
        <is>
          <t>TORSBY</t>
        </is>
      </c>
      <c r="F10014" t="inlineStr">
        <is>
          <t>Bergvik skog väst AB</t>
        </is>
      </c>
      <c r="G10014" t="n">
        <v>14.9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23902-2023</t>
        </is>
      </c>
      <c r="B10015" s="1" t="n">
        <v>45078</v>
      </c>
      <c r="C10015" s="1" t="n">
        <v>45736</v>
      </c>
      <c r="D10015" t="inlineStr">
        <is>
          <t>VÄRMLANDS LÄN</t>
        </is>
      </c>
      <c r="E10015" t="inlineStr">
        <is>
          <t>ARVIKA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23912-2023</t>
        </is>
      </c>
      <c r="B10016" s="1" t="n">
        <v>45078</v>
      </c>
      <c r="C10016" s="1" t="n">
        <v>45736</v>
      </c>
      <c r="D10016" t="inlineStr">
        <is>
          <t>VÄRMLANDS LÄN</t>
        </is>
      </c>
      <c r="E10016" t="inlineStr">
        <is>
          <t>TORSBY</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23954-2023</t>
        </is>
      </c>
      <c r="B10017" s="1" t="n">
        <v>45078</v>
      </c>
      <c r="C10017" s="1" t="n">
        <v>45736</v>
      </c>
      <c r="D10017" t="inlineStr">
        <is>
          <t>VÄRMLANDS LÄN</t>
        </is>
      </c>
      <c r="E10017" t="inlineStr">
        <is>
          <t>ARVIKA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23971-2023</t>
        </is>
      </c>
      <c r="B10018" s="1" t="n">
        <v>45078</v>
      </c>
      <c r="C10018" s="1" t="n">
        <v>45736</v>
      </c>
      <c r="D10018" t="inlineStr">
        <is>
          <t>VÄRMLANDS LÄN</t>
        </is>
      </c>
      <c r="E10018" t="inlineStr">
        <is>
          <t>ÅRJÄNG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23977-2023</t>
        </is>
      </c>
      <c r="B10019" s="1" t="n">
        <v>45078</v>
      </c>
      <c r="C10019" s="1" t="n">
        <v>45736</v>
      </c>
      <c r="D10019" t="inlineStr">
        <is>
          <t>VÄRMLANDS LÄN</t>
        </is>
      </c>
      <c r="E10019" t="inlineStr">
        <is>
          <t>ÅRJÄNG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23870-2023</t>
        </is>
      </c>
      <c r="B10020" s="1" t="n">
        <v>45078</v>
      </c>
      <c r="C10020" s="1" t="n">
        <v>45736</v>
      </c>
      <c r="D10020" t="inlineStr">
        <is>
          <t>VÄRMLANDS LÄN</t>
        </is>
      </c>
      <c r="E10020" t="inlineStr">
        <is>
          <t>ÅRJÄNG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23878-2023</t>
        </is>
      </c>
      <c r="B10021" s="1" t="n">
        <v>45078</v>
      </c>
      <c r="C10021" s="1" t="n">
        <v>45736</v>
      </c>
      <c r="D10021" t="inlineStr">
        <is>
          <t>VÄRMLANDS LÄN</t>
        </is>
      </c>
      <c r="E10021" t="inlineStr">
        <is>
          <t>ÅRJÄNG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23900-2023</t>
        </is>
      </c>
      <c r="B10022" s="1" t="n">
        <v>45078</v>
      </c>
      <c r="C10022" s="1" t="n">
        <v>45736</v>
      </c>
      <c r="D10022" t="inlineStr">
        <is>
          <t>VÄRMLANDS LÄN</t>
        </is>
      </c>
      <c r="E10022" t="inlineStr">
        <is>
          <t>ARVIKA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23904-2023</t>
        </is>
      </c>
      <c r="B10023" s="1" t="n">
        <v>45078</v>
      </c>
      <c r="C10023" s="1" t="n">
        <v>45736</v>
      </c>
      <c r="D10023" t="inlineStr">
        <is>
          <t>VÄRMLANDS LÄN</t>
        </is>
      </c>
      <c r="E10023" t="inlineStr">
        <is>
          <t>ÅRJÄNG</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24005-2023</t>
        </is>
      </c>
      <c r="B10024" s="1" t="n">
        <v>45078</v>
      </c>
      <c r="C10024" s="1" t="n">
        <v>45736</v>
      </c>
      <c r="D10024" t="inlineStr">
        <is>
          <t>VÄRMLANDS LÄN</t>
        </is>
      </c>
      <c r="E10024" t="inlineStr">
        <is>
          <t>HAGFORS</t>
        </is>
      </c>
      <c r="F10024" t="inlineStr">
        <is>
          <t>Bergvik skog väst AB</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24036-2023</t>
        </is>
      </c>
      <c r="B10025" s="1" t="n">
        <v>45078</v>
      </c>
      <c r="C10025" s="1" t="n">
        <v>45736</v>
      </c>
      <c r="D10025" t="inlineStr">
        <is>
          <t>VÄRMLANDS LÄN</t>
        </is>
      </c>
      <c r="E10025" t="inlineStr">
        <is>
          <t>FORSHAGA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25142-2023</t>
        </is>
      </c>
      <c r="B10026" s="1" t="n">
        <v>45078</v>
      </c>
      <c r="C10026" s="1" t="n">
        <v>45736</v>
      </c>
      <c r="D10026" t="inlineStr">
        <is>
          <t>VÄRMLANDS LÄN</t>
        </is>
      </c>
      <c r="E10026" t="inlineStr">
        <is>
          <t>SÄFFLE</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25139-2023</t>
        </is>
      </c>
      <c r="B10027" s="1" t="n">
        <v>45078</v>
      </c>
      <c r="C10027" s="1" t="n">
        <v>45736</v>
      </c>
      <c r="D10027" t="inlineStr">
        <is>
          <t>VÄRMLANDS LÄN</t>
        </is>
      </c>
      <c r="E10027" t="inlineStr">
        <is>
          <t>SÄFFLE</t>
        </is>
      </c>
      <c r="G10027" t="n">
        <v>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24173-2023</t>
        </is>
      </c>
      <c r="B10028" s="1" t="n">
        <v>45079</v>
      </c>
      <c r="C10028" s="1" t="n">
        <v>45736</v>
      </c>
      <c r="D10028" t="inlineStr">
        <is>
          <t>VÄRMLANDS LÄN</t>
        </is>
      </c>
      <c r="E10028" t="inlineStr">
        <is>
          <t>SUNNE</t>
        </is>
      </c>
      <c r="F10028" t="inlineStr">
        <is>
          <t>Kyrkan</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24203-2023</t>
        </is>
      </c>
      <c r="B10029" s="1" t="n">
        <v>45079</v>
      </c>
      <c r="C10029" s="1" t="n">
        <v>45736</v>
      </c>
      <c r="D10029" t="inlineStr">
        <is>
          <t>VÄRMLANDS LÄN</t>
        </is>
      </c>
      <c r="E10029" t="inlineStr">
        <is>
          <t>GRUMS</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24244-2023</t>
        </is>
      </c>
      <c r="B10030" s="1" t="n">
        <v>45079</v>
      </c>
      <c r="C10030" s="1" t="n">
        <v>45736</v>
      </c>
      <c r="D10030" t="inlineStr">
        <is>
          <t>VÄRMLANDS LÄN</t>
        </is>
      </c>
      <c r="E10030" t="inlineStr">
        <is>
          <t>TORSBY</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24095-2023</t>
        </is>
      </c>
      <c r="B10031" s="1" t="n">
        <v>45079</v>
      </c>
      <c r="C10031" s="1" t="n">
        <v>45736</v>
      </c>
      <c r="D10031" t="inlineStr">
        <is>
          <t>VÄRMLANDS LÄN</t>
        </is>
      </c>
      <c r="E10031" t="inlineStr">
        <is>
          <t>ARVIKA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24093-2023</t>
        </is>
      </c>
      <c r="B10032" s="1" t="n">
        <v>45079</v>
      </c>
      <c r="C10032" s="1" t="n">
        <v>45736</v>
      </c>
      <c r="D10032" t="inlineStr">
        <is>
          <t>VÄRMLANDS LÄN</t>
        </is>
      </c>
      <c r="E10032" t="inlineStr">
        <is>
          <t>ARVIKA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24146-2023</t>
        </is>
      </c>
      <c r="B10033" s="1" t="n">
        <v>45079</v>
      </c>
      <c r="C10033" s="1" t="n">
        <v>45736</v>
      </c>
      <c r="D10033" t="inlineStr">
        <is>
          <t>VÄRMLANDS LÄN</t>
        </is>
      </c>
      <c r="E10033" t="inlineStr">
        <is>
          <t>KRISTINEHAMN</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24170-2023</t>
        </is>
      </c>
      <c r="B10034" s="1" t="n">
        <v>45079</v>
      </c>
      <c r="C10034" s="1" t="n">
        <v>45736</v>
      </c>
      <c r="D10034" t="inlineStr">
        <is>
          <t>VÄRMLANDS LÄN</t>
        </is>
      </c>
      <c r="E10034" t="inlineStr">
        <is>
          <t>TORSBY</t>
        </is>
      </c>
      <c r="F10034" t="inlineStr">
        <is>
          <t>Bergvik skog väst AB</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24101-2023</t>
        </is>
      </c>
      <c r="B10035" s="1" t="n">
        <v>45079</v>
      </c>
      <c r="C10035" s="1" t="n">
        <v>45736</v>
      </c>
      <c r="D10035" t="inlineStr">
        <is>
          <t>VÄRMLANDS LÄN</t>
        </is>
      </c>
      <c r="E10035" t="inlineStr">
        <is>
          <t>TORSBY</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24159-2023</t>
        </is>
      </c>
      <c r="B10036" s="1" t="n">
        <v>45079</v>
      </c>
      <c r="C10036" s="1" t="n">
        <v>45736</v>
      </c>
      <c r="D10036" t="inlineStr">
        <is>
          <t>VÄRMLANDS LÄN</t>
        </is>
      </c>
      <c r="E10036" t="inlineStr">
        <is>
          <t>SUNNE</t>
        </is>
      </c>
      <c r="F10036" t="inlineStr">
        <is>
          <t>Kyrkan</t>
        </is>
      </c>
      <c r="G10036" t="n">
        <v>11.2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24172-2023</t>
        </is>
      </c>
      <c r="B10037" s="1" t="n">
        <v>45079</v>
      </c>
      <c r="C10037" s="1" t="n">
        <v>45736</v>
      </c>
      <c r="D10037" t="inlineStr">
        <is>
          <t>VÄRMLANDS LÄN</t>
        </is>
      </c>
      <c r="E10037" t="inlineStr">
        <is>
          <t>SUNNE</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24184-2023</t>
        </is>
      </c>
      <c r="B10038" s="1" t="n">
        <v>45079</v>
      </c>
      <c r="C10038" s="1" t="n">
        <v>45736</v>
      </c>
      <c r="D10038" t="inlineStr">
        <is>
          <t>VÄRMLANDS LÄN</t>
        </is>
      </c>
      <c r="E10038" t="inlineStr">
        <is>
          <t>SÄFFLE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24194-2023</t>
        </is>
      </c>
      <c r="B10039" s="1" t="n">
        <v>45079</v>
      </c>
      <c r="C10039" s="1" t="n">
        <v>45736</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24273-2023</t>
        </is>
      </c>
      <c r="B10040" s="1" t="n">
        <v>45079</v>
      </c>
      <c r="C10040" s="1" t="n">
        <v>45736</v>
      </c>
      <c r="D10040" t="inlineStr">
        <is>
          <t>VÄRMLANDS LÄN</t>
        </is>
      </c>
      <c r="E10040" t="inlineStr">
        <is>
          <t>ÅRJÄNG</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24131-2023</t>
        </is>
      </c>
      <c r="B10041" s="1" t="n">
        <v>45079</v>
      </c>
      <c r="C10041" s="1" t="n">
        <v>45736</v>
      </c>
      <c r="D10041" t="inlineStr">
        <is>
          <t>VÄRMLANDS LÄN</t>
        </is>
      </c>
      <c r="E10041" t="inlineStr">
        <is>
          <t>KRISTINEHAMN</t>
        </is>
      </c>
      <c r="G10041" t="n">
        <v>10.7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24161-2023</t>
        </is>
      </c>
      <c r="B10042" s="1" t="n">
        <v>45079</v>
      </c>
      <c r="C10042" s="1" t="n">
        <v>45736</v>
      </c>
      <c r="D10042" t="inlineStr">
        <is>
          <t>VÄRMLANDS LÄN</t>
        </is>
      </c>
      <c r="E10042" t="inlineStr">
        <is>
          <t>KARLSTAD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24187-2023</t>
        </is>
      </c>
      <c r="B10043" s="1" t="n">
        <v>45079</v>
      </c>
      <c r="C10043" s="1" t="n">
        <v>45736</v>
      </c>
      <c r="D10043" t="inlineStr">
        <is>
          <t>VÄRMLANDS LÄN</t>
        </is>
      </c>
      <c r="E10043" t="inlineStr">
        <is>
          <t>SUNNE</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24196-2023</t>
        </is>
      </c>
      <c r="B10044" s="1" t="n">
        <v>45079</v>
      </c>
      <c r="C10044" s="1" t="n">
        <v>45736</v>
      </c>
      <c r="D10044" t="inlineStr">
        <is>
          <t>VÄRMLANDS LÄN</t>
        </is>
      </c>
      <c r="E10044" t="inlineStr">
        <is>
          <t>TORSBY</t>
        </is>
      </c>
      <c r="F10044" t="inlineStr">
        <is>
          <t>Bergvik skog väst AB</t>
        </is>
      </c>
      <c r="G10044" t="n">
        <v>10.6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25258-2023</t>
        </is>
      </c>
      <c r="B10045" s="1" t="n">
        <v>45079</v>
      </c>
      <c r="C10045" s="1" t="n">
        <v>45736</v>
      </c>
      <c r="D10045" t="inlineStr">
        <is>
          <t>VÄRMLANDS LÄN</t>
        </is>
      </c>
      <c r="E10045" t="inlineStr">
        <is>
          <t>HAGFORS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25495-2023</t>
        </is>
      </c>
      <c r="B10046" s="1" t="n">
        <v>45081</v>
      </c>
      <c r="C10046" s="1" t="n">
        <v>45736</v>
      </c>
      <c r="D10046" t="inlineStr">
        <is>
          <t>VÄRMLANDS LÄN</t>
        </is>
      </c>
      <c r="E10046" t="inlineStr">
        <is>
          <t>ÅRJÄNG</t>
        </is>
      </c>
      <c r="F10046" t="inlineStr">
        <is>
          <t>Övriga Aktiebolag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25454-2023</t>
        </is>
      </c>
      <c r="B10047" s="1" t="n">
        <v>45081</v>
      </c>
      <c r="C10047" s="1" t="n">
        <v>45736</v>
      </c>
      <c r="D10047" t="inlineStr">
        <is>
          <t>VÄRMLANDS LÄN</t>
        </is>
      </c>
      <c r="E10047" t="inlineStr">
        <is>
          <t>KRISTINEHAMN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25489-2023</t>
        </is>
      </c>
      <c r="B10048" s="1" t="n">
        <v>45081</v>
      </c>
      <c r="C10048" s="1" t="n">
        <v>45736</v>
      </c>
      <c r="D10048" t="inlineStr">
        <is>
          <t>VÄRMLANDS LÄN</t>
        </is>
      </c>
      <c r="E10048" t="inlineStr">
        <is>
          <t>SÄFFLE</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24329-2023</t>
        </is>
      </c>
      <c r="B10049" s="1" t="n">
        <v>45081</v>
      </c>
      <c r="C10049" s="1" t="n">
        <v>45736</v>
      </c>
      <c r="D10049" t="inlineStr">
        <is>
          <t>VÄRMLANDS LÄN</t>
        </is>
      </c>
      <c r="E10049" t="inlineStr">
        <is>
          <t>ARVIKA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25492-2023</t>
        </is>
      </c>
      <c r="B10050" s="1" t="n">
        <v>45081</v>
      </c>
      <c r="C10050" s="1" t="n">
        <v>45736</v>
      </c>
      <c r="D10050" t="inlineStr">
        <is>
          <t>VÄRMLANDS LÄN</t>
        </is>
      </c>
      <c r="E10050" t="inlineStr">
        <is>
          <t>KRISTINEHAMN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25494-2023</t>
        </is>
      </c>
      <c r="B10051" s="1" t="n">
        <v>45081</v>
      </c>
      <c r="C10051" s="1" t="n">
        <v>45736</v>
      </c>
      <c r="D10051" t="inlineStr">
        <is>
          <t>VÄRMLANDS LÄN</t>
        </is>
      </c>
      <c r="E10051" t="inlineStr">
        <is>
          <t>KRISTINEHAMN</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24393-2023</t>
        </is>
      </c>
      <c r="B10052" s="1" t="n">
        <v>45082</v>
      </c>
      <c r="C10052" s="1" t="n">
        <v>45736</v>
      </c>
      <c r="D10052" t="inlineStr">
        <is>
          <t>VÄRMLANDS LÄN</t>
        </is>
      </c>
      <c r="E10052" t="inlineStr">
        <is>
          <t>SUNNE</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24362-2023</t>
        </is>
      </c>
      <c r="B10053" s="1" t="n">
        <v>45082</v>
      </c>
      <c r="C10053" s="1" t="n">
        <v>45736</v>
      </c>
      <c r="D10053" t="inlineStr">
        <is>
          <t>VÄRMLANDS LÄN</t>
        </is>
      </c>
      <c r="E10053" t="inlineStr">
        <is>
          <t>ARVIKA</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24391-2023</t>
        </is>
      </c>
      <c r="B10054" s="1" t="n">
        <v>45082</v>
      </c>
      <c r="C10054" s="1" t="n">
        <v>45736</v>
      </c>
      <c r="D10054" t="inlineStr">
        <is>
          <t>VÄRMLANDS LÄN</t>
        </is>
      </c>
      <c r="E10054" t="inlineStr">
        <is>
          <t>SÄFFLE</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24518-2023</t>
        </is>
      </c>
      <c r="B10055" s="1" t="n">
        <v>45082</v>
      </c>
      <c r="C10055" s="1" t="n">
        <v>45736</v>
      </c>
      <c r="D10055" t="inlineStr">
        <is>
          <t>VÄRMLANDS LÄN</t>
        </is>
      </c>
      <c r="E10055" t="inlineStr">
        <is>
          <t>TORSBY</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25570-2023</t>
        </is>
      </c>
      <c r="B10056" s="1" t="n">
        <v>45082</v>
      </c>
      <c r="C10056" s="1" t="n">
        <v>45736</v>
      </c>
      <c r="D10056" t="inlineStr">
        <is>
          <t>VÄRMLANDS LÄN</t>
        </is>
      </c>
      <c r="E10056" t="inlineStr">
        <is>
          <t>KRISTINEHAMN</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24505-2023</t>
        </is>
      </c>
      <c r="B10057" s="1" t="n">
        <v>45082</v>
      </c>
      <c r="C10057" s="1" t="n">
        <v>45736</v>
      </c>
      <c r="D10057" t="inlineStr">
        <is>
          <t>VÄRMLANDS LÄN</t>
        </is>
      </c>
      <c r="E10057" t="inlineStr">
        <is>
          <t>ÅRJÄNG</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24536-2023</t>
        </is>
      </c>
      <c r="B10058" s="1" t="n">
        <v>45082</v>
      </c>
      <c r="C10058" s="1" t="n">
        <v>45736</v>
      </c>
      <c r="D10058" t="inlineStr">
        <is>
          <t>VÄRMLANDS LÄN</t>
        </is>
      </c>
      <c r="E10058" t="inlineStr">
        <is>
          <t>SUNNE</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25561-2023</t>
        </is>
      </c>
      <c r="B10059" s="1" t="n">
        <v>45082</v>
      </c>
      <c r="C10059" s="1" t="n">
        <v>45736</v>
      </c>
      <c r="D10059" t="inlineStr">
        <is>
          <t>VÄRMLANDS LÄN</t>
        </is>
      </c>
      <c r="E10059" t="inlineStr">
        <is>
          <t>SÄFFLE</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24589-2023</t>
        </is>
      </c>
      <c r="B10060" s="1" t="n">
        <v>45083</v>
      </c>
      <c r="C10060" s="1" t="n">
        <v>45736</v>
      </c>
      <c r="D10060" t="inlineStr">
        <is>
          <t>VÄRMLANDS LÄN</t>
        </is>
      </c>
      <c r="E10060" t="inlineStr">
        <is>
          <t>KARLSTAD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24593-2023</t>
        </is>
      </c>
      <c r="B10061" s="1" t="n">
        <v>45083</v>
      </c>
      <c r="C10061" s="1" t="n">
        <v>45736</v>
      </c>
      <c r="D10061" t="inlineStr">
        <is>
          <t>VÄRMLANDS LÄN</t>
        </is>
      </c>
      <c r="E10061" t="inlineStr">
        <is>
          <t>KARLSTAD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24561-2023</t>
        </is>
      </c>
      <c r="B10062" s="1" t="n">
        <v>45083</v>
      </c>
      <c r="C10062" s="1" t="n">
        <v>45736</v>
      </c>
      <c r="D10062" t="inlineStr">
        <is>
          <t>VÄRMLANDS LÄN</t>
        </is>
      </c>
      <c r="E10062" t="inlineStr">
        <is>
          <t>EDA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24565-2023</t>
        </is>
      </c>
      <c r="B10063" s="1" t="n">
        <v>45083</v>
      </c>
      <c r="C10063" s="1" t="n">
        <v>45736</v>
      </c>
      <c r="D10063" t="inlineStr">
        <is>
          <t>VÄRMLANDS LÄN</t>
        </is>
      </c>
      <c r="E10063" t="inlineStr">
        <is>
          <t>KARLSTAD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24592-2023</t>
        </is>
      </c>
      <c r="B10064" s="1" t="n">
        <v>45083</v>
      </c>
      <c r="C10064" s="1" t="n">
        <v>45736</v>
      </c>
      <c r="D10064" t="inlineStr">
        <is>
          <t>VÄRMLANDS LÄN</t>
        </is>
      </c>
      <c r="E10064" t="inlineStr">
        <is>
          <t>KARLSTAD</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25617-2023</t>
        </is>
      </c>
      <c r="B10065" s="1" t="n">
        <v>45083</v>
      </c>
      <c r="C10065" s="1" t="n">
        <v>45736</v>
      </c>
      <c r="D10065" t="inlineStr">
        <is>
          <t>VÄRMLANDS LÄN</t>
        </is>
      </c>
      <c r="E10065" t="inlineStr">
        <is>
          <t>ARVIKA</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25623-2023</t>
        </is>
      </c>
      <c r="B10066" s="1" t="n">
        <v>45083</v>
      </c>
      <c r="C10066" s="1" t="n">
        <v>45736</v>
      </c>
      <c r="D10066" t="inlineStr">
        <is>
          <t>VÄRMLANDS LÄN</t>
        </is>
      </c>
      <c r="E10066" t="inlineStr">
        <is>
          <t>ARVIKA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25628-2023</t>
        </is>
      </c>
      <c r="B10067" s="1" t="n">
        <v>45083</v>
      </c>
      <c r="C10067" s="1" t="n">
        <v>45736</v>
      </c>
      <c r="D10067" t="inlineStr">
        <is>
          <t>VÄRMLANDS LÄN</t>
        </is>
      </c>
      <c r="E10067" t="inlineStr">
        <is>
          <t>ARVIKA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25581-2023</t>
        </is>
      </c>
      <c r="B10068" s="1" t="n">
        <v>45083</v>
      </c>
      <c r="C10068" s="1" t="n">
        <v>45736</v>
      </c>
      <c r="D10068" t="inlineStr">
        <is>
          <t>VÄRMLANDS LÄN</t>
        </is>
      </c>
      <c r="E10068" t="inlineStr">
        <is>
          <t>ARVIKA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24590-2023</t>
        </is>
      </c>
      <c r="B10069" s="1" t="n">
        <v>45083</v>
      </c>
      <c r="C10069" s="1" t="n">
        <v>45736</v>
      </c>
      <c r="D10069" t="inlineStr">
        <is>
          <t>VÄRMLANDS LÄN</t>
        </is>
      </c>
      <c r="E10069" t="inlineStr">
        <is>
          <t>KARLSTAD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25601-2023</t>
        </is>
      </c>
      <c r="B10070" s="1" t="n">
        <v>45083</v>
      </c>
      <c r="C10070" s="1" t="n">
        <v>45736</v>
      </c>
      <c r="D10070" t="inlineStr">
        <is>
          <t>VÄRMLANDS LÄN</t>
        </is>
      </c>
      <c r="E10070" t="inlineStr">
        <is>
          <t>ARVIKA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24608-2023</t>
        </is>
      </c>
      <c r="B10071" s="1" t="n">
        <v>45084</v>
      </c>
      <c r="C10071" s="1" t="n">
        <v>45736</v>
      </c>
      <c r="D10071" t="inlineStr">
        <is>
          <t>VÄRMLANDS LÄN</t>
        </is>
      </c>
      <c r="E10071" t="inlineStr">
        <is>
          <t>HAGFORS</t>
        </is>
      </c>
      <c r="F10071" t="inlineStr">
        <is>
          <t>Bergvik skog väst AB</t>
        </is>
      </c>
      <c r="G10071" t="n">
        <v>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24620-2023</t>
        </is>
      </c>
      <c r="B10072" s="1" t="n">
        <v>45084</v>
      </c>
      <c r="C10072" s="1" t="n">
        <v>45736</v>
      </c>
      <c r="D10072" t="inlineStr">
        <is>
          <t>VÄRMLANDS LÄN</t>
        </is>
      </c>
      <c r="E10072" t="inlineStr">
        <is>
          <t>EDA</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24626-2023</t>
        </is>
      </c>
      <c r="B10073" s="1" t="n">
        <v>45084</v>
      </c>
      <c r="C10073" s="1" t="n">
        <v>45736</v>
      </c>
      <c r="D10073" t="inlineStr">
        <is>
          <t>VÄRMLANDS LÄN</t>
        </is>
      </c>
      <c r="E10073" t="inlineStr">
        <is>
          <t>SUNNE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24630-2023</t>
        </is>
      </c>
      <c r="B10074" s="1" t="n">
        <v>45084</v>
      </c>
      <c r="C10074" s="1" t="n">
        <v>45736</v>
      </c>
      <c r="D10074" t="inlineStr">
        <is>
          <t>VÄRMLANDS LÄN</t>
        </is>
      </c>
      <c r="E10074" t="inlineStr">
        <is>
          <t>ARVIKA</t>
        </is>
      </c>
      <c r="F10074" t="inlineStr">
        <is>
          <t>Bergvik skog väst AB</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24638-2023</t>
        </is>
      </c>
      <c r="B10075" s="1" t="n">
        <v>45084</v>
      </c>
      <c r="C10075" s="1" t="n">
        <v>45736</v>
      </c>
      <c r="D10075" t="inlineStr">
        <is>
          <t>VÄRMLANDS LÄN</t>
        </is>
      </c>
      <c r="E10075" t="inlineStr">
        <is>
          <t>HAGFORS</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24696-2023</t>
        </is>
      </c>
      <c r="B10076" s="1" t="n">
        <v>45084</v>
      </c>
      <c r="C10076" s="1" t="n">
        <v>45736</v>
      </c>
      <c r="D10076" t="inlineStr">
        <is>
          <t>VÄRMLANDS LÄN</t>
        </is>
      </c>
      <c r="E10076" t="inlineStr">
        <is>
          <t>TORSBY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24635-2023</t>
        </is>
      </c>
      <c r="B10077" s="1" t="n">
        <v>45084</v>
      </c>
      <c r="C10077" s="1" t="n">
        <v>45736</v>
      </c>
      <c r="D10077" t="inlineStr">
        <is>
          <t>VÄRMLANDS LÄN</t>
        </is>
      </c>
      <c r="E10077" t="inlineStr">
        <is>
          <t>HAGFORS</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24639-2023</t>
        </is>
      </c>
      <c r="B10078" s="1" t="n">
        <v>45084</v>
      </c>
      <c r="C10078" s="1" t="n">
        <v>45736</v>
      </c>
      <c r="D10078" t="inlineStr">
        <is>
          <t>VÄRMLANDS LÄN</t>
        </is>
      </c>
      <c r="E10078" t="inlineStr">
        <is>
          <t>TORSBY</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24643-2023</t>
        </is>
      </c>
      <c r="B10079" s="1" t="n">
        <v>45084</v>
      </c>
      <c r="C10079" s="1" t="n">
        <v>45736</v>
      </c>
      <c r="D10079" t="inlineStr">
        <is>
          <t>VÄRMLANDS LÄN</t>
        </is>
      </c>
      <c r="E10079" t="inlineStr">
        <is>
          <t>TORSBY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24767-2023</t>
        </is>
      </c>
      <c r="B10080" s="1" t="n">
        <v>45084</v>
      </c>
      <c r="C10080" s="1" t="n">
        <v>45736</v>
      </c>
      <c r="D10080" t="inlineStr">
        <is>
          <t>VÄRMLANDS LÄN</t>
        </is>
      </c>
      <c r="E10080" t="inlineStr">
        <is>
          <t>ARVIKA</t>
        </is>
      </c>
      <c r="F10080" t="inlineStr">
        <is>
          <t>Bergvik skog väst AB</t>
        </is>
      </c>
      <c r="G10080" t="n">
        <v>15.1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24633-2023</t>
        </is>
      </c>
      <c r="B10081" s="1" t="n">
        <v>45084</v>
      </c>
      <c r="C10081" s="1" t="n">
        <v>45736</v>
      </c>
      <c r="D10081" t="inlineStr">
        <is>
          <t>VÄRMLANDS LÄN</t>
        </is>
      </c>
      <c r="E10081" t="inlineStr">
        <is>
          <t>HAGFORS</t>
        </is>
      </c>
      <c r="F10081" t="inlineStr">
        <is>
          <t>Kyrkan</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24703-2023</t>
        </is>
      </c>
      <c r="B10082" s="1" t="n">
        <v>45084</v>
      </c>
      <c r="C10082" s="1" t="n">
        <v>45736</v>
      </c>
      <c r="D10082" t="inlineStr">
        <is>
          <t>VÄRMLANDS LÄN</t>
        </is>
      </c>
      <c r="E10082" t="inlineStr">
        <is>
          <t>TORSBY</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24756-2023</t>
        </is>
      </c>
      <c r="B10083" s="1" t="n">
        <v>45084</v>
      </c>
      <c r="C10083" s="1" t="n">
        <v>45736</v>
      </c>
      <c r="D10083" t="inlineStr">
        <is>
          <t>VÄRMLANDS LÄN</t>
        </is>
      </c>
      <c r="E10083" t="inlineStr">
        <is>
          <t>EDA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24743-2023</t>
        </is>
      </c>
      <c r="B10084" s="1" t="n">
        <v>45084</v>
      </c>
      <c r="C10084" s="1" t="n">
        <v>45736</v>
      </c>
      <c r="D10084" t="inlineStr">
        <is>
          <t>VÄRMLANDS LÄN</t>
        </is>
      </c>
      <c r="E10084" t="inlineStr">
        <is>
          <t>SUNNE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24776-2023</t>
        </is>
      </c>
      <c r="B10085" s="1" t="n">
        <v>45084</v>
      </c>
      <c r="C10085" s="1" t="n">
        <v>45736</v>
      </c>
      <c r="D10085" t="inlineStr">
        <is>
          <t>VÄRMLANDS LÄN</t>
        </is>
      </c>
      <c r="E10085" t="inlineStr">
        <is>
          <t>EDA</t>
        </is>
      </c>
      <c r="F10085" t="inlineStr">
        <is>
          <t>Bergvik skog väst AB</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24781-2023</t>
        </is>
      </c>
      <c r="B10086" s="1" t="n">
        <v>45084</v>
      </c>
      <c r="C10086" s="1" t="n">
        <v>45736</v>
      </c>
      <c r="D10086" t="inlineStr">
        <is>
          <t>VÄRMLANDS LÄN</t>
        </is>
      </c>
      <c r="E10086" t="inlineStr">
        <is>
          <t>HAGFORS</t>
        </is>
      </c>
      <c r="F10086" t="inlineStr">
        <is>
          <t>Bergvik skog väst AB</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24770-2023</t>
        </is>
      </c>
      <c r="B10087" s="1" t="n">
        <v>45084</v>
      </c>
      <c r="C10087" s="1" t="n">
        <v>45736</v>
      </c>
      <c r="D10087" t="inlineStr">
        <is>
          <t>VÄRMLANDS LÄN</t>
        </is>
      </c>
      <c r="E10087" t="inlineStr">
        <is>
          <t>ÅRJÄNG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24774-2023</t>
        </is>
      </c>
      <c r="B10088" s="1" t="n">
        <v>45084</v>
      </c>
      <c r="C10088" s="1" t="n">
        <v>45736</v>
      </c>
      <c r="D10088" t="inlineStr">
        <is>
          <t>VÄRMLANDS LÄN</t>
        </is>
      </c>
      <c r="E10088" t="inlineStr">
        <is>
          <t>EDA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24794-2023</t>
        </is>
      </c>
      <c r="B10089" s="1" t="n">
        <v>45084</v>
      </c>
      <c r="C10089" s="1" t="n">
        <v>45736</v>
      </c>
      <c r="D10089" t="inlineStr">
        <is>
          <t>VÄRMLANDS LÄN</t>
        </is>
      </c>
      <c r="E10089" t="inlineStr">
        <is>
          <t>SUNNE</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24796-2023</t>
        </is>
      </c>
      <c r="B10090" s="1" t="n">
        <v>45084</v>
      </c>
      <c r="C10090" s="1" t="n">
        <v>45736</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24793-2023</t>
        </is>
      </c>
      <c r="B10091" s="1" t="n">
        <v>45084</v>
      </c>
      <c r="C10091" s="1" t="n">
        <v>45736</v>
      </c>
      <c r="D10091" t="inlineStr">
        <is>
          <t>VÄRMLANDS LÄN</t>
        </is>
      </c>
      <c r="E10091" t="inlineStr">
        <is>
          <t>SUNNE</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25772-2023</t>
        </is>
      </c>
      <c r="B10092" s="1" t="n">
        <v>45084</v>
      </c>
      <c r="C10092" s="1" t="n">
        <v>45736</v>
      </c>
      <c r="D10092" t="inlineStr">
        <is>
          <t>VÄRMLANDS LÄN</t>
        </is>
      </c>
      <c r="E10092" t="inlineStr">
        <is>
          <t>EDA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24844-2023</t>
        </is>
      </c>
      <c r="B10093" s="1" t="n">
        <v>45085</v>
      </c>
      <c r="C10093" s="1" t="n">
        <v>45736</v>
      </c>
      <c r="D10093" t="inlineStr">
        <is>
          <t>VÄRMLANDS LÄN</t>
        </is>
      </c>
      <c r="E10093" t="inlineStr">
        <is>
          <t>EDA</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24849-2023</t>
        </is>
      </c>
      <c r="B10094" s="1" t="n">
        <v>45085</v>
      </c>
      <c r="C10094" s="1" t="n">
        <v>45736</v>
      </c>
      <c r="D10094" t="inlineStr">
        <is>
          <t>VÄRMLANDS LÄN</t>
        </is>
      </c>
      <c r="E10094" t="inlineStr">
        <is>
          <t>TORSBY</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24872-2023</t>
        </is>
      </c>
      <c r="B10095" s="1" t="n">
        <v>45085</v>
      </c>
      <c r="C10095" s="1" t="n">
        <v>45736</v>
      </c>
      <c r="D10095" t="inlineStr">
        <is>
          <t>VÄRMLANDS LÄN</t>
        </is>
      </c>
      <c r="E10095" t="inlineStr">
        <is>
          <t>ARVIKA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24886-2023</t>
        </is>
      </c>
      <c r="B10096" s="1" t="n">
        <v>45085</v>
      </c>
      <c r="C10096" s="1" t="n">
        <v>45736</v>
      </c>
      <c r="D10096" t="inlineStr">
        <is>
          <t>VÄRMLANDS LÄN</t>
        </is>
      </c>
      <c r="E10096" t="inlineStr">
        <is>
          <t>HAGFORS</t>
        </is>
      </c>
      <c r="F10096" t="inlineStr">
        <is>
          <t>Bergvik skog väst AB</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24896-2023</t>
        </is>
      </c>
      <c r="B10097" s="1" t="n">
        <v>45085</v>
      </c>
      <c r="C10097" s="1" t="n">
        <v>45736</v>
      </c>
      <c r="D10097" t="inlineStr">
        <is>
          <t>VÄRMLANDS LÄN</t>
        </is>
      </c>
      <c r="E10097" t="inlineStr">
        <is>
          <t>TORSBY</t>
        </is>
      </c>
      <c r="F10097" t="inlineStr">
        <is>
          <t>Bergvik skog väst AB</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24900-2023</t>
        </is>
      </c>
      <c r="B10098" s="1" t="n">
        <v>45085</v>
      </c>
      <c r="C10098" s="1" t="n">
        <v>45736</v>
      </c>
      <c r="D10098" t="inlineStr">
        <is>
          <t>VÄRMLANDS LÄN</t>
        </is>
      </c>
      <c r="E10098" t="inlineStr">
        <is>
          <t>KRISTINEHAMN</t>
        </is>
      </c>
      <c r="F10098" t="inlineStr">
        <is>
          <t>Sveaskog</t>
        </is>
      </c>
      <c r="G10098" t="n">
        <v>10</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24876-2023</t>
        </is>
      </c>
      <c r="B10099" s="1" t="n">
        <v>45085</v>
      </c>
      <c r="C10099" s="1" t="n">
        <v>45736</v>
      </c>
      <c r="D10099" t="inlineStr">
        <is>
          <t>VÄRMLANDS LÄN</t>
        </is>
      </c>
      <c r="E10099" t="inlineStr">
        <is>
          <t>TORSBY</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24899-2023</t>
        </is>
      </c>
      <c r="B10100" s="1" t="n">
        <v>45085</v>
      </c>
      <c r="C10100" s="1" t="n">
        <v>45736</v>
      </c>
      <c r="D10100" t="inlineStr">
        <is>
          <t>VÄRMLANDS LÄN</t>
        </is>
      </c>
      <c r="E10100" t="inlineStr">
        <is>
          <t>KRISTINEHAMN</t>
        </is>
      </c>
      <c r="F10100" t="inlineStr">
        <is>
          <t>Sveaskog</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24917-2023</t>
        </is>
      </c>
      <c r="B10101" s="1" t="n">
        <v>45085</v>
      </c>
      <c r="C10101" s="1" t="n">
        <v>45736</v>
      </c>
      <c r="D10101" t="inlineStr">
        <is>
          <t>VÄRMLANDS LÄN</t>
        </is>
      </c>
      <c r="E10101" t="inlineStr">
        <is>
          <t>EDA</t>
        </is>
      </c>
      <c r="G10101" t="n">
        <v>12.9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24926-2023</t>
        </is>
      </c>
      <c r="B10102" s="1" t="n">
        <v>45085</v>
      </c>
      <c r="C10102" s="1" t="n">
        <v>45736</v>
      </c>
      <c r="D10102" t="inlineStr">
        <is>
          <t>VÄRMLANDS LÄN</t>
        </is>
      </c>
      <c r="E10102" t="inlineStr">
        <is>
          <t>SUNNE</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24909-2023</t>
        </is>
      </c>
      <c r="B10103" s="1" t="n">
        <v>45085</v>
      </c>
      <c r="C10103" s="1" t="n">
        <v>45736</v>
      </c>
      <c r="D10103" t="inlineStr">
        <is>
          <t>VÄRMLANDS LÄN</t>
        </is>
      </c>
      <c r="E10103" t="inlineStr">
        <is>
          <t>TORSBY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24918-2023</t>
        </is>
      </c>
      <c r="B10104" s="1" t="n">
        <v>45085</v>
      </c>
      <c r="C10104" s="1" t="n">
        <v>45736</v>
      </c>
      <c r="D10104" t="inlineStr">
        <is>
          <t>VÄRMLANDS LÄN</t>
        </is>
      </c>
      <c r="E10104" t="inlineStr">
        <is>
          <t>SUNNE</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24923-2023</t>
        </is>
      </c>
      <c r="B10105" s="1" t="n">
        <v>45085</v>
      </c>
      <c r="C10105" s="1" t="n">
        <v>45736</v>
      </c>
      <c r="D10105" t="inlineStr">
        <is>
          <t>VÄRMLANDS LÄN</t>
        </is>
      </c>
      <c r="E10105" t="inlineStr">
        <is>
          <t>SUNNE</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24897-2023</t>
        </is>
      </c>
      <c r="B10106" s="1" t="n">
        <v>45085</v>
      </c>
      <c r="C10106" s="1" t="n">
        <v>45736</v>
      </c>
      <c r="D10106" t="inlineStr">
        <is>
          <t>VÄRMLANDS LÄN</t>
        </is>
      </c>
      <c r="E10106" t="inlineStr">
        <is>
          <t>TORSBY</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24901-2023</t>
        </is>
      </c>
      <c r="B10107" s="1" t="n">
        <v>45085</v>
      </c>
      <c r="C10107" s="1" t="n">
        <v>45736</v>
      </c>
      <c r="D10107" t="inlineStr">
        <is>
          <t>VÄRMLANDS LÄN</t>
        </is>
      </c>
      <c r="E10107" t="inlineStr">
        <is>
          <t>KRISTINEHAMN</t>
        </is>
      </c>
      <c r="F10107" t="inlineStr">
        <is>
          <t>Sveaskog</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24847-2023</t>
        </is>
      </c>
      <c r="B10108" s="1" t="n">
        <v>45085</v>
      </c>
      <c r="C10108" s="1" t="n">
        <v>45736</v>
      </c>
      <c r="D10108" t="inlineStr">
        <is>
          <t>VÄRMLANDS LÄN</t>
        </is>
      </c>
      <c r="E10108" t="inlineStr">
        <is>
          <t>TORSBY</t>
        </is>
      </c>
      <c r="F10108" t="inlineStr">
        <is>
          <t>Kommuner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24929-2023</t>
        </is>
      </c>
      <c r="B10109" s="1" t="n">
        <v>45085</v>
      </c>
      <c r="C10109" s="1" t="n">
        <v>45736</v>
      </c>
      <c r="D10109" t="inlineStr">
        <is>
          <t>VÄRMLANDS LÄN</t>
        </is>
      </c>
      <c r="E10109" t="inlineStr">
        <is>
          <t>ARVIKA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24888-2023</t>
        </is>
      </c>
      <c r="B10110" s="1" t="n">
        <v>45085</v>
      </c>
      <c r="C10110" s="1" t="n">
        <v>45736</v>
      </c>
      <c r="D10110" t="inlineStr">
        <is>
          <t>VÄRMLANDS LÄN</t>
        </is>
      </c>
      <c r="E10110" t="inlineStr">
        <is>
          <t>SUNNE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24965-2023</t>
        </is>
      </c>
      <c r="B10111" s="1" t="n">
        <v>45085</v>
      </c>
      <c r="C10111" s="1" t="n">
        <v>45736</v>
      </c>
      <c r="D10111" t="inlineStr">
        <is>
          <t>VÄRMLANDS LÄN</t>
        </is>
      </c>
      <c r="E10111" t="inlineStr">
        <is>
          <t>TORSBY</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24969-2023</t>
        </is>
      </c>
      <c r="B10112" s="1" t="n">
        <v>45085</v>
      </c>
      <c r="C10112" s="1" t="n">
        <v>45736</v>
      </c>
      <c r="D10112" t="inlineStr">
        <is>
          <t>VÄRMLANDS LÄN</t>
        </is>
      </c>
      <c r="E10112" t="inlineStr">
        <is>
          <t>TORSBY</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24987-2023</t>
        </is>
      </c>
      <c r="B10113" s="1" t="n">
        <v>45085</v>
      </c>
      <c r="C10113" s="1" t="n">
        <v>45736</v>
      </c>
      <c r="D10113" t="inlineStr">
        <is>
          <t>VÄRMLANDS LÄN</t>
        </is>
      </c>
      <c r="E10113" t="inlineStr">
        <is>
          <t>KARLSTAD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25005-2023</t>
        </is>
      </c>
      <c r="B10114" s="1" t="n">
        <v>45085</v>
      </c>
      <c r="C10114" s="1" t="n">
        <v>45736</v>
      </c>
      <c r="D10114" t="inlineStr">
        <is>
          <t>VÄRMLANDS LÄN</t>
        </is>
      </c>
      <c r="E10114" t="inlineStr">
        <is>
          <t>SUNNE</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24953-2023</t>
        </is>
      </c>
      <c r="B10115" s="1" t="n">
        <v>45085</v>
      </c>
      <c r="C10115" s="1" t="n">
        <v>45736</v>
      </c>
      <c r="D10115" t="inlineStr">
        <is>
          <t>VÄRMLANDS LÄN</t>
        </is>
      </c>
      <c r="E10115" t="inlineStr">
        <is>
          <t>ARVIKA</t>
        </is>
      </c>
      <c r="F10115" t="inlineStr">
        <is>
          <t>Bergvik skog väst AB</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24998-2023</t>
        </is>
      </c>
      <c r="B10116" s="1" t="n">
        <v>45085</v>
      </c>
      <c r="C10116" s="1" t="n">
        <v>45736</v>
      </c>
      <c r="D10116" t="inlineStr">
        <is>
          <t>VÄRMLANDS LÄN</t>
        </is>
      </c>
      <c r="E10116" t="inlineStr">
        <is>
          <t>HAGFORS</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25001-2023</t>
        </is>
      </c>
      <c r="B10117" s="1" t="n">
        <v>45085</v>
      </c>
      <c r="C10117" s="1" t="n">
        <v>45736</v>
      </c>
      <c r="D10117" t="inlineStr">
        <is>
          <t>VÄRMLANDS LÄN</t>
        </is>
      </c>
      <c r="E10117" t="inlineStr">
        <is>
          <t>TORSBY</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25006-2023</t>
        </is>
      </c>
      <c r="B10118" s="1" t="n">
        <v>45085</v>
      </c>
      <c r="C10118" s="1" t="n">
        <v>45736</v>
      </c>
      <c r="D10118" t="inlineStr">
        <is>
          <t>VÄRMLANDS LÄN</t>
        </is>
      </c>
      <c r="E10118" t="inlineStr">
        <is>
          <t>SUNNE</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24990-2023</t>
        </is>
      </c>
      <c r="B10119" s="1" t="n">
        <v>45085</v>
      </c>
      <c r="C10119" s="1" t="n">
        <v>45736</v>
      </c>
      <c r="D10119" t="inlineStr">
        <is>
          <t>VÄRMLANDS LÄN</t>
        </is>
      </c>
      <c r="E10119" t="inlineStr">
        <is>
          <t>ARVIKA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25008-2023</t>
        </is>
      </c>
      <c r="B10120" s="1" t="n">
        <v>45085</v>
      </c>
      <c r="C10120" s="1" t="n">
        <v>45736</v>
      </c>
      <c r="D10120" t="inlineStr">
        <is>
          <t>VÄRMLANDS LÄN</t>
        </is>
      </c>
      <c r="E10120" t="inlineStr">
        <is>
          <t>FORSHAGA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25068-2023</t>
        </is>
      </c>
      <c r="B10121" s="1" t="n">
        <v>45085</v>
      </c>
      <c r="C10121" s="1" t="n">
        <v>45736</v>
      </c>
      <c r="D10121" t="inlineStr">
        <is>
          <t>VÄRMLANDS LÄN</t>
        </is>
      </c>
      <c r="E10121" t="inlineStr">
        <is>
          <t>TORSBY</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25777-2023</t>
        </is>
      </c>
      <c r="B10122" s="1" t="n">
        <v>45085</v>
      </c>
      <c r="C10122" s="1" t="n">
        <v>45736</v>
      </c>
      <c r="D10122" t="inlineStr">
        <is>
          <t>VÄRMLANDS LÄN</t>
        </is>
      </c>
      <c r="E10122" t="inlineStr">
        <is>
          <t>SÄFFLE</t>
        </is>
      </c>
      <c r="G10122" t="n">
        <v>6.7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25785-2023</t>
        </is>
      </c>
      <c r="B10123" s="1" t="n">
        <v>45085</v>
      </c>
      <c r="C10123" s="1" t="n">
        <v>45736</v>
      </c>
      <c r="D10123" t="inlineStr">
        <is>
          <t>VÄRMLANDS LÄN</t>
        </is>
      </c>
      <c r="E10123" t="inlineStr">
        <is>
          <t>SÄFFLE</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25133-2023</t>
        </is>
      </c>
      <c r="B10124" s="1" t="n">
        <v>45086</v>
      </c>
      <c r="C10124" s="1" t="n">
        <v>45736</v>
      </c>
      <c r="D10124" t="inlineStr">
        <is>
          <t>VÄRMLANDS LÄN</t>
        </is>
      </c>
      <c r="E10124" t="inlineStr">
        <is>
          <t>EDA</t>
        </is>
      </c>
      <c r="F10124" t="inlineStr">
        <is>
          <t>Övriga Aktiebolag</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25138-2023</t>
        </is>
      </c>
      <c r="B10125" s="1" t="n">
        <v>45086</v>
      </c>
      <c r="C10125" s="1" t="n">
        <v>45736</v>
      </c>
      <c r="D10125" t="inlineStr">
        <is>
          <t>VÄRMLANDS LÄN</t>
        </is>
      </c>
      <c r="E10125" t="inlineStr">
        <is>
          <t>ARVIKA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25163-2023</t>
        </is>
      </c>
      <c r="B10126" s="1" t="n">
        <v>45086</v>
      </c>
      <c r="C10126" s="1" t="n">
        <v>45736</v>
      </c>
      <c r="D10126" t="inlineStr">
        <is>
          <t>VÄRMLANDS LÄN</t>
        </is>
      </c>
      <c r="E10126" t="inlineStr">
        <is>
          <t>TORSBY</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25167-2023</t>
        </is>
      </c>
      <c r="B10127" s="1" t="n">
        <v>45086</v>
      </c>
      <c r="C10127" s="1" t="n">
        <v>45736</v>
      </c>
      <c r="D10127" t="inlineStr">
        <is>
          <t>VÄRMLANDS LÄN</t>
        </is>
      </c>
      <c r="E10127" t="inlineStr">
        <is>
          <t>EDA</t>
        </is>
      </c>
      <c r="F10127" t="inlineStr">
        <is>
          <t>Övriga Aktiebolag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25178-2023</t>
        </is>
      </c>
      <c r="B10128" s="1" t="n">
        <v>45086</v>
      </c>
      <c r="C10128" s="1" t="n">
        <v>45736</v>
      </c>
      <c r="D10128" t="inlineStr">
        <is>
          <t>VÄRMLANDS LÄN</t>
        </is>
      </c>
      <c r="E10128" t="inlineStr">
        <is>
          <t>KARLSTAD</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25208-2023</t>
        </is>
      </c>
      <c r="B10129" s="1" t="n">
        <v>45086</v>
      </c>
      <c r="C10129" s="1" t="n">
        <v>45736</v>
      </c>
      <c r="D10129" t="inlineStr">
        <is>
          <t>VÄRMLANDS LÄN</t>
        </is>
      </c>
      <c r="E10129" t="inlineStr">
        <is>
          <t>SUNNE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25088-2023</t>
        </is>
      </c>
      <c r="B10130" s="1" t="n">
        <v>45086</v>
      </c>
      <c r="C10130" s="1" t="n">
        <v>45736</v>
      </c>
      <c r="D10130" t="inlineStr">
        <is>
          <t>VÄRMLANDS LÄN</t>
        </is>
      </c>
      <c r="E10130" t="inlineStr">
        <is>
          <t>TORSBY</t>
        </is>
      </c>
      <c r="F10130" t="inlineStr">
        <is>
          <t>Bergvik skog väst AB</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25090-2023</t>
        </is>
      </c>
      <c r="B10131" s="1" t="n">
        <v>45086</v>
      </c>
      <c r="C10131" s="1" t="n">
        <v>45736</v>
      </c>
      <c r="D10131" t="inlineStr">
        <is>
          <t>VÄRMLANDS LÄN</t>
        </is>
      </c>
      <c r="E10131" t="inlineStr">
        <is>
          <t>TORSBY</t>
        </is>
      </c>
      <c r="F10131" t="inlineStr">
        <is>
          <t>Bergvik skog väst AB</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25198-2023</t>
        </is>
      </c>
      <c r="B10132" s="1" t="n">
        <v>45086</v>
      </c>
      <c r="C10132" s="1" t="n">
        <v>45736</v>
      </c>
      <c r="D10132" t="inlineStr">
        <is>
          <t>VÄRMLANDS LÄN</t>
        </is>
      </c>
      <c r="E10132" t="inlineStr">
        <is>
          <t>SUNNE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25243-2023</t>
        </is>
      </c>
      <c r="B10133" s="1" t="n">
        <v>45086</v>
      </c>
      <c r="C10133" s="1" t="n">
        <v>45736</v>
      </c>
      <c r="D10133" t="inlineStr">
        <is>
          <t>VÄRMLANDS LÄN</t>
        </is>
      </c>
      <c r="E10133" t="inlineStr">
        <is>
          <t>ARVIKA</t>
        </is>
      </c>
      <c r="F10133" t="inlineStr">
        <is>
          <t>Bergvik skog väst AB</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25261-2023</t>
        </is>
      </c>
      <c r="B10134" s="1" t="n">
        <v>45086</v>
      </c>
      <c r="C10134" s="1" t="n">
        <v>45736</v>
      </c>
      <c r="D10134" t="inlineStr">
        <is>
          <t>VÄRMLANDS LÄN</t>
        </is>
      </c>
      <c r="E10134" t="inlineStr">
        <is>
          <t>TORSBY</t>
        </is>
      </c>
      <c r="F10134" t="inlineStr">
        <is>
          <t>Bergvik skog väst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25136-2023</t>
        </is>
      </c>
      <c r="B10135" s="1" t="n">
        <v>45086</v>
      </c>
      <c r="C10135" s="1" t="n">
        <v>45736</v>
      </c>
      <c r="D10135" t="inlineStr">
        <is>
          <t>VÄRMLANDS LÄN</t>
        </is>
      </c>
      <c r="E10135" t="inlineStr">
        <is>
          <t>ARVIKA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25199-2023</t>
        </is>
      </c>
      <c r="B10136" s="1" t="n">
        <v>45086</v>
      </c>
      <c r="C10136" s="1" t="n">
        <v>45736</v>
      </c>
      <c r="D10136" t="inlineStr">
        <is>
          <t>VÄRMLANDS LÄN</t>
        </is>
      </c>
      <c r="E10136" t="inlineStr">
        <is>
          <t>SUNNE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25217-2023</t>
        </is>
      </c>
      <c r="B10137" s="1" t="n">
        <v>45086</v>
      </c>
      <c r="C10137" s="1" t="n">
        <v>45736</v>
      </c>
      <c r="D10137" t="inlineStr">
        <is>
          <t>VÄRMLANDS LÄN</t>
        </is>
      </c>
      <c r="E10137" t="inlineStr">
        <is>
          <t>SUNNE</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25227-2023</t>
        </is>
      </c>
      <c r="B10138" s="1" t="n">
        <v>45086</v>
      </c>
      <c r="C10138" s="1" t="n">
        <v>45736</v>
      </c>
      <c r="D10138" t="inlineStr">
        <is>
          <t>VÄRMLANDS LÄN</t>
        </is>
      </c>
      <c r="E10138" t="inlineStr">
        <is>
          <t>ARVIKA</t>
        </is>
      </c>
      <c r="F10138" t="inlineStr">
        <is>
          <t>Bergvik skog väst AB</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25238-2023</t>
        </is>
      </c>
      <c r="B10139" s="1" t="n">
        <v>45086</v>
      </c>
      <c r="C10139" s="1" t="n">
        <v>45736</v>
      </c>
      <c r="D10139" t="inlineStr">
        <is>
          <t>VÄRMLANDS LÄN</t>
        </is>
      </c>
      <c r="E10139" t="inlineStr">
        <is>
          <t>SUNNE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25115-2023</t>
        </is>
      </c>
      <c r="B10140" s="1" t="n">
        <v>45086</v>
      </c>
      <c r="C10140" s="1" t="n">
        <v>45736</v>
      </c>
      <c r="D10140" t="inlineStr">
        <is>
          <t>VÄRMLANDS LÄN</t>
        </is>
      </c>
      <c r="E10140" t="inlineStr">
        <is>
          <t>SÄFFLE</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25228-2023</t>
        </is>
      </c>
      <c r="B10141" s="1" t="n">
        <v>45086</v>
      </c>
      <c r="C10141" s="1" t="n">
        <v>45736</v>
      </c>
      <c r="D10141" t="inlineStr">
        <is>
          <t>VÄRMLANDS LÄN</t>
        </is>
      </c>
      <c r="E10141" t="inlineStr">
        <is>
          <t>ARVIKA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25240-2023</t>
        </is>
      </c>
      <c r="B10142" s="1" t="n">
        <v>45086</v>
      </c>
      <c r="C10142" s="1" t="n">
        <v>45736</v>
      </c>
      <c r="D10142" t="inlineStr">
        <is>
          <t>VÄRMLANDS LÄN</t>
        </is>
      </c>
      <c r="E10142" t="inlineStr">
        <is>
          <t>ARVIKA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25251-2023</t>
        </is>
      </c>
      <c r="B10143" s="1" t="n">
        <v>45086</v>
      </c>
      <c r="C10143" s="1" t="n">
        <v>45736</v>
      </c>
      <c r="D10143" t="inlineStr">
        <is>
          <t>VÄRMLANDS LÄN</t>
        </is>
      </c>
      <c r="E10143" t="inlineStr">
        <is>
          <t>ARVIKA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25347-2023</t>
        </is>
      </c>
      <c r="B10144" s="1" t="n">
        <v>45087</v>
      </c>
      <c r="C10144" s="1" t="n">
        <v>45736</v>
      </c>
      <c r="D10144" t="inlineStr">
        <is>
          <t>VÄRMLANDS LÄN</t>
        </is>
      </c>
      <c r="E10144" t="inlineStr">
        <is>
          <t>EDA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25344-2023</t>
        </is>
      </c>
      <c r="B10145" s="1" t="n">
        <v>45087</v>
      </c>
      <c r="C10145" s="1" t="n">
        <v>45736</v>
      </c>
      <c r="D10145" t="inlineStr">
        <is>
          <t>VÄRMLANDS LÄN</t>
        </is>
      </c>
      <c r="E10145" t="inlineStr">
        <is>
          <t>TORSBY</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25338-2023</t>
        </is>
      </c>
      <c r="B10146" s="1" t="n">
        <v>45087</v>
      </c>
      <c r="C10146" s="1" t="n">
        <v>45736</v>
      </c>
      <c r="D10146" t="inlineStr">
        <is>
          <t>VÄRMLANDS LÄN</t>
        </is>
      </c>
      <c r="E10146" t="inlineStr">
        <is>
          <t>FILIPSTAD</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25346-2023</t>
        </is>
      </c>
      <c r="B10147" s="1" t="n">
        <v>45087</v>
      </c>
      <c r="C10147" s="1" t="n">
        <v>45736</v>
      </c>
      <c r="D10147" t="inlineStr">
        <is>
          <t>VÄRMLANDS LÄN</t>
        </is>
      </c>
      <c r="E10147" t="inlineStr">
        <is>
          <t>EDA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25345-2023</t>
        </is>
      </c>
      <c r="B10148" s="1" t="n">
        <v>45087</v>
      </c>
      <c r="C10148" s="1" t="n">
        <v>45736</v>
      </c>
      <c r="D10148" t="inlineStr">
        <is>
          <t>VÄRMLANDS LÄN</t>
        </is>
      </c>
      <c r="E10148" t="inlineStr">
        <is>
          <t>EDA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25349-2023</t>
        </is>
      </c>
      <c r="B10149" s="1" t="n">
        <v>45088</v>
      </c>
      <c r="C10149" s="1" t="n">
        <v>45736</v>
      </c>
      <c r="D10149" t="inlineStr">
        <is>
          <t>VÄRMLANDS LÄN</t>
        </is>
      </c>
      <c r="E10149" t="inlineStr">
        <is>
          <t>HAGFORS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25376-2023</t>
        </is>
      </c>
      <c r="B10150" s="1" t="n">
        <v>45089</v>
      </c>
      <c r="C10150" s="1" t="n">
        <v>45736</v>
      </c>
      <c r="D10150" t="inlineStr">
        <is>
          <t>VÄRMLANDS LÄN</t>
        </is>
      </c>
      <c r="E10150" t="inlineStr">
        <is>
          <t>FILIPSTAD</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25375-2023</t>
        </is>
      </c>
      <c r="B10151" s="1" t="n">
        <v>45089</v>
      </c>
      <c r="C10151" s="1" t="n">
        <v>45736</v>
      </c>
      <c r="D10151" t="inlineStr">
        <is>
          <t>VÄRMLANDS LÄN</t>
        </is>
      </c>
      <c r="E10151" t="inlineStr">
        <is>
          <t>FILIPSTAD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25368-2023</t>
        </is>
      </c>
      <c r="B10152" s="1" t="n">
        <v>45089</v>
      </c>
      <c r="C10152" s="1" t="n">
        <v>45736</v>
      </c>
      <c r="D10152" t="inlineStr">
        <is>
          <t>VÄRMLANDS LÄN</t>
        </is>
      </c>
      <c r="E10152" t="inlineStr">
        <is>
          <t>FILIPSTAD</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25386-2023</t>
        </is>
      </c>
      <c r="B10153" s="1" t="n">
        <v>45089</v>
      </c>
      <c r="C10153" s="1" t="n">
        <v>45736</v>
      </c>
      <c r="D10153" t="inlineStr">
        <is>
          <t>VÄRMLANDS LÄN</t>
        </is>
      </c>
      <c r="E10153" t="inlineStr">
        <is>
          <t>FILIPSTAD</t>
        </is>
      </c>
      <c r="F10153" t="inlineStr">
        <is>
          <t>Bergvik skog väst AB</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25429-2023</t>
        </is>
      </c>
      <c r="B10154" s="1" t="n">
        <v>45089</v>
      </c>
      <c r="C10154" s="1" t="n">
        <v>45736</v>
      </c>
      <c r="D10154" t="inlineStr">
        <is>
          <t>VÄRMLANDS LÄN</t>
        </is>
      </c>
      <c r="E10154" t="inlineStr">
        <is>
          <t>SUNNE</t>
        </is>
      </c>
      <c r="G10154" t="n">
        <v>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25384-2023</t>
        </is>
      </c>
      <c r="B10155" s="1" t="n">
        <v>45089</v>
      </c>
      <c r="C10155" s="1" t="n">
        <v>45736</v>
      </c>
      <c r="D10155" t="inlineStr">
        <is>
          <t>VÄRMLANDS LÄN</t>
        </is>
      </c>
      <c r="E10155" t="inlineStr">
        <is>
          <t>STORFORS</t>
        </is>
      </c>
      <c r="F10155" t="inlineStr">
        <is>
          <t>Bergvik skog väst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25389-2023</t>
        </is>
      </c>
      <c r="B10156" s="1" t="n">
        <v>45089</v>
      </c>
      <c r="C10156" s="1" t="n">
        <v>45736</v>
      </c>
      <c r="D10156" t="inlineStr">
        <is>
          <t>VÄRMLANDS LÄN</t>
        </is>
      </c>
      <c r="E10156" t="inlineStr">
        <is>
          <t>SUNNE</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25400-2023</t>
        </is>
      </c>
      <c r="B10157" s="1" t="n">
        <v>45089</v>
      </c>
      <c r="C10157" s="1" t="n">
        <v>45736</v>
      </c>
      <c r="D10157" t="inlineStr">
        <is>
          <t>VÄRMLANDS LÄN</t>
        </is>
      </c>
      <c r="E10157" t="inlineStr">
        <is>
          <t>ARVIKA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25405-2023</t>
        </is>
      </c>
      <c r="B10158" s="1" t="n">
        <v>45089</v>
      </c>
      <c r="C10158" s="1" t="n">
        <v>45736</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25444-2023</t>
        </is>
      </c>
      <c r="B10159" s="1" t="n">
        <v>45089</v>
      </c>
      <c r="C10159" s="1" t="n">
        <v>45736</v>
      </c>
      <c r="D10159" t="inlineStr">
        <is>
          <t>VÄRMLANDS LÄN</t>
        </is>
      </c>
      <c r="E10159" t="inlineStr">
        <is>
          <t>EDA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25491-2023</t>
        </is>
      </c>
      <c r="B10160" s="1" t="n">
        <v>45089</v>
      </c>
      <c r="C10160" s="1" t="n">
        <v>45736</v>
      </c>
      <c r="D10160" t="inlineStr">
        <is>
          <t>VÄRMLANDS LÄN</t>
        </is>
      </c>
      <c r="E10160" t="inlineStr">
        <is>
          <t>ARVIKA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25406-2023</t>
        </is>
      </c>
      <c r="B10161" s="1" t="n">
        <v>45089</v>
      </c>
      <c r="C10161" s="1" t="n">
        <v>45736</v>
      </c>
      <c r="D10161" t="inlineStr">
        <is>
          <t>VÄRMLANDS LÄN</t>
        </is>
      </c>
      <c r="E10161" t="inlineStr">
        <is>
          <t>FILIPSTAD</t>
        </is>
      </c>
      <c r="F10161" t="inlineStr">
        <is>
          <t>Bergvik skog väst AB</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25383-2023</t>
        </is>
      </c>
      <c r="B10162" s="1" t="n">
        <v>45089</v>
      </c>
      <c r="C10162" s="1" t="n">
        <v>45736</v>
      </c>
      <c r="D10162" t="inlineStr">
        <is>
          <t>VÄRMLANDS LÄN</t>
        </is>
      </c>
      <c r="E10162" t="inlineStr">
        <is>
          <t>SUNNE</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25428-2023</t>
        </is>
      </c>
      <c r="B10163" s="1" t="n">
        <v>45089</v>
      </c>
      <c r="C10163" s="1" t="n">
        <v>45736</v>
      </c>
      <c r="D10163" t="inlineStr">
        <is>
          <t>VÄRMLANDS LÄN</t>
        </is>
      </c>
      <c r="E10163" t="inlineStr">
        <is>
          <t>ARVIKA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25437-2023</t>
        </is>
      </c>
      <c r="B10164" s="1" t="n">
        <v>45089</v>
      </c>
      <c r="C10164" s="1" t="n">
        <v>45736</v>
      </c>
      <c r="D10164" t="inlineStr">
        <is>
          <t>VÄRMLANDS LÄN</t>
        </is>
      </c>
      <c r="E10164" t="inlineStr">
        <is>
          <t>EDA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25522-2023</t>
        </is>
      </c>
      <c r="B10165" s="1" t="n">
        <v>45089</v>
      </c>
      <c r="C10165" s="1" t="n">
        <v>45736</v>
      </c>
      <c r="D10165" t="inlineStr">
        <is>
          <t>VÄRMLANDS LÄN</t>
        </is>
      </c>
      <c r="E10165" t="inlineStr">
        <is>
          <t>STORFORS</t>
        </is>
      </c>
      <c r="F10165" t="inlineStr">
        <is>
          <t>Bergvik skog väst AB</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25579-2023</t>
        </is>
      </c>
      <c r="B10166" s="1" t="n">
        <v>45089</v>
      </c>
      <c r="C10166" s="1" t="n">
        <v>45736</v>
      </c>
      <c r="D10166" t="inlineStr">
        <is>
          <t>VÄRMLANDS LÄN</t>
        </is>
      </c>
      <c r="E10166" t="inlineStr">
        <is>
          <t>TORSBY</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25586-2023</t>
        </is>
      </c>
      <c r="B10167" s="1" t="n">
        <v>45089</v>
      </c>
      <c r="C10167" s="1" t="n">
        <v>45736</v>
      </c>
      <c r="D10167" t="inlineStr">
        <is>
          <t>VÄRMLANDS LÄN</t>
        </is>
      </c>
      <c r="E10167" t="inlineStr">
        <is>
          <t>FILIPSTAD</t>
        </is>
      </c>
      <c r="F10167" t="inlineStr">
        <is>
          <t>Bergvik skog väst AB</t>
        </is>
      </c>
      <c r="G10167" t="n">
        <v>10.8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25443-2023</t>
        </is>
      </c>
      <c r="B10168" s="1" t="n">
        <v>45089</v>
      </c>
      <c r="C10168" s="1" t="n">
        <v>45736</v>
      </c>
      <c r="D10168" t="inlineStr">
        <is>
          <t>VÄRMLANDS LÄN</t>
        </is>
      </c>
      <c r="E10168" t="inlineStr">
        <is>
          <t>GRUMS</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25482-2023</t>
        </is>
      </c>
      <c r="B10169" s="1" t="n">
        <v>45089</v>
      </c>
      <c r="C10169" s="1" t="n">
        <v>45736</v>
      </c>
      <c r="D10169" t="inlineStr">
        <is>
          <t>VÄRMLANDS LÄN</t>
        </is>
      </c>
      <c r="E10169" t="inlineStr">
        <is>
          <t>ARVIKA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25498-2023</t>
        </is>
      </c>
      <c r="B10170" s="1" t="n">
        <v>45089</v>
      </c>
      <c r="C10170" s="1" t="n">
        <v>45736</v>
      </c>
      <c r="D10170" t="inlineStr">
        <is>
          <t>VÄRMLANDS LÄN</t>
        </is>
      </c>
      <c r="E10170" t="inlineStr">
        <is>
          <t>STORFORS</t>
        </is>
      </c>
      <c r="F10170" t="inlineStr">
        <is>
          <t>Bergvik skog väst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25523-2023</t>
        </is>
      </c>
      <c r="B10171" s="1" t="n">
        <v>45089</v>
      </c>
      <c r="C10171" s="1" t="n">
        <v>45736</v>
      </c>
      <c r="D10171" t="inlineStr">
        <is>
          <t>VÄRMLANDS LÄN</t>
        </is>
      </c>
      <c r="E10171" t="inlineStr">
        <is>
          <t>SUNNE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25657-2023</t>
        </is>
      </c>
      <c r="B10172" s="1" t="n">
        <v>45089</v>
      </c>
      <c r="C10172" s="1" t="n">
        <v>45736</v>
      </c>
      <c r="D10172" t="inlineStr">
        <is>
          <t>VÄRMLANDS LÄN</t>
        </is>
      </c>
      <c r="E10172" t="inlineStr">
        <is>
          <t>SÄFFLE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25644-2023</t>
        </is>
      </c>
      <c r="B10173" s="1" t="n">
        <v>45089</v>
      </c>
      <c r="C10173" s="1" t="n">
        <v>45736</v>
      </c>
      <c r="D10173" t="inlineStr">
        <is>
          <t>VÄRMLANDS LÄN</t>
        </is>
      </c>
      <c r="E10173" t="inlineStr">
        <is>
          <t>SUNNE</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25659-2023</t>
        </is>
      </c>
      <c r="B10174" s="1" t="n">
        <v>45089</v>
      </c>
      <c r="C10174" s="1" t="n">
        <v>45736</v>
      </c>
      <c r="D10174" t="inlineStr">
        <is>
          <t>VÄRMLANDS LÄN</t>
        </is>
      </c>
      <c r="E10174" t="inlineStr">
        <is>
          <t>SÄFFLE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26466-2023</t>
        </is>
      </c>
      <c r="B10175" s="1" t="n">
        <v>45089</v>
      </c>
      <c r="C10175" s="1" t="n">
        <v>45736</v>
      </c>
      <c r="D10175" t="inlineStr">
        <is>
          <t>VÄRMLANDS LÄN</t>
        </is>
      </c>
      <c r="E10175" t="inlineStr">
        <is>
          <t>TORSBY</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25730-2023</t>
        </is>
      </c>
      <c r="B10176" s="1" t="n">
        <v>45090</v>
      </c>
      <c r="C10176" s="1" t="n">
        <v>45736</v>
      </c>
      <c r="D10176" t="inlineStr">
        <is>
          <t>VÄRMLANDS LÄN</t>
        </is>
      </c>
      <c r="E10176" t="inlineStr">
        <is>
          <t>HAGFORS</t>
        </is>
      </c>
      <c r="F10176" t="inlineStr">
        <is>
          <t>Bergvik skog väst AB</t>
        </is>
      </c>
      <c r="G10176" t="n">
        <v>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25759-2023</t>
        </is>
      </c>
      <c r="B10177" s="1" t="n">
        <v>45090</v>
      </c>
      <c r="C10177" s="1" t="n">
        <v>45736</v>
      </c>
      <c r="D10177" t="inlineStr">
        <is>
          <t>VÄRMLANDS LÄN</t>
        </is>
      </c>
      <c r="E10177" t="inlineStr">
        <is>
          <t>HAGFORS</t>
        </is>
      </c>
      <c r="F10177" t="inlineStr">
        <is>
          <t>Bergvik skog väst AB</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25800-2023</t>
        </is>
      </c>
      <c r="B10178" s="1" t="n">
        <v>45090</v>
      </c>
      <c r="C10178" s="1" t="n">
        <v>45736</v>
      </c>
      <c r="D10178" t="inlineStr">
        <is>
          <t>VÄRMLANDS LÄN</t>
        </is>
      </c>
      <c r="E10178" t="inlineStr">
        <is>
          <t>EDA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25808-2023</t>
        </is>
      </c>
      <c r="B10179" s="1" t="n">
        <v>45090</v>
      </c>
      <c r="C10179" s="1" t="n">
        <v>45736</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25852-2023</t>
        </is>
      </c>
      <c r="B10180" s="1" t="n">
        <v>45090</v>
      </c>
      <c r="C10180" s="1" t="n">
        <v>45736</v>
      </c>
      <c r="D10180" t="inlineStr">
        <is>
          <t>VÄRMLANDS LÄN</t>
        </is>
      </c>
      <c r="E10180" t="inlineStr">
        <is>
          <t>STORFORS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25954-2023</t>
        </is>
      </c>
      <c r="B10181" s="1" t="n">
        <v>45090</v>
      </c>
      <c r="C10181" s="1" t="n">
        <v>45736</v>
      </c>
      <c r="D10181" t="inlineStr">
        <is>
          <t>VÄRMLANDS LÄN</t>
        </is>
      </c>
      <c r="E10181" t="inlineStr">
        <is>
          <t>ARVIKA</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25756-2023</t>
        </is>
      </c>
      <c r="B10182" s="1" t="n">
        <v>45090</v>
      </c>
      <c r="C10182" s="1" t="n">
        <v>45736</v>
      </c>
      <c r="D10182" t="inlineStr">
        <is>
          <t>VÄRMLANDS LÄN</t>
        </is>
      </c>
      <c r="E10182" t="inlineStr">
        <is>
          <t>SUNNE</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25738-2023</t>
        </is>
      </c>
      <c r="B10183" s="1" t="n">
        <v>45090</v>
      </c>
      <c r="C10183" s="1" t="n">
        <v>45736</v>
      </c>
      <c r="D10183" t="inlineStr">
        <is>
          <t>VÄRMLANDS LÄN</t>
        </is>
      </c>
      <c r="E10183" t="inlineStr">
        <is>
          <t>FILIPSTAD</t>
        </is>
      </c>
      <c r="F10183" t="inlineStr">
        <is>
          <t>Bergvik skog väst AB</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25809-2023</t>
        </is>
      </c>
      <c r="B10184" s="1" t="n">
        <v>45090</v>
      </c>
      <c r="C10184" s="1" t="n">
        <v>45736</v>
      </c>
      <c r="D10184" t="inlineStr">
        <is>
          <t>VÄRMLANDS LÄN</t>
        </is>
      </c>
      <c r="E10184" t="inlineStr">
        <is>
          <t>EDA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25813-2023</t>
        </is>
      </c>
      <c r="B10185" s="1" t="n">
        <v>45090</v>
      </c>
      <c r="C10185" s="1" t="n">
        <v>45736</v>
      </c>
      <c r="D10185" t="inlineStr">
        <is>
          <t>VÄRMLANDS LÄN</t>
        </is>
      </c>
      <c r="E10185" t="inlineStr">
        <is>
          <t>EDA</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25803-2023</t>
        </is>
      </c>
      <c r="B10186" s="1" t="n">
        <v>45090</v>
      </c>
      <c r="C10186" s="1" t="n">
        <v>45736</v>
      </c>
      <c r="D10186" t="inlineStr">
        <is>
          <t>VÄRMLANDS LÄN</t>
        </is>
      </c>
      <c r="E10186" t="inlineStr">
        <is>
          <t>EDA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25807-2023</t>
        </is>
      </c>
      <c r="B10187" s="1" t="n">
        <v>45090</v>
      </c>
      <c r="C10187" s="1" t="n">
        <v>45736</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25931-2023</t>
        </is>
      </c>
      <c r="B10188" s="1" t="n">
        <v>45090</v>
      </c>
      <c r="C10188" s="1" t="n">
        <v>45736</v>
      </c>
      <c r="D10188" t="inlineStr">
        <is>
          <t>VÄRMLANDS LÄN</t>
        </is>
      </c>
      <c r="E10188" t="inlineStr">
        <is>
          <t>ARVIKA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25737-2023</t>
        </is>
      </c>
      <c r="B10189" s="1" t="n">
        <v>45090</v>
      </c>
      <c r="C10189" s="1" t="n">
        <v>45736</v>
      </c>
      <c r="D10189" t="inlineStr">
        <is>
          <t>VÄRMLANDS LÄN</t>
        </is>
      </c>
      <c r="E10189" t="inlineStr">
        <is>
          <t>FILIPSTAD</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25829-2023</t>
        </is>
      </c>
      <c r="B10190" s="1" t="n">
        <v>45090</v>
      </c>
      <c r="C10190" s="1" t="n">
        <v>45736</v>
      </c>
      <c r="D10190" t="inlineStr">
        <is>
          <t>VÄRMLANDS LÄN</t>
        </is>
      </c>
      <c r="E10190" t="inlineStr">
        <is>
          <t>SUNNE</t>
        </is>
      </c>
      <c r="F10190" t="inlineStr">
        <is>
          <t>Övriga Aktiebolag</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25932-2023</t>
        </is>
      </c>
      <c r="B10191" s="1" t="n">
        <v>45090</v>
      </c>
      <c r="C10191" s="1" t="n">
        <v>45736</v>
      </c>
      <c r="D10191" t="inlineStr">
        <is>
          <t>VÄRMLANDS LÄN</t>
        </is>
      </c>
      <c r="E10191" t="inlineStr">
        <is>
          <t>KARLSTAD</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25938-2023</t>
        </is>
      </c>
      <c r="B10192" s="1" t="n">
        <v>45090</v>
      </c>
      <c r="C10192" s="1" t="n">
        <v>45736</v>
      </c>
      <c r="D10192" t="inlineStr">
        <is>
          <t>VÄRMLANDS LÄN</t>
        </is>
      </c>
      <c r="E10192" t="inlineStr">
        <is>
          <t>ARVIKA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26804-2023</t>
        </is>
      </c>
      <c r="B10193" s="1" t="n">
        <v>45090</v>
      </c>
      <c r="C10193" s="1" t="n">
        <v>45736</v>
      </c>
      <c r="D10193" t="inlineStr">
        <is>
          <t>VÄRMLANDS LÄN</t>
        </is>
      </c>
      <c r="E10193" t="inlineStr">
        <is>
          <t>FILIPSTAD</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26818-2023</t>
        </is>
      </c>
      <c r="B10194" s="1" t="n">
        <v>45090</v>
      </c>
      <c r="C10194" s="1" t="n">
        <v>45736</v>
      </c>
      <c r="D10194" t="inlineStr">
        <is>
          <t>VÄRMLANDS LÄN</t>
        </is>
      </c>
      <c r="E10194" t="inlineStr">
        <is>
          <t>EDA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26831-2023</t>
        </is>
      </c>
      <c r="B10195" s="1" t="n">
        <v>45090</v>
      </c>
      <c r="C10195" s="1" t="n">
        <v>45736</v>
      </c>
      <c r="D10195" t="inlineStr">
        <is>
          <t>VÄRMLANDS LÄN</t>
        </is>
      </c>
      <c r="E10195" t="inlineStr">
        <is>
          <t>EDA</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26824-2023</t>
        </is>
      </c>
      <c r="B10196" s="1" t="n">
        <v>45090</v>
      </c>
      <c r="C10196" s="1" t="n">
        <v>45736</v>
      </c>
      <c r="D10196" t="inlineStr">
        <is>
          <t>VÄRMLANDS LÄN</t>
        </is>
      </c>
      <c r="E10196" t="inlineStr">
        <is>
          <t>EDA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26233-2023</t>
        </is>
      </c>
      <c r="B10197" s="1" t="n">
        <v>45091</v>
      </c>
      <c r="C10197" s="1" t="n">
        <v>45736</v>
      </c>
      <c r="D10197" t="inlineStr">
        <is>
          <t>VÄRMLANDS LÄN</t>
        </is>
      </c>
      <c r="E10197" t="inlineStr">
        <is>
          <t>ARVIKA</t>
        </is>
      </c>
      <c r="F10197" t="inlineStr">
        <is>
          <t>Bergvik skog väst AB</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26239-2023</t>
        </is>
      </c>
      <c r="B10198" s="1" t="n">
        <v>45091</v>
      </c>
      <c r="C10198" s="1" t="n">
        <v>45736</v>
      </c>
      <c r="D10198" t="inlineStr">
        <is>
          <t>VÄRMLANDS LÄN</t>
        </is>
      </c>
      <c r="E10198" t="inlineStr">
        <is>
          <t>HAGFORS</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26263-2023</t>
        </is>
      </c>
      <c r="B10199" s="1" t="n">
        <v>45091</v>
      </c>
      <c r="C10199" s="1" t="n">
        <v>45736</v>
      </c>
      <c r="D10199" t="inlineStr">
        <is>
          <t>VÄRMLANDS LÄN</t>
        </is>
      </c>
      <c r="E10199" t="inlineStr">
        <is>
          <t>KIL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26289-2023</t>
        </is>
      </c>
      <c r="B10200" s="1" t="n">
        <v>45091</v>
      </c>
      <c r="C10200" s="1" t="n">
        <v>45736</v>
      </c>
      <c r="D10200" t="inlineStr">
        <is>
          <t>VÄRMLANDS LÄN</t>
        </is>
      </c>
      <c r="E10200" t="inlineStr">
        <is>
          <t>SUNNE</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26309-2023</t>
        </is>
      </c>
      <c r="B10201" s="1" t="n">
        <v>45091</v>
      </c>
      <c r="C10201" s="1" t="n">
        <v>45736</v>
      </c>
      <c r="D10201" t="inlineStr">
        <is>
          <t>VÄRMLANDS LÄN</t>
        </is>
      </c>
      <c r="E10201" t="inlineStr">
        <is>
          <t>SUNNE</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26321-2023</t>
        </is>
      </c>
      <c r="B10202" s="1" t="n">
        <v>45091</v>
      </c>
      <c r="C10202" s="1" t="n">
        <v>45736</v>
      </c>
      <c r="D10202" t="inlineStr">
        <is>
          <t>VÄRMLANDS LÄN</t>
        </is>
      </c>
      <c r="E10202" t="inlineStr">
        <is>
          <t>ARVIKA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26326-2023</t>
        </is>
      </c>
      <c r="B10203" s="1" t="n">
        <v>45091</v>
      </c>
      <c r="C10203" s="1" t="n">
        <v>45736</v>
      </c>
      <c r="D10203" t="inlineStr">
        <is>
          <t>VÄRMLANDS LÄN</t>
        </is>
      </c>
      <c r="E10203" t="inlineStr">
        <is>
          <t>EDA</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26340-2023</t>
        </is>
      </c>
      <c r="B10204" s="1" t="n">
        <v>45091</v>
      </c>
      <c r="C10204" s="1" t="n">
        <v>45736</v>
      </c>
      <c r="D10204" t="inlineStr">
        <is>
          <t>VÄRMLANDS LÄN</t>
        </is>
      </c>
      <c r="E10204" t="inlineStr">
        <is>
          <t>TORSBY</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26048-2023</t>
        </is>
      </c>
      <c r="B10205" s="1" t="n">
        <v>45091</v>
      </c>
      <c r="C10205" s="1" t="n">
        <v>45736</v>
      </c>
      <c r="D10205" t="inlineStr">
        <is>
          <t>VÄRMLANDS LÄN</t>
        </is>
      </c>
      <c r="E10205" t="inlineStr">
        <is>
          <t>EDA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26222-2023</t>
        </is>
      </c>
      <c r="B10206" s="1" t="n">
        <v>45091</v>
      </c>
      <c r="C10206" s="1" t="n">
        <v>45736</v>
      </c>
      <c r="D10206" t="inlineStr">
        <is>
          <t>VÄRMLANDS LÄN</t>
        </is>
      </c>
      <c r="E10206" t="inlineStr">
        <is>
          <t>KARLSTAD</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26269-2023</t>
        </is>
      </c>
      <c r="B10207" s="1" t="n">
        <v>45091</v>
      </c>
      <c r="C10207" s="1" t="n">
        <v>45736</v>
      </c>
      <c r="D10207" t="inlineStr">
        <is>
          <t>VÄRMLANDS LÄN</t>
        </is>
      </c>
      <c r="E10207" t="inlineStr">
        <is>
          <t>KIL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26324-2023</t>
        </is>
      </c>
      <c r="B10208" s="1" t="n">
        <v>45091</v>
      </c>
      <c r="C10208" s="1" t="n">
        <v>45736</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26280-2023</t>
        </is>
      </c>
      <c r="B10209" s="1" t="n">
        <v>45091</v>
      </c>
      <c r="C10209" s="1" t="n">
        <v>45736</v>
      </c>
      <c r="D10209" t="inlineStr">
        <is>
          <t>VÄRMLANDS LÄN</t>
        </is>
      </c>
      <c r="E10209" t="inlineStr">
        <is>
          <t>FILIPSTAD</t>
        </is>
      </c>
      <c r="F10209" t="inlineStr">
        <is>
          <t>Bergvik skog väst AB</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26302-2023</t>
        </is>
      </c>
      <c r="B10210" s="1" t="n">
        <v>45091</v>
      </c>
      <c r="C10210" s="1" t="n">
        <v>45736</v>
      </c>
      <c r="D10210" t="inlineStr">
        <is>
          <t>VÄRMLANDS LÄN</t>
        </is>
      </c>
      <c r="E10210" t="inlineStr">
        <is>
          <t>SUNNE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26343-2023</t>
        </is>
      </c>
      <c r="B10211" s="1" t="n">
        <v>45091</v>
      </c>
      <c r="C10211" s="1" t="n">
        <v>45736</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26174-2023</t>
        </is>
      </c>
      <c r="B10212" s="1" t="n">
        <v>45091</v>
      </c>
      <c r="C10212" s="1" t="n">
        <v>45736</v>
      </c>
      <c r="D10212" t="inlineStr">
        <is>
          <t>VÄRMLANDS LÄN</t>
        </is>
      </c>
      <c r="E10212" t="inlineStr">
        <is>
          <t>EDA</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26037-2023</t>
        </is>
      </c>
      <c r="B10213" s="1" t="n">
        <v>45091</v>
      </c>
      <c r="C10213" s="1" t="n">
        <v>45736</v>
      </c>
      <c r="D10213" t="inlineStr">
        <is>
          <t>VÄRMLANDS LÄN</t>
        </is>
      </c>
      <c r="E10213" t="inlineStr">
        <is>
          <t>FORSHAGA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26042-2023</t>
        </is>
      </c>
      <c r="B10214" s="1" t="n">
        <v>45091</v>
      </c>
      <c r="C10214" s="1" t="n">
        <v>45736</v>
      </c>
      <c r="D10214" t="inlineStr">
        <is>
          <t>VÄRMLANDS LÄN</t>
        </is>
      </c>
      <c r="E10214" t="inlineStr">
        <is>
          <t>EDA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26059-2023</t>
        </is>
      </c>
      <c r="B10215" s="1" t="n">
        <v>45091</v>
      </c>
      <c r="C10215" s="1" t="n">
        <v>45736</v>
      </c>
      <c r="D10215" t="inlineStr">
        <is>
          <t>VÄRMLANDS LÄN</t>
        </is>
      </c>
      <c r="E10215" t="inlineStr">
        <is>
          <t>KARLSTAD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26327-2023</t>
        </is>
      </c>
      <c r="B10216" s="1" t="n">
        <v>45091</v>
      </c>
      <c r="C10216" s="1" t="n">
        <v>45736</v>
      </c>
      <c r="D10216" t="inlineStr">
        <is>
          <t>VÄRMLANDS LÄN</t>
        </is>
      </c>
      <c r="E10216" t="inlineStr">
        <is>
          <t>TORSBY</t>
        </is>
      </c>
      <c r="F10216" t="inlineStr">
        <is>
          <t>Bergvik skog väst AB</t>
        </is>
      </c>
      <c r="G10216" t="n">
        <v>33.4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26167-2023</t>
        </is>
      </c>
      <c r="B10217" s="1" t="n">
        <v>45091</v>
      </c>
      <c r="C10217" s="1" t="n">
        <v>45736</v>
      </c>
      <c r="D10217" t="inlineStr">
        <is>
          <t>VÄRMLANDS LÄN</t>
        </is>
      </c>
      <c r="E10217" t="inlineStr">
        <is>
          <t>EDA</t>
        </is>
      </c>
      <c r="G10217" t="n">
        <v>6.1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26045-2023</t>
        </is>
      </c>
      <c r="B10218" s="1" t="n">
        <v>45091</v>
      </c>
      <c r="C10218" s="1" t="n">
        <v>45736</v>
      </c>
      <c r="D10218" t="inlineStr">
        <is>
          <t>VÄRMLANDS LÄN</t>
        </is>
      </c>
      <c r="E10218" t="inlineStr">
        <is>
          <t>EDA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26080-2023</t>
        </is>
      </c>
      <c r="B10219" s="1" t="n">
        <v>45091</v>
      </c>
      <c r="C10219" s="1" t="n">
        <v>45736</v>
      </c>
      <c r="D10219" t="inlineStr">
        <is>
          <t>VÄRMLANDS LÄN</t>
        </is>
      </c>
      <c r="E10219" t="inlineStr">
        <is>
          <t>TORSBY</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26103-2023</t>
        </is>
      </c>
      <c r="B10220" s="1" t="n">
        <v>45091</v>
      </c>
      <c r="C10220" s="1" t="n">
        <v>45736</v>
      </c>
      <c r="D10220" t="inlineStr">
        <is>
          <t>VÄRMLANDS LÄN</t>
        </is>
      </c>
      <c r="E10220" t="inlineStr">
        <is>
          <t>FORSHAGA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26111-2023</t>
        </is>
      </c>
      <c r="B10221" s="1" t="n">
        <v>45091</v>
      </c>
      <c r="C10221" s="1" t="n">
        <v>45736</v>
      </c>
      <c r="D10221" t="inlineStr">
        <is>
          <t>VÄRMLANDS LÄN</t>
        </is>
      </c>
      <c r="E10221" t="inlineStr">
        <is>
          <t>MUNKFORS</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26092-2023</t>
        </is>
      </c>
      <c r="B10222" s="1" t="n">
        <v>45091</v>
      </c>
      <c r="C10222" s="1" t="n">
        <v>45736</v>
      </c>
      <c r="D10222" t="inlineStr">
        <is>
          <t>VÄRMLANDS LÄN</t>
        </is>
      </c>
      <c r="E10222" t="inlineStr">
        <is>
          <t>TORSBY</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26979-2023</t>
        </is>
      </c>
      <c r="B10223" s="1" t="n">
        <v>45091</v>
      </c>
      <c r="C10223" s="1" t="n">
        <v>45736</v>
      </c>
      <c r="D10223" t="inlineStr">
        <is>
          <t>VÄRMLANDS LÄN</t>
        </is>
      </c>
      <c r="E10223" t="inlineStr">
        <is>
          <t>TORSBY</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26106-2023</t>
        </is>
      </c>
      <c r="B10224" s="1" t="n">
        <v>45091</v>
      </c>
      <c r="C10224" s="1" t="n">
        <v>45736</v>
      </c>
      <c r="D10224" t="inlineStr">
        <is>
          <t>VÄRMLANDS LÄN</t>
        </is>
      </c>
      <c r="E10224" t="inlineStr">
        <is>
          <t>FORSHAGA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26376-2023</t>
        </is>
      </c>
      <c r="B10225" s="1" t="n">
        <v>45092</v>
      </c>
      <c r="C10225" s="1" t="n">
        <v>45736</v>
      </c>
      <c r="D10225" t="inlineStr">
        <is>
          <t>VÄRMLANDS LÄN</t>
        </is>
      </c>
      <c r="E10225" t="inlineStr">
        <is>
          <t>TORSBY</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26112-2023</t>
        </is>
      </c>
      <c r="B10226" s="1" t="n">
        <v>45091</v>
      </c>
      <c r="C10226" s="1" t="n">
        <v>45736</v>
      </c>
      <c r="D10226" t="inlineStr">
        <is>
          <t>VÄRMLANDS LÄN</t>
        </is>
      </c>
      <c r="E10226" t="inlineStr">
        <is>
          <t>KARLSTAD</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26144-2023</t>
        </is>
      </c>
      <c r="B10227" s="1" t="n">
        <v>45091</v>
      </c>
      <c r="C10227" s="1" t="n">
        <v>45736</v>
      </c>
      <c r="D10227" t="inlineStr">
        <is>
          <t>VÄRMLANDS LÄN</t>
        </is>
      </c>
      <c r="E10227" t="inlineStr">
        <is>
          <t>KARLSTAD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26501-2023</t>
        </is>
      </c>
      <c r="B10228" s="1" t="n">
        <v>45092</v>
      </c>
      <c r="C10228" s="1" t="n">
        <v>45736</v>
      </c>
      <c r="D10228" t="inlineStr">
        <is>
          <t>VÄRMLANDS LÄN</t>
        </is>
      </c>
      <c r="E10228" t="inlineStr">
        <is>
          <t>EDA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26387-2023</t>
        </is>
      </c>
      <c r="B10229" s="1" t="n">
        <v>45092</v>
      </c>
      <c r="C10229" s="1" t="n">
        <v>45736</v>
      </c>
      <c r="D10229" t="inlineStr">
        <is>
          <t>VÄRMLANDS LÄN</t>
        </is>
      </c>
      <c r="E10229" t="inlineStr">
        <is>
          <t>SÄFFLE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26543-2023</t>
        </is>
      </c>
      <c r="B10230" s="1" t="n">
        <v>45092</v>
      </c>
      <c r="C10230" s="1" t="n">
        <v>45736</v>
      </c>
      <c r="D10230" t="inlineStr">
        <is>
          <t>VÄRMLANDS LÄN</t>
        </is>
      </c>
      <c r="E10230" t="inlineStr">
        <is>
          <t>KRISTINEHAMN</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26495-2023</t>
        </is>
      </c>
      <c r="B10231" s="1" t="n">
        <v>45092</v>
      </c>
      <c r="C10231" s="1" t="n">
        <v>45736</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26504-2023</t>
        </is>
      </c>
      <c r="B10232" s="1" t="n">
        <v>45092</v>
      </c>
      <c r="C10232" s="1" t="n">
        <v>45736</v>
      </c>
      <c r="D10232" t="inlineStr">
        <is>
          <t>VÄRMLANDS LÄN</t>
        </is>
      </c>
      <c r="E10232" t="inlineStr">
        <is>
          <t>EDA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26516-2023</t>
        </is>
      </c>
      <c r="B10233" s="1" t="n">
        <v>45092</v>
      </c>
      <c r="C10233" s="1" t="n">
        <v>45736</v>
      </c>
      <c r="D10233" t="inlineStr">
        <is>
          <t>VÄRMLANDS LÄN</t>
        </is>
      </c>
      <c r="E10233" t="inlineStr">
        <is>
          <t>ARVIKA</t>
        </is>
      </c>
      <c r="F10233" t="inlineStr">
        <is>
          <t>Bergvik skog väst AB</t>
        </is>
      </c>
      <c r="G10233" t="n">
        <v>20.2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26424-2023</t>
        </is>
      </c>
      <c r="B10234" s="1" t="n">
        <v>45092</v>
      </c>
      <c r="C10234" s="1" t="n">
        <v>45736</v>
      </c>
      <c r="D10234" t="inlineStr">
        <is>
          <t>VÄRMLANDS LÄN</t>
        </is>
      </c>
      <c r="E10234" t="inlineStr">
        <is>
          <t>ARVIKA</t>
        </is>
      </c>
      <c r="F10234" t="inlineStr">
        <is>
          <t>Bergvik skog väst AB</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26464-2023</t>
        </is>
      </c>
      <c r="B10235" s="1" t="n">
        <v>45092</v>
      </c>
      <c r="C10235" s="1" t="n">
        <v>45736</v>
      </c>
      <c r="D10235" t="inlineStr">
        <is>
          <t>VÄRMLANDS LÄN</t>
        </is>
      </c>
      <c r="E10235" t="inlineStr">
        <is>
          <t>EDA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26515-2023</t>
        </is>
      </c>
      <c r="B10236" s="1" t="n">
        <v>45092</v>
      </c>
      <c r="C10236" s="1" t="n">
        <v>45736</v>
      </c>
      <c r="D10236" t="inlineStr">
        <is>
          <t>VÄRMLANDS LÄN</t>
        </is>
      </c>
      <c r="E10236" t="inlineStr">
        <is>
          <t>KARLSTAD</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26520-2023</t>
        </is>
      </c>
      <c r="B10237" s="1" t="n">
        <v>45092</v>
      </c>
      <c r="C10237" s="1" t="n">
        <v>45736</v>
      </c>
      <c r="D10237" t="inlineStr">
        <is>
          <t>VÄRMLANDS LÄN</t>
        </is>
      </c>
      <c r="E10237" t="inlineStr">
        <is>
          <t>SUNNE</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26497-2023</t>
        </is>
      </c>
      <c r="B10238" s="1" t="n">
        <v>45092</v>
      </c>
      <c r="C10238" s="1" t="n">
        <v>45736</v>
      </c>
      <c r="D10238" t="inlineStr">
        <is>
          <t>VÄRMLANDS LÄN</t>
        </is>
      </c>
      <c r="E10238" t="inlineStr">
        <is>
          <t>SÄFFLE</t>
        </is>
      </c>
      <c r="G10238" t="n">
        <v>36.3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26533-2023</t>
        </is>
      </c>
      <c r="B10239" s="1" t="n">
        <v>45092</v>
      </c>
      <c r="C10239" s="1" t="n">
        <v>45736</v>
      </c>
      <c r="D10239" t="inlineStr">
        <is>
          <t>VÄRMLANDS LÄN</t>
        </is>
      </c>
      <c r="E10239" t="inlineStr">
        <is>
          <t>KRISTINEHAMN</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26540-2023</t>
        </is>
      </c>
      <c r="B10240" s="1" t="n">
        <v>45092</v>
      </c>
      <c r="C10240" s="1" t="n">
        <v>45736</v>
      </c>
      <c r="D10240" t="inlineStr">
        <is>
          <t>VÄRMLANDS LÄN</t>
        </is>
      </c>
      <c r="E10240" t="inlineStr">
        <is>
          <t>KARLSTAD</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26544-2023</t>
        </is>
      </c>
      <c r="B10241" s="1" t="n">
        <v>45092</v>
      </c>
      <c r="C10241" s="1" t="n">
        <v>45736</v>
      </c>
      <c r="D10241" t="inlineStr">
        <is>
          <t>VÄRMLANDS LÄN</t>
        </is>
      </c>
      <c r="E10241" t="inlineStr">
        <is>
          <t>ARVIKA</t>
        </is>
      </c>
      <c r="F10241" t="inlineStr">
        <is>
          <t>Bergvik skog väst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26617-2023</t>
        </is>
      </c>
      <c r="B10242" s="1" t="n">
        <v>45092</v>
      </c>
      <c r="C10242" s="1" t="n">
        <v>45736</v>
      </c>
      <c r="D10242" t="inlineStr">
        <is>
          <t>VÄRMLANDS LÄN</t>
        </is>
      </c>
      <c r="E10242" t="inlineStr">
        <is>
          <t>KARLSTAD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26603-2023</t>
        </is>
      </c>
      <c r="B10243" s="1" t="n">
        <v>45092</v>
      </c>
      <c r="C10243" s="1" t="n">
        <v>45736</v>
      </c>
      <c r="D10243" t="inlineStr">
        <is>
          <t>VÄRMLANDS LÄN</t>
        </is>
      </c>
      <c r="E10243" t="inlineStr">
        <is>
          <t>SUNNE</t>
        </is>
      </c>
      <c r="F10243" t="inlineStr">
        <is>
          <t>Bergvik skog väst AB</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26608-2023</t>
        </is>
      </c>
      <c r="B10244" s="1" t="n">
        <v>45092</v>
      </c>
      <c r="C10244" s="1" t="n">
        <v>45736</v>
      </c>
      <c r="D10244" t="inlineStr">
        <is>
          <t>VÄRMLANDS LÄN</t>
        </is>
      </c>
      <c r="E10244" t="inlineStr">
        <is>
          <t>SUNNE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26616-2023</t>
        </is>
      </c>
      <c r="B10245" s="1" t="n">
        <v>45092</v>
      </c>
      <c r="C10245" s="1" t="n">
        <v>45736</v>
      </c>
      <c r="D10245" t="inlineStr">
        <is>
          <t>VÄRMLANDS LÄN</t>
        </is>
      </c>
      <c r="E10245" t="inlineStr">
        <is>
          <t>TORSBY</t>
        </is>
      </c>
      <c r="F10245" t="inlineStr">
        <is>
          <t>Bergvik skog väst AB</t>
        </is>
      </c>
      <c r="G10245" t="n">
        <v>30.3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26691-2023</t>
        </is>
      </c>
      <c r="B10246" s="1" t="n">
        <v>45093</v>
      </c>
      <c r="C10246" s="1" t="n">
        <v>45736</v>
      </c>
      <c r="D10246" t="inlineStr">
        <is>
          <t>VÄRMLANDS LÄN</t>
        </is>
      </c>
      <c r="E10246" t="inlineStr">
        <is>
          <t>EDA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26704-2023</t>
        </is>
      </c>
      <c r="B10247" s="1" t="n">
        <v>45093</v>
      </c>
      <c r="C10247" s="1" t="n">
        <v>45736</v>
      </c>
      <c r="D10247" t="inlineStr">
        <is>
          <t>VÄRMLANDS LÄN</t>
        </is>
      </c>
      <c r="E10247" t="inlineStr">
        <is>
          <t>EDA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26718-2023</t>
        </is>
      </c>
      <c r="B10248" s="1" t="n">
        <v>45093</v>
      </c>
      <c r="C10248" s="1" t="n">
        <v>45736</v>
      </c>
      <c r="D10248" t="inlineStr">
        <is>
          <t>VÄRMLANDS LÄN</t>
        </is>
      </c>
      <c r="E10248" t="inlineStr">
        <is>
          <t>ARVIKA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26755-2023</t>
        </is>
      </c>
      <c r="B10249" s="1" t="n">
        <v>45093</v>
      </c>
      <c r="C10249" s="1" t="n">
        <v>45736</v>
      </c>
      <c r="D10249" t="inlineStr">
        <is>
          <t>VÄRMLANDS LÄN</t>
        </is>
      </c>
      <c r="E10249" t="inlineStr">
        <is>
          <t>HAGFORS</t>
        </is>
      </c>
      <c r="F10249" t="inlineStr">
        <is>
          <t>Kyrkan</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26777-2023</t>
        </is>
      </c>
      <c r="B10250" s="1" t="n">
        <v>45093</v>
      </c>
      <c r="C10250" s="1" t="n">
        <v>45736</v>
      </c>
      <c r="D10250" t="inlineStr">
        <is>
          <t>VÄRMLANDS LÄN</t>
        </is>
      </c>
      <c r="E10250" t="inlineStr">
        <is>
          <t>HAGFORS</t>
        </is>
      </c>
      <c r="F10250" t="inlineStr">
        <is>
          <t>Bergvik skog väst AB</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26814-2023</t>
        </is>
      </c>
      <c r="B10251" s="1" t="n">
        <v>45093</v>
      </c>
      <c r="C10251" s="1" t="n">
        <v>45736</v>
      </c>
      <c r="D10251" t="inlineStr">
        <is>
          <t>VÄRMLANDS LÄN</t>
        </is>
      </c>
      <c r="E10251" t="inlineStr">
        <is>
          <t>TORSBY</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26670-2023</t>
        </is>
      </c>
      <c r="B10252" s="1" t="n">
        <v>45093</v>
      </c>
      <c r="C10252" s="1" t="n">
        <v>45736</v>
      </c>
      <c r="D10252" t="inlineStr">
        <is>
          <t>VÄRMLANDS LÄN</t>
        </is>
      </c>
      <c r="E10252" t="inlineStr">
        <is>
          <t>KARLSTAD</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26681-2023</t>
        </is>
      </c>
      <c r="B10253" s="1" t="n">
        <v>45093</v>
      </c>
      <c r="C10253" s="1" t="n">
        <v>45736</v>
      </c>
      <c r="D10253" t="inlineStr">
        <is>
          <t>VÄRMLANDS LÄN</t>
        </is>
      </c>
      <c r="E10253" t="inlineStr">
        <is>
          <t>SUNNE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26689-2023</t>
        </is>
      </c>
      <c r="B10254" s="1" t="n">
        <v>45093</v>
      </c>
      <c r="C10254" s="1" t="n">
        <v>45736</v>
      </c>
      <c r="D10254" t="inlineStr">
        <is>
          <t>VÄRMLANDS LÄN</t>
        </is>
      </c>
      <c r="E10254" t="inlineStr">
        <is>
          <t>ARVIKA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26698-2023</t>
        </is>
      </c>
      <c r="B10255" s="1" t="n">
        <v>45093</v>
      </c>
      <c r="C10255" s="1" t="n">
        <v>45736</v>
      </c>
      <c r="D10255" t="inlineStr">
        <is>
          <t>VÄRMLANDS LÄN</t>
        </is>
      </c>
      <c r="E10255" t="inlineStr">
        <is>
          <t>ARVIKA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26672-2023</t>
        </is>
      </c>
      <c r="B10256" s="1" t="n">
        <v>45093</v>
      </c>
      <c r="C10256" s="1" t="n">
        <v>45736</v>
      </c>
      <c r="D10256" t="inlineStr">
        <is>
          <t>VÄRMLANDS LÄN</t>
        </is>
      </c>
      <c r="E10256" t="inlineStr">
        <is>
          <t>KARLSTAD</t>
        </is>
      </c>
      <c r="G10256" t="n">
        <v>22.7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26697-2023</t>
        </is>
      </c>
      <c r="B10257" s="1" t="n">
        <v>45093</v>
      </c>
      <c r="C10257" s="1" t="n">
        <v>45736</v>
      </c>
      <c r="D10257" t="inlineStr">
        <is>
          <t>VÄRMLANDS LÄN</t>
        </is>
      </c>
      <c r="E10257" t="inlineStr">
        <is>
          <t>EDA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26710-2023</t>
        </is>
      </c>
      <c r="B10258" s="1" t="n">
        <v>45093</v>
      </c>
      <c r="C10258" s="1" t="n">
        <v>45736</v>
      </c>
      <c r="D10258" t="inlineStr">
        <is>
          <t>VÄRMLANDS LÄN</t>
        </is>
      </c>
      <c r="E10258" t="inlineStr">
        <is>
          <t>ARVIKA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26728-2023</t>
        </is>
      </c>
      <c r="B10259" s="1" t="n">
        <v>45093</v>
      </c>
      <c r="C10259" s="1" t="n">
        <v>45736</v>
      </c>
      <c r="D10259" t="inlineStr">
        <is>
          <t>VÄRMLANDS LÄN</t>
        </is>
      </c>
      <c r="E10259" t="inlineStr">
        <is>
          <t>ARVIKA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26744-2023</t>
        </is>
      </c>
      <c r="B10260" s="1" t="n">
        <v>45093</v>
      </c>
      <c r="C10260" s="1" t="n">
        <v>45736</v>
      </c>
      <c r="D10260" t="inlineStr">
        <is>
          <t>VÄRMLANDS LÄN</t>
        </is>
      </c>
      <c r="E10260" t="inlineStr">
        <is>
          <t>HAGFORS</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26760-2023</t>
        </is>
      </c>
      <c r="B10261" s="1" t="n">
        <v>45093</v>
      </c>
      <c r="C10261" s="1" t="n">
        <v>45736</v>
      </c>
      <c r="D10261" t="inlineStr">
        <is>
          <t>VÄRMLANDS LÄN</t>
        </is>
      </c>
      <c r="E10261" t="inlineStr">
        <is>
          <t>HAGFORS</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26815-2023</t>
        </is>
      </c>
      <c r="B10262" s="1" t="n">
        <v>45093</v>
      </c>
      <c r="C10262" s="1" t="n">
        <v>45736</v>
      </c>
      <c r="D10262" t="inlineStr">
        <is>
          <t>VÄRMLANDS LÄN</t>
        </is>
      </c>
      <c r="E10262" t="inlineStr">
        <is>
          <t>GRUMS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26840-2023</t>
        </is>
      </c>
      <c r="B10263" s="1" t="n">
        <v>45093</v>
      </c>
      <c r="C10263" s="1" t="n">
        <v>45736</v>
      </c>
      <c r="D10263" t="inlineStr">
        <is>
          <t>VÄRMLANDS LÄN</t>
        </is>
      </c>
      <c r="E10263" t="inlineStr">
        <is>
          <t>GRUMS</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26870-2023</t>
        </is>
      </c>
      <c r="B10264" s="1" t="n">
        <v>45093</v>
      </c>
      <c r="C10264" s="1" t="n">
        <v>45736</v>
      </c>
      <c r="D10264" t="inlineStr">
        <is>
          <t>VÄRMLANDS LÄN</t>
        </is>
      </c>
      <c r="E10264" t="inlineStr">
        <is>
          <t>HAGFORS</t>
        </is>
      </c>
      <c r="F10264" t="inlineStr">
        <is>
          <t>Bergvik skog väst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26703-2023</t>
        </is>
      </c>
      <c r="B10265" s="1" t="n">
        <v>45093</v>
      </c>
      <c r="C10265" s="1" t="n">
        <v>45736</v>
      </c>
      <c r="D10265" t="inlineStr">
        <is>
          <t>VÄRMLANDS LÄN</t>
        </is>
      </c>
      <c r="E10265" t="inlineStr">
        <is>
          <t>ARVIKA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26722-2023</t>
        </is>
      </c>
      <c r="B10266" s="1" t="n">
        <v>45093</v>
      </c>
      <c r="C10266" s="1" t="n">
        <v>45736</v>
      </c>
      <c r="D10266" t="inlineStr">
        <is>
          <t>VÄRMLANDS LÄN</t>
        </is>
      </c>
      <c r="E10266" t="inlineStr">
        <is>
          <t>ARVIKA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26753-2023</t>
        </is>
      </c>
      <c r="B10267" s="1" t="n">
        <v>45093</v>
      </c>
      <c r="C10267" s="1" t="n">
        <v>45736</v>
      </c>
      <c r="D10267" t="inlineStr">
        <is>
          <t>VÄRMLANDS LÄN</t>
        </is>
      </c>
      <c r="E10267" t="inlineStr">
        <is>
          <t>TORSBY</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26790-2023</t>
        </is>
      </c>
      <c r="B10268" s="1" t="n">
        <v>45093</v>
      </c>
      <c r="C10268" s="1" t="n">
        <v>45736</v>
      </c>
      <c r="D10268" t="inlineStr">
        <is>
          <t>VÄRMLANDS LÄN</t>
        </is>
      </c>
      <c r="E10268" t="inlineStr">
        <is>
          <t>HAGFORS</t>
        </is>
      </c>
      <c r="F10268" t="inlineStr">
        <is>
          <t>Kyrkan</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26829-2023</t>
        </is>
      </c>
      <c r="B10269" s="1" t="n">
        <v>45093</v>
      </c>
      <c r="C10269" s="1" t="n">
        <v>45736</v>
      </c>
      <c r="D10269" t="inlineStr">
        <is>
          <t>VÄRMLANDS LÄN</t>
        </is>
      </c>
      <c r="E10269" t="inlineStr">
        <is>
          <t>GRUMS</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26849-2023</t>
        </is>
      </c>
      <c r="B10270" s="1" t="n">
        <v>45093</v>
      </c>
      <c r="C10270" s="1" t="n">
        <v>45736</v>
      </c>
      <c r="D10270" t="inlineStr">
        <is>
          <t>VÄRMLANDS LÄN</t>
        </is>
      </c>
      <c r="E10270" t="inlineStr">
        <is>
          <t>KIL</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26853-2023</t>
        </is>
      </c>
      <c r="B10271" s="1" t="n">
        <v>45093</v>
      </c>
      <c r="C10271" s="1" t="n">
        <v>45736</v>
      </c>
      <c r="D10271" t="inlineStr">
        <is>
          <t>VÄRMLANDS LÄN</t>
        </is>
      </c>
      <c r="E10271" t="inlineStr">
        <is>
          <t>KIL</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26828-2023</t>
        </is>
      </c>
      <c r="B10272" s="1" t="n">
        <v>45093</v>
      </c>
      <c r="C10272" s="1" t="n">
        <v>45736</v>
      </c>
      <c r="D10272" t="inlineStr">
        <is>
          <t>VÄRMLANDS LÄN</t>
        </is>
      </c>
      <c r="E10272" t="inlineStr">
        <is>
          <t>SUNNE</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26844-2023</t>
        </is>
      </c>
      <c r="B10273" s="1" t="n">
        <v>45093</v>
      </c>
      <c r="C10273" s="1" t="n">
        <v>45736</v>
      </c>
      <c r="D10273" t="inlineStr">
        <is>
          <t>VÄRMLANDS LÄN</t>
        </is>
      </c>
      <c r="E10273" t="inlineStr">
        <is>
          <t>KIL</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26716-2023</t>
        </is>
      </c>
      <c r="B10274" s="1" t="n">
        <v>45093</v>
      </c>
      <c r="C10274" s="1" t="n">
        <v>45736</v>
      </c>
      <c r="D10274" t="inlineStr">
        <is>
          <t>VÄRMLANDS LÄN</t>
        </is>
      </c>
      <c r="E10274" t="inlineStr">
        <is>
          <t>ARVIKA</t>
        </is>
      </c>
      <c r="F10274" t="inlineStr">
        <is>
          <t>Bergvik skog väst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26880-2023</t>
        </is>
      </c>
      <c r="B10275" s="1" t="n">
        <v>45093</v>
      </c>
      <c r="C10275" s="1" t="n">
        <v>45736</v>
      </c>
      <c r="D10275" t="inlineStr">
        <is>
          <t>VÄRMLANDS LÄN</t>
        </is>
      </c>
      <c r="E10275" t="inlineStr">
        <is>
          <t>ÅRJÄNG</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26779-2023</t>
        </is>
      </c>
      <c r="B10276" s="1" t="n">
        <v>45093</v>
      </c>
      <c r="C10276" s="1" t="n">
        <v>45736</v>
      </c>
      <c r="D10276" t="inlineStr">
        <is>
          <t>VÄRMLANDS LÄN</t>
        </is>
      </c>
      <c r="E10276" t="inlineStr">
        <is>
          <t>SÄFFLE</t>
        </is>
      </c>
      <c r="F10276" t="inlineStr">
        <is>
          <t>Bergvik skog väst AB</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26837-2023</t>
        </is>
      </c>
      <c r="B10277" s="1" t="n">
        <v>45093</v>
      </c>
      <c r="C10277" s="1" t="n">
        <v>45736</v>
      </c>
      <c r="D10277" t="inlineStr">
        <is>
          <t>VÄRMLANDS LÄN</t>
        </is>
      </c>
      <c r="E10277" t="inlineStr">
        <is>
          <t>KIL</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26841-2023</t>
        </is>
      </c>
      <c r="B10278" s="1" t="n">
        <v>45093</v>
      </c>
      <c r="C10278" s="1" t="n">
        <v>45736</v>
      </c>
      <c r="D10278" t="inlineStr">
        <is>
          <t>VÄRMLANDS LÄN</t>
        </is>
      </c>
      <c r="E10278" t="inlineStr">
        <is>
          <t>GRUMS</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26855-2023</t>
        </is>
      </c>
      <c r="B10279" s="1" t="n">
        <v>45093</v>
      </c>
      <c r="C10279" s="1" t="n">
        <v>45736</v>
      </c>
      <c r="D10279" t="inlineStr">
        <is>
          <t>VÄRMLANDS LÄN</t>
        </is>
      </c>
      <c r="E10279" t="inlineStr">
        <is>
          <t>TORSBY</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26879-2023</t>
        </is>
      </c>
      <c r="B10280" s="1" t="n">
        <v>45093</v>
      </c>
      <c r="C10280" s="1" t="n">
        <v>45736</v>
      </c>
      <c r="D10280" t="inlineStr">
        <is>
          <t>VÄRMLANDS LÄN</t>
        </is>
      </c>
      <c r="E10280" t="inlineStr">
        <is>
          <t>SUNNE</t>
        </is>
      </c>
      <c r="F10280" t="inlineStr">
        <is>
          <t>Bergvik skog väst AB</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26887-2023</t>
        </is>
      </c>
      <c r="B10281" s="1" t="n">
        <v>45093</v>
      </c>
      <c r="C10281" s="1" t="n">
        <v>45736</v>
      </c>
      <c r="D10281" t="inlineStr">
        <is>
          <t>VÄRMLANDS LÄN</t>
        </is>
      </c>
      <c r="E10281" t="inlineStr">
        <is>
          <t>SÄFFLE</t>
        </is>
      </c>
      <c r="F10281" t="inlineStr">
        <is>
          <t>Bergvik skog väst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26891-2023</t>
        </is>
      </c>
      <c r="B10282" s="1" t="n">
        <v>45093</v>
      </c>
      <c r="C10282" s="1" t="n">
        <v>45736</v>
      </c>
      <c r="D10282" t="inlineStr">
        <is>
          <t>VÄRMLANDS LÄN</t>
        </is>
      </c>
      <c r="E10282" t="inlineStr">
        <is>
          <t>ÅRJÄNG</t>
        </is>
      </c>
      <c r="G10282" t="n">
        <v>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26901-2023</t>
        </is>
      </c>
      <c r="B10283" s="1" t="n">
        <v>45093</v>
      </c>
      <c r="C10283" s="1" t="n">
        <v>45736</v>
      </c>
      <c r="D10283" t="inlineStr">
        <is>
          <t>VÄRMLANDS LÄN</t>
        </is>
      </c>
      <c r="E10283" t="inlineStr">
        <is>
          <t>SUNNE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26941-2023</t>
        </is>
      </c>
      <c r="B10284" s="1" t="n">
        <v>45093</v>
      </c>
      <c r="C10284" s="1" t="n">
        <v>45736</v>
      </c>
      <c r="D10284" t="inlineStr">
        <is>
          <t>VÄRMLANDS LÄN</t>
        </is>
      </c>
      <c r="E10284" t="inlineStr">
        <is>
          <t>SUNNE</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27573-2023</t>
        </is>
      </c>
      <c r="B10285" s="1" t="n">
        <v>45093</v>
      </c>
      <c r="C10285" s="1" t="n">
        <v>45736</v>
      </c>
      <c r="D10285" t="inlineStr">
        <is>
          <t>VÄRMLANDS LÄN</t>
        </is>
      </c>
      <c r="E10285" t="inlineStr">
        <is>
          <t>SUNNE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27727-2023</t>
        </is>
      </c>
      <c r="B10286" s="1" t="n">
        <v>45093</v>
      </c>
      <c r="C10286" s="1" t="n">
        <v>45736</v>
      </c>
      <c r="D10286" t="inlineStr">
        <is>
          <t>VÄRMLANDS LÄN</t>
        </is>
      </c>
      <c r="E10286" t="inlineStr">
        <is>
          <t>SUNNE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28161-2023</t>
        </is>
      </c>
      <c r="B10287" s="1" t="n">
        <v>45093</v>
      </c>
      <c r="C10287" s="1" t="n">
        <v>45736</v>
      </c>
      <c r="D10287" t="inlineStr">
        <is>
          <t>VÄRMLANDS LÄN</t>
        </is>
      </c>
      <c r="E10287" t="inlineStr">
        <is>
          <t>FILIPSTAD</t>
        </is>
      </c>
      <c r="F10287" t="inlineStr">
        <is>
          <t>Kommuner</t>
        </is>
      </c>
      <c r="G10287" t="n">
        <v>15.4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27031-2023</t>
        </is>
      </c>
      <c r="B10288" s="1" t="n">
        <v>45095</v>
      </c>
      <c r="C10288" s="1" t="n">
        <v>45736</v>
      </c>
      <c r="D10288" t="inlineStr">
        <is>
          <t>VÄRMLANDS LÄN</t>
        </is>
      </c>
      <c r="E10288" t="inlineStr">
        <is>
          <t>SÄFFLE</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27045-2023</t>
        </is>
      </c>
      <c r="B10289" s="1" t="n">
        <v>45095</v>
      </c>
      <c r="C10289" s="1" t="n">
        <v>45736</v>
      </c>
      <c r="D10289" t="inlineStr">
        <is>
          <t>VÄRMLANDS LÄN</t>
        </is>
      </c>
      <c r="E10289" t="inlineStr">
        <is>
          <t>MUNKFORS</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27049-2023</t>
        </is>
      </c>
      <c r="B10290" s="1" t="n">
        <v>45095</v>
      </c>
      <c r="C10290" s="1" t="n">
        <v>45736</v>
      </c>
      <c r="D10290" t="inlineStr">
        <is>
          <t>VÄRMLANDS LÄN</t>
        </is>
      </c>
      <c r="E10290" t="inlineStr">
        <is>
          <t>KARLSTAD</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27053-2023</t>
        </is>
      </c>
      <c r="B10291" s="1" t="n">
        <v>45095</v>
      </c>
      <c r="C10291" s="1" t="n">
        <v>45736</v>
      </c>
      <c r="D10291" t="inlineStr">
        <is>
          <t>VÄRMLANDS LÄN</t>
        </is>
      </c>
      <c r="E10291" t="inlineStr">
        <is>
          <t>SUNNE</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27044-2023</t>
        </is>
      </c>
      <c r="B10292" s="1" t="n">
        <v>45095</v>
      </c>
      <c r="C10292" s="1" t="n">
        <v>45736</v>
      </c>
      <c r="D10292" t="inlineStr">
        <is>
          <t>VÄRMLANDS LÄN</t>
        </is>
      </c>
      <c r="E10292" t="inlineStr">
        <is>
          <t>MUNKFORS</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27033-2023</t>
        </is>
      </c>
      <c r="B10293" s="1" t="n">
        <v>45095</v>
      </c>
      <c r="C10293" s="1" t="n">
        <v>45736</v>
      </c>
      <c r="D10293" t="inlineStr">
        <is>
          <t>VÄRMLANDS LÄN</t>
        </is>
      </c>
      <c r="E10293" t="inlineStr">
        <is>
          <t>KRISTINEHAMN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27042-2023</t>
        </is>
      </c>
      <c r="B10294" s="1" t="n">
        <v>45095</v>
      </c>
      <c r="C10294" s="1" t="n">
        <v>45736</v>
      </c>
      <c r="D10294" t="inlineStr">
        <is>
          <t>VÄRMLANDS LÄN</t>
        </is>
      </c>
      <c r="E10294" t="inlineStr">
        <is>
          <t>ARVIKA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27050-2023</t>
        </is>
      </c>
      <c r="B10295" s="1" t="n">
        <v>45095</v>
      </c>
      <c r="C10295" s="1" t="n">
        <v>45736</v>
      </c>
      <c r="D10295" t="inlineStr">
        <is>
          <t>VÄRMLANDS LÄN</t>
        </is>
      </c>
      <c r="E10295" t="inlineStr">
        <is>
          <t>KARLSTAD</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27059-2023</t>
        </is>
      </c>
      <c r="B10296" s="1" t="n">
        <v>45096</v>
      </c>
      <c r="C10296" s="1" t="n">
        <v>45736</v>
      </c>
      <c r="D10296" t="inlineStr">
        <is>
          <t>VÄRMLANDS LÄN</t>
        </is>
      </c>
      <c r="E10296" t="inlineStr">
        <is>
          <t>FILIPSTAD</t>
        </is>
      </c>
      <c r="F10296" t="inlineStr">
        <is>
          <t>Bergvik skog väst AB</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27080-2023</t>
        </is>
      </c>
      <c r="B10297" s="1" t="n">
        <v>45096</v>
      </c>
      <c r="C10297" s="1" t="n">
        <v>45736</v>
      </c>
      <c r="D10297" t="inlineStr">
        <is>
          <t>VÄRMLANDS LÄN</t>
        </is>
      </c>
      <c r="E10297" t="inlineStr">
        <is>
          <t>FILIPSTAD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27176-2023</t>
        </is>
      </c>
      <c r="B10298" s="1" t="n">
        <v>45096</v>
      </c>
      <c r="C10298" s="1" t="n">
        <v>45736</v>
      </c>
      <c r="D10298" t="inlineStr">
        <is>
          <t>VÄRMLANDS LÄN</t>
        </is>
      </c>
      <c r="E10298" t="inlineStr">
        <is>
          <t>SÄFFLE</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27135-2023</t>
        </is>
      </c>
      <c r="B10299" s="1" t="n">
        <v>45096</v>
      </c>
      <c r="C10299" s="1" t="n">
        <v>45736</v>
      </c>
      <c r="D10299" t="inlineStr">
        <is>
          <t>VÄRMLANDS LÄN</t>
        </is>
      </c>
      <c r="E10299" t="inlineStr">
        <is>
          <t>SÄFFLE</t>
        </is>
      </c>
      <c r="G10299" t="n">
        <v>10.7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27218-2023</t>
        </is>
      </c>
      <c r="B10300" s="1" t="n">
        <v>45096</v>
      </c>
      <c r="C10300" s="1" t="n">
        <v>45736</v>
      </c>
      <c r="D10300" t="inlineStr">
        <is>
          <t>VÄRMLANDS LÄN</t>
        </is>
      </c>
      <c r="E10300" t="inlineStr">
        <is>
          <t>GRUMS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27240-2023</t>
        </is>
      </c>
      <c r="B10301" s="1" t="n">
        <v>45096</v>
      </c>
      <c r="C10301" s="1" t="n">
        <v>45736</v>
      </c>
      <c r="D10301" t="inlineStr">
        <is>
          <t>VÄRMLANDS LÄN</t>
        </is>
      </c>
      <c r="E10301" t="inlineStr">
        <is>
          <t>ÅRJÄNG</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27149-2023</t>
        </is>
      </c>
      <c r="B10302" s="1" t="n">
        <v>45096</v>
      </c>
      <c r="C10302" s="1" t="n">
        <v>45736</v>
      </c>
      <c r="D10302" t="inlineStr">
        <is>
          <t>VÄRMLANDS LÄN</t>
        </is>
      </c>
      <c r="E10302" t="inlineStr">
        <is>
          <t>SUNNE</t>
        </is>
      </c>
      <c r="F10302" t="inlineStr">
        <is>
          <t>Bergvik skog väst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27195-2023</t>
        </is>
      </c>
      <c r="B10303" s="1" t="n">
        <v>45096</v>
      </c>
      <c r="C10303" s="1" t="n">
        <v>45736</v>
      </c>
      <c r="D10303" t="inlineStr">
        <is>
          <t>VÄRMLANDS LÄN</t>
        </is>
      </c>
      <c r="E10303" t="inlineStr">
        <is>
          <t>TORSBY</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27222-2023</t>
        </is>
      </c>
      <c r="B10304" s="1" t="n">
        <v>45096</v>
      </c>
      <c r="C10304" s="1" t="n">
        <v>45736</v>
      </c>
      <c r="D10304" t="inlineStr">
        <is>
          <t>VÄRMLANDS LÄN</t>
        </is>
      </c>
      <c r="E10304" t="inlineStr">
        <is>
          <t>GRUMS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27344-2023</t>
        </is>
      </c>
      <c r="B10305" s="1" t="n">
        <v>45096</v>
      </c>
      <c r="C10305" s="1" t="n">
        <v>45736</v>
      </c>
      <c r="D10305" t="inlineStr">
        <is>
          <t>VÄRMLANDS LÄN</t>
        </is>
      </c>
      <c r="E10305" t="inlineStr">
        <is>
          <t>KARLSTAD</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27332-2023</t>
        </is>
      </c>
      <c r="B10306" s="1" t="n">
        <v>45096</v>
      </c>
      <c r="C10306" s="1" t="n">
        <v>45736</v>
      </c>
      <c r="D10306" t="inlineStr">
        <is>
          <t>VÄRMLANDS LÄN</t>
        </is>
      </c>
      <c r="E10306" t="inlineStr">
        <is>
          <t>TORSBY</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27303-2023</t>
        </is>
      </c>
      <c r="B10307" s="1" t="n">
        <v>45096</v>
      </c>
      <c r="C10307" s="1" t="n">
        <v>45736</v>
      </c>
      <c r="D10307" t="inlineStr">
        <is>
          <t>VÄRMLANDS LÄN</t>
        </is>
      </c>
      <c r="E10307" t="inlineStr">
        <is>
          <t>EDA</t>
        </is>
      </c>
      <c r="F10307" t="inlineStr">
        <is>
          <t>Bergvik skog väst AB</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27314-2023</t>
        </is>
      </c>
      <c r="B10308" s="1" t="n">
        <v>45096</v>
      </c>
      <c r="C10308" s="1" t="n">
        <v>45736</v>
      </c>
      <c r="D10308" t="inlineStr">
        <is>
          <t>VÄRMLANDS LÄN</t>
        </is>
      </c>
      <c r="E10308" t="inlineStr">
        <is>
          <t>KARLSTAD</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27319-2023</t>
        </is>
      </c>
      <c r="B10309" s="1" t="n">
        <v>45096</v>
      </c>
      <c r="C10309" s="1" t="n">
        <v>45736</v>
      </c>
      <c r="D10309" t="inlineStr">
        <is>
          <t>VÄRMLANDS LÄN</t>
        </is>
      </c>
      <c r="E10309" t="inlineStr">
        <is>
          <t>FILIPSTAD</t>
        </is>
      </c>
      <c r="F10309" t="inlineStr">
        <is>
          <t>Bergvik skog väst AB</t>
        </is>
      </c>
      <c r="G10309" t="n">
        <v>27.6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27407-2023</t>
        </is>
      </c>
      <c r="B10310" s="1" t="n">
        <v>45097</v>
      </c>
      <c r="C10310" s="1" t="n">
        <v>45736</v>
      </c>
      <c r="D10310" t="inlineStr">
        <is>
          <t>VÄRMLANDS LÄN</t>
        </is>
      </c>
      <c r="E10310" t="inlineStr">
        <is>
          <t>SUNNE</t>
        </is>
      </c>
      <c r="F10310" t="inlineStr">
        <is>
          <t>Bergvik skog väst AB</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27411-2023</t>
        </is>
      </c>
      <c r="B10311" s="1" t="n">
        <v>45097</v>
      </c>
      <c r="C10311" s="1" t="n">
        <v>45736</v>
      </c>
      <c r="D10311" t="inlineStr">
        <is>
          <t>VÄRMLANDS LÄN</t>
        </is>
      </c>
      <c r="E10311" t="inlineStr">
        <is>
          <t>ÅRJÄNG</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27472-2023</t>
        </is>
      </c>
      <c r="B10312" s="1" t="n">
        <v>45097</v>
      </c>
      <c r="C10312" s="1" t="n">
        <v>45736</v>
      </c>
      <c r="D10312" t="inlineStr">
        <is>
          <t>VÄRMLANDS LÄN</t>
        </is>
      </c>
      <c r="E10312" t="inlineStr">
        <is>
          <t>TORSBY</t>
        </is>
      </c>
      <c r="F10312" t="inlineStr">
        <is>
          <t>Övriga Aktiebolag</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27410-2023</t>
        </is>
      </c>
      <c r="B10313" s="1" t="n">
        <v>45097</v>
      </c>
      <c r="C10313" s="1" t="n">
        <v>45736</v>
      </c>
      <c r="D10313" t="inlineStr">
        <is>
          <t>VÄRMLANDS LÄN</t>
        </is>
      </c>
      <c r="E10313" t="inlineStr">
        <is>
          <t>HAGFORS</t>
        </is>
      </c>
      <c r="F10313" t="inlineStr">
        <is>
          <t>Kyrkan</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27594-2023</t>
        </is>
      </c>
      <c r="B10314" s="1" t="n">
        <v>45097</v>
      </c>
      <c r="C10314" s="1" t="n">
        <v>45736</v>
      </c>
      <c r="D10314" t="inlineStr">
        <is>
          <t>VÄRMLANDS LÄN</t>
        </is>
      </c>
      <c r="E10314" t="inlineStr">
        <is>
          <t>TORSBY</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27611-2023</t>
        </is>
      </c>
      <c r="B10315" s="1" t="n">
        <v>45097</v>
      </c>
      <c r="C10315" s="1" t="n">
        <v>45736</v>
      </c>
      <c r="D10315" t="inlineStr">
        <is>
          <t>VÄRMLANDS LÄN</t>
        </is>
      </c>
      <c r="E10315" t="inlineStr">
        <is>
          <t>SUNNE</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27484-2023</t>
        </is>
      </c>
      <c r="B10316" s="1" t="n">
        <v>45097</v>
      </c>
      <c r="C10316" s="1" t="n">
        <v>45736</v>
      </c>
      <c r="D10316" t="inlineStr">
        <is>
          <t>VÄRMLANDS LÄN</t>
        </is>
      </c>
      <c r="E10316" t="inlineStr">
        <is>
          <t>ARVIKA</t>
        </is>
      </c>
      <c r="F10316" t="inlineStr">
        <is>
          <t>Bergvik skog väst AB</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27458-2023</t>
        </is>
      </c>
      <c r="B10317" s="1" t="n">
        <v>45097</v>
      </c>
      <c r="C10317" s="1" t="n">
        <v>45736</v>
      </c>
      <c r="D10317" t="inlineStr">
        <is>
          <t>VÄRMLANDS LÄN</t>
        </is>
      </c>
      <c r="E10317" t="inlineStr">
        <is>
          <t>TORSBY</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27507-2023</t>
        </is>
      </c>
      <c r="B10318" s="1" t="n">
        <v>45097</v>
      </c>
      <c r="C10318" s="1" t="n">
        <v>45736</v>
      </c>
      <c r="D10318" t="inlineStr">
        <is>
          <t>VÄRMLANDS LÄN</t>
        </is>
      </c>
      <c r="E10318" t="inlineStr">
        <is>
          <t>KARLSTAD</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27515-2023</t>
        </is>
      </c>
      <c r="B10319" s="1" t="n">
        <v>45097</v>
      </c>
      <c r="C10319" s="1" t="n">
        <v>45736</v>
      </c>
      <c r="D10319" t="inlineStr">
        <is>
          <t>VÄRMLANDS LÄN</t>
        </is>
      </c>
      <c r="E10319" t="inlineStr">
        <is>
          <t>KRISTINEHAMN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27758-2023</t>
        </is>
      </c>
      <c r="B10320" s="1" t="n">
        <v>45098</v>
      </c>
      <c r="C10320" s="1" t="n">
        <v>45736</v>
      </c>
      <c r="D10320" t="inlineStr">
        <is>
          <t>VÄRMLANDS LÄN</t>
        </is>
      </c>
      <c r="E10320" t="inlineStr">
        <is>
          <t>ARVIKA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27755-2023</t>
        </is>
      </c>
      <c r="B10321" s="1" t="n">
        <v>45098</v>
      </c>
      <c r="C10321" s="1" t="n">
        <v>45736</v>
      </c>
      <c r="D10321" t="inlineStr">
        <is>
          <t>VÄRMLANDS LÄN</t>
        </is>
      </c>
      <c r="E10321" t="inlineStr">
        <is>
          <t>ARVIKA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27760-2023</t>
        </is>
      </c>
      <c r="B10322" s="1" t="n">
        <v>45098</v>
      </c>
      <c r="C10322" s="1" t="n">
        <v>45736</v>
      </c>
      <c r="D10322" t="inlineStr">
        <is>
          <t>VÄRMLANDS LÄN</t>
        </is>
      </c>
      <c r="E10322" t="inlineStr">
        <is>
          <t>ARVIKA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27770-2023</t>
        </is>
      </c>
      <c r="B10323" s="1" t="n">
        <v>45098</v>
      </c>
      <c r="C10323" s="1" t="n">
        <v>45736</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27784-2023</t>
        </is>
      </c>
      <c r="B10324" s="1" t="n">
        <v>45098</v>
      </c>
      <c r="C10324" s="1" t="n">
        <v>45736</v>
      </c>
      <c r="D10324" t="inlineStr">
        <is>
          <t>VÄRMLANDS LÄN</t>
        </is>
      </c>
      <c r="E10324" t="inlineStr">
        <is>
          <t>EDA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27792-2023</t>
        </is>
      </c>
      <c r="B10325" s="1" t="n">
        <v>45098</v>
      </c>
      <c r="C10325" s="1" t="n">
        <v>45736</v>
      </c>
      <c r="D10325" t="inlineStr">
        <is>
          <t>VÄRMLANDS LÄN</t>
        </is>
      </c>
      <c r="E10325" t="inlineStr">
        <is>
          <t>KIL</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27787-2023</t>
        </is>
      </c>
      <c r="B10326" s="1" t="n">
        <v>45098</v>
      </c>
      <c r="C10326" s="1" t="n">
        <v>45736</v>
      </c>
      <c r="D10326" t="inlineStr">
        <is>
          <t>VÄRMLANDS LÄN</t>
        </is>
      </c>
      <c r="E10326" t="inlineStr">
        <is>
          <t>TORSBY</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27821-2023</t>
        </is>
      </c>
      <c r="B10327" s="1" t="n">
        <v>45098</v>
      </c>
      <c r="C10327" s="1" t="n">
        <v>45736</v>
      </c>
      <c r="D10327" t="inlineStr">
        <is>
          <t>VÄRMLANDS LÄN</t>
        </is>
      </c>
      <c r="E10327" t="inlineStr">
        <is>
          <t>SÄFFLE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27809-2023</t>
        </is>
      </c>
      <c r="B10328" s="1" t="n">
        <v>45098</v>
      </c>
      <c r="C10328" s="1" t="n">
        <v>45736</v>
      </c>
      <c r="D10328" t="inlineStr">
        <is>
          <t>VÄRMLANDS LÄN</t>
        </is>
      </c>
      <c r="E10328" t="inlineStr">
        <is>
          <t>SÄFFLE</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27861-2023</t>
        </is>
      </c>
      <c r="B10329" s="1" t="n">
        <v>45098</v>
      </c>
      <c r="C10329" s="1" t="n">
        <v>45736</v>
      </c>
      <c r="D10329" t="inlineStr">
        <is>
          <t>VÄRMLANDS LÄN</t>
        </is>
      </c>
      <c r="E10329" t="inlineStr">
        <is>
          <t>FILIPSTAD</t>
        </is>
      </c>
      <c r="F10329" t="inlineStr">
        <is>
          <t>Bergvik skog väst AB</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27886-2023</t>
        </is>
      </c>
      <c r="B10330" s="1" t="n">
        <v>45098</v>
      </c>
      <c r="C10330" s="1" t="n">
        <v>45736</v>
      </c>
      <c r="D10330" t="inlineStr">
        <is>
          <t>VÄRMLANDS LÄN</t>
        </is>
      </c>
      <c r="E10330" t="inlineStr">
        <is>
          <t>EDA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27790-2023</t>
        </is>
      </c>
      <c r="B10331" s="1" t="n">
        <v>45098</v>
      </c>
      <c r="C10331" s="1" t="n">
        <v>45736</v>
      </c>
      <c r="D10331" t="inlineStr">
        <is>
          <t>VÄRMLANDS LÄN</t>
        </is>
      </c>
      <c r="E10331" t="inlineStr">
        <is>
          <t>KIL</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27798-2023</t>
        </is>
      </c>
      <c r="B10332" s="1" t="n">
        <v>45098</v>
      </c>
      <c r="C10332" s="1" t="n">
        <v>45736</v>
      </c>
      <c r="D10332" t="inlineStr">
        <is>
          <t>VÄRMLANDS LÄN</t>
        </is>
      </c>
      <c r="E10332" t="inlineStr">
        <is>
          <t>GRUMS</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27837-2023</t>
        </is>
      </c>
      <c r="B10333" s="1" t="n">
        <v>45098</v>
      </c>
      <c r="C10333" s="1" t="n">
        <v>45736</v>
      </c>
      <c r="D10333" t="inlineStr">
        <is>
          <t>VÄRMLANDS LÄN</t>
        </is>
      </c>
      <c r="E10333" t="inlineStr">
        <is>
          <t>TORSBY</t>
        </is>
      </c>
      <c r="F10333" t="inlineStr">
        <is>
          <t>Bergvik skog väst AB</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27851-2023</t>
        </is>
      </c>
      <c r="B10334" s="1" t="n">
        <v>45098</v>
      </c>
      <c r="C10334" s="1" t="n">
        <v>45736</v>
      </c>
      <c r="D10334" t="inlineStr">
        <is>
          <t>VÄRMLANDS LÄN</t>
        </is>
      </c>
      <c r="E10334" t="inlineStr">
        <is>
          <t>TORSBY</t>
        </is>
      </c>
      <c r="F10334" t="inlineStr">
        <is>
          <t>Bergvik skog väst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27806-2023</t>
        </is>
      </c>
      <c r="B10335" s="1" t="n">
        <v>45098</v>
      </c>
      <c r="C10335" s="1" t="n">
        <v>45736</v>
      </c>
      <c r="D10335" t="inlineStr">
        <is>
          <t>VÄRMLANDS LÄN</t>
        </is>
      </c>
      <c r="E10335" t="inlineStr">
        <is>
          <t>ARVIKA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27811-2023</t>
        </is>
      </c>
      <c r="B10336" s="1" t="n">
        <v>45098</v>
      </c>
      <c r="C10336" s="1" t="n">
        <v>45736</v>
      </c>
      <c r="D10336" t="inlineStr">
        <is>
          <t>VÄRMLANDS LÄN</t>
        </is>
      </c>
      <c r="E10336" t="inlineStr">
        <is>
          <t>SÄFFLE</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27815-2023</t>
        </is>
      </c>
      <c r="B10337" s="1" t="n">
        <v>45098</v>
      </c>
      <c r="C10337" s="1" t="n">
        <v>45736</v>
      </c>
      <c r="D10337" t="inlineStr">
        <is>
          <t>VÄRMLANDS LÄN</t>
        </is>
      </c>
      <c r="E10337" t="inlineStr">
        <is>
          <t>SÄFFLE</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27920-2023</t>
        </is>
      </c>
      <c r="B10338" s="1" t="n">
        <v>45098</v>
      </c>
      <c r="C10338" s="1" t="n">
        <v>45736</v>
      </c>
      <c r="D10338" t="inlineStr">
        <is>
          <t>VÄRMLANDS LÄN</t>
        </is>
      </c>
      <c r="E10338" t="inlineStr">
        <is>
          <t>TORSBY</t>
        </is>
      </c>
      <c r="F10338" t="inlineStr">
        <is>
          <t>Kyrkan</t>
        </is>
      </c>
      <c r="G10338" t="n">
        <v>14.7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27901-2023</t>
        </is>
      </c>
      <c r="B10339" s="1" t="n">
        <v>45098</v>
      </c>
      <c r="C10339" s="1" t="n">
        <v>45736</v>
      </c>
      <c r="D10339" t="inlineStr">
        <is>
          <t>VÄRMLANDS LÄN</t>
        </is>
      </c>
      <c r="E10339" t="inlineStr">
        <is>
          <t>MUNKFORS</t>
        </is>
      </c>
      <c r="F10339" t="inlineStr">
        <is>
          <t>Kyrkan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27913-2023</t>
        </is>
      </c>
      <c r="B10340" s="1" t="n">
        <v>45098</v>
      </c>
      <c r="C10340" s="1" t="n">
        <v>45736</v>
      </c>
      <c r="D10340" t="inlineStr">
        <is>
          <t>VÄRMLANDS LÄN</t>
        </is>
      </c>
      <c r="E10340" t="inlineStr">
        <is>
          <t>ARVIKA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27939-2023</t>
        </is>
      </c>
      <c r="B10341" s="1" t="n">
        <v>45098</v>
      </c>
      <c r="C10341" s="1" t="n">
        <v>45736</v>
      </c>
      <c r="D10341" t="inlineStr">
        <is>
          <t>VÄRMLANDS LÄN</t>
        </is>
      </c>
      <c r="E10341" t="inlineStr">
        <is>
          <t>KRISTINEHAMN</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27931-2023</t>
        </is>
      </c>
      <c r="B10342" s="1" t="n">
        <v>45098</v>
      </c>
      <c r="C10342" s="1" t="n">
        <v>45736</v>
      </c>
      <c r="D10342" t="inlineStr">
        <is>
          <t>VÄRMLANDS LÄN</t>
        </is>
      </c>
      <c r="E10342" t="inlineStr">
        <is>
          <t>SÄFFLE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27972-2023</t>
        </is>
      </c>
      <c r="B10343" s="1" t="n">
        <v>45098</v>
      </c>
      <c r="C10343" s="1" t="n">
        <v>45736</v>
      </c>
      <c r="D10343" t="inlineStr">
        <is>
          <t>VÄRMLANDS LÄN</t>
        </is>
      </c>
      <c r="E10343" t="inlineStr">
        <is>
          <t>HAGFORS</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27953-2023</t>
        </is>
      </c>
      <c r="B10344" s="1" t="n">
        <v>45098</v>
      </c>
      <c r="C10344" s="1" t="n">
        <v>45736</v>
      </c>
      <c r="D10344" t="inlineStr">
        <is>
          <t>VÄRMLANDS LÄN</t>
        </is>
      </c>
      <c r="E10344" t="inlineStr">
        <is>
          <t>FILIPSTAD</t>
        </is>
      </c>
      <c r="F10344" t="inlineStr">
        <is>
          <t>Bergvik skog väst AB</t>
        </is>
      </c>
      <c r="G10344" t="n">
        <v>17.7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27961-2023</t>
        </is>
      </c>
      <c r="B10345" s="1" t="n">
        <v>45098</v>
      </c>
      <c r="C10345" s="1" t="n">
        <v>45736</v>
      </c>
      <c r="D10345" t="inlineStr">
        <is>
          <t>VÄRMLANDS LÄN</t>
        </is>
      </c>
      <c r="E10345" t="inlineStr">
        <is>
          <t>KRISTINEHAMN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27991-2023</t>
        </is>
      </c>
      <c r="B10346" s="1" t="n">
        <v>45098</v>
      </c>
      <c r="C10346" s="1" t="n">
        <v>45736</v>
      </c>
      <c r="D10346" t="inlineStr">
        <is>
          <t>VÄRMLANDS LÄN</t>
        </is>
      </c>
      <c r="E10346" t="inlineStr">
        <is>
          <t>SUNNE</t>
        </is>
      </c>
      <c r="G10346" t="n">
        <v>13.9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27945-2023</t>
        </is>
      </c>
      <c r="B10347" s="1" t="n">
        <v>45098</v>
      </c>
      <c r="C10347" s="1" t="n">
        <v>45736</v>
      </c>
      <c r="D10347" t="inlineStr">
        <is>
          <t>VÄRMLANDS LÄN</t>
        </is>
      </c>
      <c r="E10347" t="inlineStr">
        <is>
          <t>SUNNE</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27951-2023</t>
        </is>
      </c>
      <c r="B10348" s="1" t="n">
        <v>45098</v>
      </c>
      <c r="C10348" s="1" t="n">
        <v>45736</v>
      </c>
      <c r="D10348" t="inlineStr">
        <is>
          <t>VÄRMLANDS LÄN</t>
        </is>
      </c>
      <c r="E10348" t="inlineStr">
        <is>
          <t>SUNNE</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28026-2023</t>
        </is>
      </c>
      <c r="B10349" s="1" t="n">
        <v>45099</v>
      </c>
      <c r="C10349" s="1" t="n">
        <v>45736</v>
      </c>
      <c r="D10349" t="inlineStr">
        <is>
          <t>VÄRMLANDS LÄN</t>
        </is>
      </c>
      <c r="E10349" t="inlineStr">
        <is>
          <t>SUNNE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28025-2023</t>
        </is>
      </c>
      <c r="B10350" s="1" t="n">
        <v>45099</v>
      </c>
      <c r="C10350" s="1" t="n">
        <v>45736</v>
      </c>
      <c r="D10350" t="inlineStr">
        <is>
          <t>VÄRMLANDS LÄN</t>
        </is>
      </c>
      <c r="E10350" t="inlineStr">
        <is>
          <t>SUNNE</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29283-2023</t>
        </is>
      </c>
      <c r="B10351" s="1" t="n">
        <v>45098</v>
      </c>
      <c r="C10351" s="1" t="n">
        <v>45736</v>
      </c>
      <c r="D10351" t="inlineStr">
        <is>
          <t>VÄRMLANDS LÄN</t>
        </is>
      </c>
      <c r="E10351" t="inlineStr">
        <is>
          <t>KIL</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29749-2023</t>
        </is>
      </c>
      <c r="B10352" s="1" t="n">
        <v>45098</v>
      </c>
      <c r="C10352" s="1" t="n">
        <v>45736</v>
      </c>
      <c r="D10352" t="inlineStr">
        <is>
          <t>VÄRMLANDS LÄN</t>
        </is>
      </c>
      <c r="E10352" t="inlineStr">
        <is>
          <t>KARLSTAD</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28023-2023</t>
        </is>
      </c>
      <c r="B10353" s="1" t="n">
        <v>45099</v>
      </c>
      <c r="C10353" s="1" t="n">
        <v>45736</v>
      </c>
      <c r="D10353" t="inlineStr">
        <is>
          <t>VÄRMLANDS LÄN</t>
        </is>
      </c>
      <c r="E10353" t="inlineStr">
        <is>
          <t>SUNNE</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29554-2023</t>
        </is>
      </c>
      <c r="B10354" s="1" t="n">
        <v>45098</v>
      </c>
      <c r="C10354" s="1" t="n">
        <v>45736</v>
      </c>
      <c r="D10354" t="inlineStr">
        <is>
          <t>VÄRMLANDS LÄN</t>
        </is>
      </c>
      <c r="E10354" t="inlineStr">
        <is>
          <t>KARLSTAD</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29550-2023</t>
        </is>
      </c>
      <c r="B10355" s="1" t="n">
        <v>45098</v>
      </c>
      <c r="C10355" s="1" t="n">
        <v>45736</v>
      </c>
      <c r="D10355" t="inlineStr">
        <is>
          <t>VÄRMLANDS LÄN</t>
        </is>
      </c>
      <c r="E10355" t="inlineStr">
        <is>
          <t>KARLSTAD</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28045-2023</t>
        </is>
      </c>
      <c r="B10356" s="1" t="n">
        <v>45099</v>
      </c>
      <c r="C10356" s="1" t="n">
        <v>45736</v>
      </c>
      <c r="D10356" t="inlineStr">
        <is>
          <t>VÄRMLANDS LÄN</t>
        </is>
      </c>
      <c r="E10356" t="inlineStr">
        <is>
          <t>TORSBY</t>
        </is>
      </c>
      <c r="F10356" t="inlineStr">
        <is>
          <t>Bergvik skog väst AB</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28046-2023</t>
        </is>
      </c>
      <c r="B10357" s="1" t="n">
        <v>45099</v>
      </c>
      <c r="C10357" s="1" t="n">
        <v>45736</v>
      </c>
      <c r="D10357" t="inlineStr">
        <is>
          <t>VÄRMLANDS LÄN</t>
        </is>
      </c>
      <c r="E10357" t="inlineStr">
        <is>
          <t>ARVIKA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28074-2023</t>
        </is>
      </c>
      <c r="B10358" s="1" t="n">
        <v>45099</v>
      </c>
      <c r="C10358" s="1" t="n">
        <v>45736</v>
      </c>
      <c r="D10358" t="inlineStr">
        <is>
          <t>VÄRMLANDS LÄN</t>
        </is>
      </c>
      <c r="E10358" t="inlineStr">
        <is>
          <t>TORSBY</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28092-2023</t>
        </is>
      </c>
      <c r="B10359" s="1" t="n">
        <v>45099</v>
      </c>
      <c r="C10359" s="1" t="n">
        <v>45736</v>
      </c>
      <c r="D10359" t="inlineStr">
        <is>
          <t>VÄRMLANDS LÄN</t>
        </is>
      </c>
      <c r="E10359" t="inlineStr">
        <is>
          <t>TORSBY</t>
        </is>
      </c>
      <c r="F10359" t="inlineStr">
        <is>
          <t>Bergvik skog väst AB</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28056-2023</t>
        </is>
      </c>
      <c r="B10360" s="1" t="n">
        <v>45099</v>
      </c>
      <c r="C10360" s="1" t="n">
        <v>45736</v>
      </c>
      <c r="D10360" t="inlineStr">
        <is>
          <t>VÄRMLANDS LÄN</t>
        </is>
      </c>
      <c r="E10360" t="inlineStr">
        <is>
          <t>KARLSTAD</t>
        </is>
      </c>
      <c r="G10360" t="n">
        <v>9.1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28167-2023</t>
        </is>
      </c>
      <c r="B10361" s="1" t="n">
        <v>45099</v>
      </c>
      <c r="C10361" s="1" t="n">
        <v>45736</v>
      </c>
      <c r="D10361" t="inlineStr">
        <is>
          <t>VÄRMLANDS LÄN</t>
        </is>
      </c>
      <c r="E10361" t="inlineStr">
        <is>
          <t>EDA</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28064-2023</t>
        </is>
      </c>
      <c r="B10362" s="1" t="n">
        <v>45099</v>
      </c>
      <c r="C10362" s="1" t="n">
        <v>45736</v>
      </c>
      <c r="D10362" t="inlineStr">
        <is>
          <t>VÄRMLANDS LÄN</t>
        </is>
      </c>
      <c r="E10362" t="inlineStr">
        <is>
          <t>ARVIKA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28081-2023</t>
        </is>
      </c>
      <c r="B10363" s="1" t="n">
        <v>45099</v>
      </c>
      <c r="C10363" s="1" t="n">
        <v>45736</v>
      </c>
      <c r="D10363" t="inlineStr">
        <is>
          <t>VÄRMLANDS LÄN</t>
        </is>
      </c>
      <c r="E10363" t="inlineStr">
        <is>
          <t>ARVIKA</t>
        </is>
      </c>
      <c r="G10363" t="n">
        <v>19.4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28212-2023</t>
        </is>
      </c>
      <c r="B10364" s="1" t="n">
        <v>45099</v>
      </c>
      <c r="C10364" s="1" t="n">
        <v>45736</v>
      </c>
      <c r="D10364" t="inlineStr">
        <is>
          <t>VÄRMLANDS LÄN</t>
        </is>
      </c>
      <c r="E10364" t="inlineStr">
        <is>
          <t>KARLSTAD</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28172-2023</t>
        </is>
      </c>
      <c r="B10365" s="1" t="n">
        <v>45099</v>
      </c>
      <c r="C10365" s="1" t="n">
        <v>45736</v>
      </c>
      <c r="D10365" t="inlineStr">
        <is>
          <t>VÄRMLANDS LÄN</t>
        </is>
      </c>
      <c r="E10365" t="inlineStr">
        <is>
          <t>HAGFORS</t>
        </is>
      </c>
      <c r="F10365" t="inlineStr">
        <is>
          <t>Bergvik skog väst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28151-2023</t>
        </is>
      </c>
      <c r="B10366" s="1" t="n">
        <v>45099</v>
      </c>
      <c r="C10366" s="1" t="n">
        <v>45736</v>
      </c>
      <c r="D10366" t="inlineStr">
        <is>
          <t>VÄRMLANDS LÄN</t>
        </is>
      </c>
      <c r="E10366" t="inlineStr">
        <is>
          <t>SÄFFLE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28156-2023</t>
        </is>
      </c>
      <c r="B10367" s="1" t="n">
        <v>45099</v>
      </c>
      <c r="C10367" s="1" t="n">
        <v>45736</v>
      </c>
      <c r="D10367" t="inlineStr">
        <is>
          <t>VÄRMLANDS LÄN</t>
        </is>
      </c>
      <c r="E10367" t="inlineStr">
        <is>
          <t>SÄFFLE</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28201-2023</t>
        </is>
      </c>
      <c r="B10368" s="1" t="n">
        <v>45099</v>
      </c>
      <c r="C10368" s="1" t="n">
        <v>45736</v>
      </c>
      <c r="D10368" t="inlineStr">
        <is>
          <t>VÄRMLANDS LÄN</t>
        </is>
      </c>
      <c r="E10368" t="inlineStr">
        <is>
          <t>KARLSTAD</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28181-2023</t>
        </is>
      </c>
      <c r="B10369" s="1" t="n">
        <v>45099</v>
      </c>
      <c r="C10369" s="1" t="n">
        <v>45736</v>
      </c>
      <c r="D10369" t="inlineStr">
        <is>
          <t>VÄRMLANDS LÄN</t>
        </is>
      </c>
      <c r="E10369" t="inlineStr">
        <is>
          <t>KARLSTAD</t>
        </is>
      </c>
      <c r="G10369" t="n">
        <v>14.6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28190-2023</t>
        </is>
      </c>
      <c r="B10370" s="1" t="n">
        <v>45099</v>
      </c>
      <c r="C10370" s="1" t="n">
        <v>45736</v>
      </c>
      <c r="D10370" t="inlineStr">
        <is>
          <t>VÄRMLANDS LÄN</t>
        </is>
      </c>
      <c r="E10370" t="inlineStr">
        <is>
          <t>KARLSTAD</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28128-2023</t>
        </is>
      </c>
      <c r="B10371" s="1" t="n">
        <v>45099</v>
      </c>
      <c r="C10371" s="1" t="n">
        <v>45736</v>
      </c>
      <c r="D10371" t="inlineStr">
        <is>
          <t>VÄRMLANDS LÄN</t>
        </is>
      </c>
      <c r="E10371" t="inlineStr">
        <is>
          <t>EDA</t>
        </is>
      </c>
      <c r="G10371" t="n">
        <v>6.9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28223-2023</t>
        </is>
      </c>
      <c r="B10372" s="1" t="n">
        <v>45099</v>
      </c>
      <c r="C10372" s="1" t="n">
        <v>45736</v>
      </c>
      <c r="D10372" t="inlineStr">
        <is>
          <t>VÄRMLANDS LÄN</t>
        </is>
      </c>
      <c r="E10372" t="inlineStr">
        <is>
          <t>FILIPSTAD</t>
        </is>
      </c>
      <c r="F10372" t="inlineStr">
        <is>
          <t>Kommuner</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28136-2023</t>
        </is>
      </c>
      <c r="B10373" s="1" t="n">
        <v>45099</v>
      </c>
      <c r="C10373" s="1" t="n">
        <v>45736</v>
      </c>
      <c r="D10373" t="inlineStr">
        <is>
          <t>VÄRMLANDS LÄN</t>
        </is>
      </c>
      <c r="E10373" t="inlineStr">
        <is>
          <t>SÄFFLE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28234-2023</t>
        </is>
      </c>
      <c r="B10374" s="1" t="n">
        <v>45099</v>
      </c>
      <c r="C10374" s="1" t="n">
        <v>45736</v>
      </c>
      <c r="D10374" t="inlineStr">
        <is>
          <t>VÄRMLANDS LÄN</t>
        </is>
      </c>
      <c r="E10374" t="inlineStr">
        <is>
          <t>FILIPSTAD</t>
        </is>
      </c>
      <c r="F10374" t="inlineStr">
        <is>
          <t>Kommuner</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28208-2023</t>
        </is>
      </c>
      <c r="B10375" s="1" t="n">
        <v>45099</v>
      </c>
      <c r="C10375" s="1" t="n">
        <v>45736</v>
      </c>
      <c r="D10375" t="inlineStr">
        <is>
          <t>VÄRMLANDS LÄN</t>
        </is>
      </c>
      <c r="E10375" t="inlineStr">
        <is>
          <t>KARLSTAD</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28225-2023</t>
        </is>
      </c>
      <c r="B10376" s="1" t="n">
        <v>45099</v>
      </c>
      <c r="C10376" s="1" t="n">
        <v>45736</v>
      </c>
      <c r="D10376" t="inlineStr">
        <is>
          <t>VÄRMLANDS LÄN</t>
        </is>
      </c>
      <c r="E10376" t="inlineStr">
        <is>
          <t>HAGFORS</t>
        </is>
      </c>
      <c r="F10376" t="inlineStr">
        <is>
          <t>Bergvik skog väst AB</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28229-2023</t>
        </is>
      </c>
      <c r="B10377" s="1" t="n">
        <v>45099</v>
      </c>
      <c r="C10377" s="1" t="n">
        <v>45736</v>
      </c>
      <c r="D10377" t="inlineStr">
        <is>
          <t>VÄRMLANDS LÄN</t>
        </is>
      </c>
      <c r="E10377" t="inlineStr">
        <is>
          <t>FILIPSTAD</t>
        </is>
      </c>
      <c r="F10377" t="inlineStr">
        <is>
          <t>Kommuner</t>
        </is>
      </c>
      <c r="G10377" t="n">
        <v>12.7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28261-2023</t>
        </is>
      </c>
      <c r="B10378" s="1" t="n">
        <v>45099</v>
      </c>
      <c r="C10378" s="1" t="n">
        <v>45736</v>
      </c>
      <c r="D10378" t="inlineStr">
        <is>
          <t>VÄRMLANDS LÄN</t>
        </is>
      </c>
      <c r="E10378" t="inlineStr">
        <is>
          <t>SÄFFLE</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28251-2023</t>
        </is>
      </c>
      <c r="B10379" s="1" t="n">
        <v>45099</v>
      </c>
      <c r="C10379" s="1" t="n">
        <v>45736</v>
      </c>
      <c r="D10379" t="inlineStr">
        <is>
          <t>VÄRMLANDS LÄN</t>
        </is>
      </c>
      <c r="E10379" t="inlineStr">
        <is>
          <t>TORSBY</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28277-2023</t>
        </is>
      </c>
      <c r="B10380" s="1" t="n">
        <v>45099</v>
      </c>
      <c r="C10380" s="1" t="n">
        <v>45736</v>
      </c>
      <c r="D10380" t="inlineStr">
        <is>
          <t>VÄRMLANDS LÄN</t>
        </is>
      </c>
      <c r="E10380" t="inlineStr">
        <is>
          <t>SÄFFLE</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28287-2023</t>
        </is>
      </c>
      <c r="B10381" s="1" t="n">
        <v>45099</v>
      </c>
      <c r="C10381" s="1" t="n">
        <v>45736</v>
      </c>
      <c r="D10381" t="inlineStr">
        <is>
          <t>VÄRMLANDS LÄN</t>
        </is>
      </c>
      <c r="E10381" t="inlineStr">
        <is>
          <t>SÄFFLE</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28317-2023</t>
        </is>
      </c>
      <c r="B10382" s="1" t="n">
        <v>45099</v>
      </c>
      <c r="C10382" s="1" t="n">
        <v>45736</v>
      </c>
      <c r="D10382" t="inlineStr">
        <is>
          <t>VÄRMLANDS LÄN</t>
        </is>
      </c>
      <c r="E10382" t="inlineStr">
        <is>
          <t>ÅRJÄNG</t>
        </is>
      </c>
      <c r="G10382" t="n">
        <v>10.2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28321-2023</t>
        </is>
      </c>
      <c r="B10383" s="1" t="n">
        <v>45099</v>
      </c>
      <c r="C10383" s="1" t="n">
        <v>45736</v>
      </c>
      <c r="D10383" t="inlineStr">
        <is>
          <t>VÄRMLANDS LÄN</t>
        </is>
      </c>
      <c r="E10383" t="inlineStr">
        <is>
          <t>FORSHAGA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30142-2023</t>
        </is>
      </c>
      <c r="B10384" s="1" t="n">
        <v>45099</v>
      </c>
      <c r="C10384" s="1" t="n">
        <v>45736</v>
      </c>
      <c r="D10384" t="inlineStr">
        <is>
          <t>VÄRMLANDS LÄN</t>
        </is>
      </c>
      <c r="E10384" t="inlineStr">
        <is>
          <t>TORSBY</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30148-2023</t>
        </is>
      </c>
      <c r="B10385" s="1" t="n">
        <v>45099</v>
      </c>
      <c r="C10385" s="1" t="n">
        <v>45736</v>
      </c>
      <c r="D10385" t="inlineStr">
        <is>
          <t>VÄRMLANDS LÄN</t>
        </is>
      </c>
      <c r="E10385" t="inlineStr">
        <is>
          <t>TORSBY</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30151-2023</t>
        </is>
      </c>
      <c r="B10386" s="1" t="n">
        <v>45099</v>
      </c>
      <c r="C10386" s="1" t="n">
        <v>45736</v>
      </c>
      <c r="D10386" t="inlineStr">
        <is>
          <t>VÄRMLANDS LÄN</t>
        </is>
      </c>
      <c r="E10386" t="inlineStr">
        <is>
          <t>TORSBY</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28499-2023</t>
        </is>
      </c>
      <c r="B10387" s="1" t="n">
        <v>45103</v>
      </c>
      <c r="C10387" s="1" t="n">
        <v>45736</v>
      </c>
      <c r="D10387" t="inlineStr">
        <is>
          <t>VÄRMLANDS LÄN</t>
        </is>
      </c>
      <c r="E10387" t="inlineStr">
        <is>
          <t>SUNNE</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28530-2023</t>
        </is>
      </c>
      <c r="B10388" s="1" t="n">
        <v>45103</v>
      </c>
      <c r="C10388" s="1" t="n">
        <v>45736</v>
      </c>
      <c r="D10388" t="inlineStr">
        <is>
          <t>VÄRMLANDS LÄN</t>
        </is>
      </c>
      <c r="E10388" t="inlineStr">
        <is>
          <t>KARLSTAD</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28584-2023</t>
        </is>
      </c>
      <c r="B10389" s="1" t="n">
        <v>45103</v>
      </c>
      <c r="C10389" s="1" t="n">
        <v>45736</v>
      </c>
      <c r="D10389" t="inlineStr">
        <is>
          <t>VÄRMLANDS LÄN</t>
        </is>
      </c>
      <c r="E10389" t="inlineStr">
        <is>
          <t>HAGFORS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28594-2023</t>
        </is>
      </c>
      <c r="B10390" s="1" t="n">
        <v>45103</v>
      </c>
      <c r="C10390" s="1" t="n">
        <v>45736</v>
      </c>
      <c r="D10390" t="inlineStr">
        <is>
          <t>VÄRMLANDS LÄN</t>
        </is>
      </c>
      <c r="E10390" t="inlineStr">
        <is>
          <t>HAGFORS</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28598-2023</t>
        </is>
      </c>
      <c r="B10391" s="1" t="n">
        <v>45103</v>
      </c>
      <c r="C10391" s="1" t="n">
        <v>45736</v>
      </c>
      <c r="D10391" t="inlineStr">
        <is>
          <t>VÄRMLANDS LÄN</t>
        </is>
      </c>
      <c r="E10391" t="inlineStr">
        <is>
          <t>TORSBY</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28627-2023</t>
        </is>
      </c>
      <c r="B10392" s="1" t="n">
        <v>45103</v>
      </c>
      <c r="C10392" s="1" t="n">
        <v>45736</v>
      </c>
      <c r="D10392" t="inlineStr">
        <is>
          <t>VÄRMLANDS LÄN</t>
        </is>
      </c>
      <c r="E10392" t="inlineStr">
        <is>
          <t>ARVIKA</t>
        </is>
      </c>
      <c r="F10392" t="inlineStr">
        <is>
          <t>Bergvik skog väst AB</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28586-2023</t>
        </is>
      </c>
      <c r="B10393" s="1" t="n">
        <v>45103</v>
      </c>
      <c r="C10393" s="1" t="n">
        <v>45736</v>
      </c>
      <c r="D10393" t="inlineStr">
        <is>
          <t>VÄRMLANDS LÄN</t>
        </is>
      </c>
      <c r="E10393" t="inlineStr">
        <is>
          <t>HAGFORS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28654-2023</t>
        </is>
      </c>
      <c r="B10394" s="1" t="n">
        <v>45103</v>
      </c>
      <c r="C10394" s="1" t="n">
        <v>45736</v>
      </c>
      <c r="D10394" t="inlineStr">
        <is>
          <t>VÄRMLANDS LÄN</t>
        </is>
      </c>
      <c r="E10394" t="inlineStr">
        <is>
          <t>HAGFORS</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28613-2023</t>
        </is>
      </c>
      <c r="B10395" s="1" t="n">
        <v>45103</v>
      </c>
      <c r="C10395" s="1" t="n">
        <v>45736</v>
      </c>
      <c r="D10395" t="inlineStr">
        <is>
          <t>VÄRMLANDS LÄN</t>
        </is>
      </c>
      <c r="E10395" t="inlineStr">
        <is>
          <t>HAGFORS</t>
        </is>
      </c>
      <c r="F10395" t="inlineStr">
        <is>
          <t>Bergvik skog väst AB</t>
        </is>
      </c>
      <c r="G10395" t="n">
        <v>34.9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28686-2023</t>
        </is>
      </c>
      <c r="B10396" s="1" t="n">
        <v>45103</v>
      </c>
      <c r="C10396" s="1" t="n">
        <v>45736</v>
      </c>
      <c r="D10396" t="inlineStr">
        <is>
          <t>VÄRMLANDS LÄN</t>
        </is>
      </c>
      <c r="E10396" t="inlineStr">
        <is>
          <t>FILIPSTAD</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28618-2023</t>
        </is>
      </c>
      <c r="B10397" s="1" t="n">
        <v>45103</v>
      </c>
      <c r="C10397" s="1" t="n">
        <v>45736</v>
      </c>
      <c r="D10397" t="inlineStr">
        <is>
          <t>VÄRMLANDS LÄN</t>
        </is>
      </c>
      <c r="E10397" t="inlineStr">
        <is>
          <t>KIL</t>
        </is>
      </c>
      <c r="G10397" t="n">
        <v>15.7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28652-2023</t>
        </is>
      </c>
      <c r="B10398" s="1" t="n">
        <v>45103</v>
      </c>
      <c r="C10398" s="1" t="n">
        <v>45736</v>
      </c>
      <c r="D10398" t="inlineStr">
        <is>
          <t>VÄRMLANDS LÄN</t>
        </is>
      </c>
      <c r="E10398" t="inlineStr">
        <is>
          <t>TORSBY</t>
        </is>
      </c>
      <c r="F10398" t="inlineStr">
        <is>
          <t>Bergvik skog väst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28773-2023</t>
        </is>
      </c>
      <c r="B10399" s="1" t="n">
        <v>45104</v>
      </c>
      <c r="C10399" s="1" t="n">
        <v>45736</v>
      </c>
      <c r="D10399" t="inlineStr">
        <is>
          <t>VÄRMLANDS LÄN</t>
        </is>
      </c>
      <c r="E10399" t="inlineStr">
        <is>
          <t>ARVIKA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28818-2023</t>
        </is>
      </c>
      <c r="B10400" s="1" t="n">
        <v>45104</v>
      </c>
      <c r="C10400" s="1" t="n">
        <v>45736</v>
      </c>
      <c r="D10400" t="inlineStr">
        <is>
          <t>VÄRMLANDS LÄN</t>
        </is>
      </c>
      <c r="E10400" t="inlineStr">
        <is>
          <t>TORSBY</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28869-2023</t>
        </is>
      </c>
      <c r="B10401" s="1" t="n">
        <v>45104</v>
      </c>
      <c r="C10401" s="1" t="n">
        <v>45736</v>
      </c>
      <c r="D10401" t="inlineStr">
        <is>
          <t>VÄRMLANDS LÄN</t>
        </is>
      </c>
      <c r="E10401" t="inlineStr">
        <is>
          <t>TORSBY</t>
        </is>
      </c>
      <c r="F10401" t="inlineStr">
        <is>
          <t>Bergvik skog väst AB</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28904-2023</t>
        </is>
      </c>
      <c r="B10402" s="1" t="n">
        <v>45104</v>
      </c>
      <c r="C10402" s="1" t="n">
        <v>45736</v>
      </c>
      <c r="D10402" t="inlineStr">
        <is>
          <t>VÄRMLANDS LÄN</t>
        </is>
      </c>
      <c r="E10402" t="inlineStr">
        <is>
          <t>EDA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28936-2023</t>
        </is>
      </c>
      <c r="B10403" s="1" t="n">
        <v>45104</v>
      </c>
      <c r="C10403" s="1" t="n">
        <v>45736</v>
      </c>
      <c r="D10403" t="inlineStr">
        <is>
          <t>VÄRMLANDS LÄN</t>
        </is>
      </c>
      <c r="E10403" t="inlineStr">
        <is>
          <t>EDA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28948-2023</t>
        </is>
      </c>
      <c r="B10404" s="1" t="n">
        <v>45104</v>
      </c>
      <c r="C10404" s="1" t="n">
        <v>45736</v>
      </c>
      <c r="D10404" t="inlineStr">
        <is>
          <t>VÄRMLANDS LÄN</t>
        </is>
      </c>
      <c r="E10404" t="inlineStr">
        <is>
          <t>TORSBY</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29001-2023</t>
        </is>
      </c>
      <c r="B10405" s="1" t="n">
        <v>45104</v>
      </c>
      <c r="C10405" s="1" t="n">
        <v>45736</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29017-2023</t>
        </is>
      </c>
      <c r="B10406" s="1" t="n">
        <v>45104</v>
      </c>
      <c r="C10406" s="1" t="n">
        <v>45736</v>
      </c>
      <c r="D10406" t="inlineStr">
        <is>
          <t>VÄRMLANDS LÄN</t>
        </is>
      </c>
      <c r="E10406" t="inlineStr">
        <is>
          <t>KRISTINEHAMN</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28864-2023</t>
        </is>
      </c>
      <c r="B10407" s="1" t="n">
        <v>45104</v>
      </c>
      <c r="C10407" s="1" t="n">
        <v>45736</v>
      </c>
      <c r="D10407" t="inlineStr">
        <is>
          <t>VÄRMLANDS LÄN</t>
        </is>
      </c>
      <c r="E10407" t="inlineStr">
        <is>
          <t>ÅRJÄNG</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28976-2023</t>
        </is>
      </c>
      <c r="B10408" s="1" t="n">
        <v>45104</v>
      </c>
      <c r="C10408" s="1" t="n">
        <v>45736</v>
      </c>
      <c r="D10408" t="inlineStr">
        <is>
          <t>VÄRMLANDS LÄN</t>
        </is>
      </c>
      <c r="E10408" t="inlineStr">
        <is>
          <t>SUNNE</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28994-2023</t>
        </is>
      </c>
      <c r="B10409" s="1" t="n">
        <v>45104</v>
      </c>
      <c r="C10409" s="1" t="n">
        <v>45736</v>
      </c>
      <c r="D10409" t="inlineStr">
        <is>
          <t>VÄRMLANDS LÄN</t>
        </is>
      </c>
      <c r="E10409" t="inlineStr">
        <is>
          <t>STORFORS</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29002-2023</t>
        </is>
      </c>
      <c r="B10410" s="1" t="n">
        <v>45104</v>
      </c>
      <c r="C10410" s="1" t="n">
        <v>45736</v>
      </c>
      <c r="D10410" t="inlineStr">
        <is>
          <t>VÄRMLANDS LÄN</t>
        </is>
      </c>
      <c r="E10410" t="inlineStr">
        <is>
          <t>STORFORS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28814-2023</t>
        </is>
      </c>
      <c r="B10411" s="1" t="n">
        <v>45104</v>
      </c>
      <c r="C10411" s="1" t="n">
        <v>45736</v>
      </c>
      <c r="D10411" t="inlineStr">
        <is>
          <t>VÄRMLANDS LÄN</t>
        </is>
      </c>
      <c r="E10411" t="inlineStr">
        <is>
          <t>TORSBY</t>
        </is>
      </c>
      <c r="G10411" t="n">
        <v>14.3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28833-2023</t>
        </is>
      </c>
      <c r="B10412" s="1" t="n">
        <v>45104</v>
      </c>
      <c r="C10412" s="1" t="n">
        <v>45736</v>
      </c>
      <c r="D10412" t="inlineStr">
        <is>
          <t>VÄRMLANDS LÄN</t>
        </is>
      </c>
      <c r="E10412" t="inlineStr">
        <is>
          <t>ARVIKA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28925-2023</t>
        </is>
      </c>
      <c r="B10413" s="1" t="n">
        <v>45104</v>
      </c>
      <c r="C10413" s="1" t="n">
        <v>45736</v>
      </c>
      <c r="D10413" t="inlineStr">
        <is>
          <t>VÄRMLANDS LÄN</t>
        </is>
      </c>
      <c r="E10413" t="inlineStr">
        <is>
          <t>SUNNE</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28992-2023</t>
        </is>
      </c>
      <c r="B10414" s="1" t="n">
        <v>45104</v>
      </c>
      <c r="C10414" s="1" t="n">
        <v>45736</v>
      </c>
      <c r="D10414" t="inlineStr">
        <is>
          <t>VÄRMLANDS LÄN</t>
        </is>
      </c>
      <c r="E10414" t="inlineStr">
        <is>
          <t>KARLSTAD</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28996-2023</t>
        </is>
      </c>
      <c r="B10415" s="1" t="n">
        <v>45104</v>
      </c>
      <c r="C10415" s="1" t="n">
        <v>45736</v>
      </c>
      <c r="D10415" t="inlineStr">
        <is>
          <t>VÄRMLANDS LÄN</t>
        </is>
      </c>
      <c r="E10415" t="inlineStr">
        <is>
          <t>KARLSTAD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29020-2023</t>
        </is>
      </c>
      <c r="B10416" s="1" t="n">
        <v>45104</v>
      </c>
      <c r="C10416" s="1" t="n">
        <v>45736</v>
      </c>
      <c r="D10416" t="inlineStr">
        <is>
          <t>VÄRMLANDS LÄN</t>
        </is>
      </c>
      <c r="E10416" t="inlineStr">
        <is>
          <t>ARVIKA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29043-2023</t>
        </is>
      </c>
      <c r="B10417" s="1" t="n">
        <v>45104</v>
      </c>
      <c r="C10417" s="1" t="n">
        <v>45736</v>
      </c>
      <c r="D10417" t="inlineStr">
        <is>
          <t>VÄRMLANDS LÄN</t>
        </is>
      </c>
      <c r="E10417" t="inlineStr">
        <is>
          <t>TORSBY</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29042-2023</t>
        </is>
      </c>
      <c r="B10418" s="1" t="n">
        <v>45104</v>
      </c>
      <c r="C10418" s="1" t="n">
        <v>45736</v>
      </c>
      <c r="D10418" t="inlineStr">
        <is>
          <t>VÄRMLANDS LÄN</t>
        </is>
      </c>
      <c r="E10418" t="inlineStr">
        <is>
          <t>TORSBY</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29101-2023</t>
        </is>
      </c>
      <c r="B10419" s="1" t="n">
        <v>45105</v>
      </c>
      <c r="C10419" s="1" t="n">
        <v>45736</v>
      </c>
      <c r="D10419" t="inlineStr">
        <is>
          <t>VÄRMLANDS LÄN</t>
        </is>
      </c>
      <c r="E10419" t="inlineStr">
        <is>
          <t>SUNNE</t>
        </is>
      </c>
      <c r="G10419" t="n">
        <v>7.9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29137-2023</t>
        </is>
      </c>
      <c r="B10420" s="1" t="n">
        <v>45105</v>
      </c>
      <c r="C10420" s="1" t="n">
        <v>45736</v>
      </c>
      <c r="D10420" t="inlineStr">
        <is>
          <t>VÄRMLANDS LÄN</t>
        </is>
      </c>
      <c r="E10420" t="inlineStr">
        <is>
          <t>TORSBY</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29230-2023</t>
        </is>
      </c>
      <c r="B10421" s="1" t="n">
        <v>45105</v>
      </c>
      <c r="C10421" s="1" t="n">
        <v>45736</v>
      </c>
      <c r="D10421" t="inlineStr">
        <is>
          <t>VÄRMLANDS LÄN</t>
        </is>
      </c>
      <c r="E10421" t="inlineStr">
        <is>
          <t>EDA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29261-2023</t>
        </is>
      </c>
      <c r="B10422" s="1" t="n">
        <v>45105</v>
      </c>
      <c r="C10422" s="1" t="n">
        <v>45736</v>
      </c>
      <c r="D10422" t="inlineStr">
        <is>
          <t>VÄRMLANDS LÄN</t>
        </is>
      </c>
      <c r="E10422" t="inlineStr">
        <is>
          <t>ÅRJÄNG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29211-2023</t>
        </is>
      </c>
      <c r="B10423" s="1" t="n">
        <v>45105</v>
      </c>
      <c r="C10423" s="1" t="n">
        <v>45736</v>
      </c>
      <c r="D10423" t="inlineStr">
        <is>
          <t>VÄRMLANDS LÄN</t>
        </is>
      </c>
      <c r="E10423" t="inlineStr">
        <is>
          <t>SUNNE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29216-2023</t>
        </is>
      </c>
      <c r="B10424" s="1" t="n">
        <v>45105</v>
      </c>
      <c r="C10424" s="1" t="n">
        <v>45736</v>
      </c>
      <c r="D10424" t="inlineStr">
        <is>
          <t>VÄRMLANDS LÄN</t>
        </is>
      </c>
      <c r="E10424" t="inlineStr">
        <is>
          <t>SUNNE</t>
        </is>
      </c>
      <c r="G10424" t="n">
        <v>6.8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29204-2023</t>
        </is>
      </c>
      <c r="B10425" s="1" t="n">
        <v>45105</v>
      </c>
      <c r="C10425" s="1" t="n">
        <v>45736</v>
      </c>
      <c r="D10425" t="inlineStr">
        <is>
          <t>VÄRMLANDS LÄN</t>
        </is>
      </c>
      <c r="E10425" t="inlineStr">
        <is>
          <t>ÅRJÄNG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29228-2023</t>
        </is>
      </c>
      <c r="B10426" s="1" t="n">
        <v>45105</v>
      </c>
      <c r="C10426" s="1" t="n">
        <v>45736</v>
      </c>
      <c r="D10426" t="inlineStr">
        <is>
          <t>VÄRMLANDS LÄN</t>
        </is>
      </c>
      <c r="E10426" t="inlineStr">
        <is>
          <t>EDA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29256-2023</t>
        </is>
      </c>
      <c r="B10427" s="1" t="n">
        <v>45105</v>
      </c>
      <c r="C10427" s="1" t="n">
        <v>45736</v>
      </c>
      <c r="D10427" t="inlineStr">
        <is>
          <t>VÄRMLANDS LÄN</t>
        </is>
      </c>
      <c r="E10427" t="inlineStr">
        <is>
          <t>TORSBY</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29271-2023</t>
        </is>
      </c>
      <c r="B10428" s="1" t="n">
        <v>45105</v>
      </c>
      <c r="C10428" s="1" t="n">
        <v>45736</v>
      </c>
      <c r="D10428" t="inlineStr">
        <is>
          <t>VÄRMLANDS LÄN</t>
        </is>
      </c>
      <c r="E10428" t="inlineStr">
        <is>
          <t>ARVIKA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29286-2023</t>
        </is>
      </c>
      <c r="B10429" s="1" t="n">
        <v>45105</v>
      </c>
      <c r="C10429" s="1" t="n">
        <v>45736</v>
      </c>
      <c r="D10429" t="inlineStr">
        <is>
          <t>VÄRMLANDS LÄN</t>
        </is>
      </c>
      <c r="E10429" t="inlineStr">
        <is>
          <t>ÅRJÄNG</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29173-2023</t>
        </is>
      </c>
      <c r="B10430" s="1" t="n">
        <v>45105</v>
      </c>
      <c r="C10430" s="1" t="n">
        <v>45736</v>
      </c>
      <c r="D10430" t="inlineStr">
        <is>
          <t>VÄRMLANDS LÄN</t>
        </is>
      </c>
      <c r="E10430" t="inlineStr">
        <is>
          <t>SUNNE</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29202-2023</t>
        </is>
      </c>
      <c r="B10431" s="1" t="n">
        <v>45105</v>
      </c>
      <c r="C10431" s="1" t="n">
        <v>45736</v>
      </c>
      <c r="D10431" t="inlineStr">
        <is>
          <t>VÄRMLANDS LÄN</t>
        </is>
      </c>
      <c r="E10431" t="inlineStr">
        <is>
          <t>HAGFORS</t>
        </is>
      </c>
      <c r="F10431" t="inlineStr">
        <is>
          <t>Bergvik skog väst AB</t>
        </is>
      </c>
      <c r="G10431" t="n">
        <v>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29221-2023</t>
        </is>
      </c>
      <c r="B10432" s="1" t="n">
        <v>45105</v>
      </c>
      <c r="C10432" s="1" t="n">
        <v>45736</v>
      </c>
      <c r="D10432" t="inlineStr">
        <is>
          <t>VÄRMLANDS LÄN</t>
        </is>
      </c>
      <c r="E10432" t="inlineStr">
        <is>
          <t>SÄFFLE</t>
        </is>
      </c>
      <c r="F10432" t="inlineStr">
        <is>
          <t>Bergvik skog väst AB</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29227-2023</t>
        </is>
      </c>
      <c r="B10433" s="1" t="n">
        <v>45105</v>
      </c>
      <c r="C10433" s="1" t="n">
        <v>45736</v>
      </c>
      <c r="D10433" t="inlineStr">
        <is>
          <t>VÄRMLANDS LÄN</t>
        </is>
      </c>
      <c r="E10433" t="inlineStr">
        <is>
          <t>KARLSTAD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29231-2023</t>
        </is>
      </c>
      <c r="B10434" s="1" t="n">
        <v>45105</v>
      </c>
      <c r="C10434" s="1" t="n">
        <v>45736</v>
      </c>
      <c r="D10434" t="inlineStr">
        <is>
          <t>VÄRMLANDS LÄN</t>
        </is>
      </c>
      <c r="E10434" t="inlineStr">
        <is>
          <t>FORSHAGA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29258-2023</t>
        </is>
      </c>
      <c r="B10435" s="1" t="n">
        <v>45105</v>
      </c>
      <c r="C10435" s="1" t="n">
        <v>45736</v>
      </c>
      <c r="D10435" t="inlineStr">
        <is>
          <t>VÄRMLANDS LÄN</t>
        </is>
      </c>
      <c r="E10435" t="inlineStr">
        <is>
          <t>SÄFFLE</t>
        </is>
      </c>
      <c r="F10435" t="inlineStr">
        <is>
          <t>Bergvik skog väst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29263-2023</t>
        </is>
      </c>
      <c r="B10436" s="1" t="n">
        <v>45105</v>
      </c>
      <c r="C10436" s="1" t="n">
        <v>45736</v>
      </c>
      <c r="D10436" t="inlineStr">
        <is>
          <t>VÄRMLANDS LÄN</t>
        </is>
      </c>
      <c r="E10436" t="inlineStr">
        <is>
          <t>ÅRJÄNG</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29359-2023</t>
        </is>
      </c>
      <c r="B10437" s="1" t="n">
        <v>45106</v>
      </c>
      <c r="C10437" s="1" t="n">
        <v>45736</v>
      </c>
      <c r="D10437" t="inlineStr">
        <is>
          <t>VÄRMLANDS LÄN</t>
        </is>
      </c>
      <c r="E10437" t="inlineStr">
        <is>
          <t>KARLSTAD</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29373-2023</t>
        </is>
      </c>
      <c r="B10438" s="1" t="n">
        <v>45106</v>
      </c>
      <c r="C10438" s="1" t="n">
        <v>45736</v>
      </c>
      <c r="D10438" t="inlineStr">
        <is>
          <t>VÄRMLANDS LÄN</t>
        </is>
      </c>
      <c r="E10438" t="inlineStr">
        <is>
          <t>HAGFORS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29372-2023</t>
        </is>
      </c>
      <c r="B10439" s="1" t="n">
        <v>45106</v>
      </c>
      <c r="C10439" s="1" t="n">
        <v>45736</v>
      </c>
      <c r="D10439" t="inlineStr">
        <is>
          <t>VÄRMLANDS LÄN</t>
        </is>
      </c>
      <c r="E10439" t="inlineStr">
        <is>
          <t>HAGFORS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29392-2023</t>
        </is>
      </c>
      <c r="B10440" s="1" t="n">
        <v>45106</v>
      </c>
      <c r="C10440" s="1" t="n">
        <v>45736</v>
      </c>
      <c r="D10440" t="inlineStr">
        <is>
          <t>VÄRMLANDS LÄN</t>
        </is>
      </c>
      <c r="E10440" t="inlineStr">
        <is>
          <t>ARVIKA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29401-2023</t>
        </is>
      </c>
      <c r="B10441" s="1" t="n">
        <v>45106</v>
      </c>
      <c r="C10441" s="1" t="n">
        <v>45736</v>
      </c>
      <c r="D10441" t="inlineStr">
        <is>
          <t>VÄRMLANDS LÄN</t>
        </is>
      </c>
      <c r="E10441" t="inlineStr">
        <is>
          <t>EDA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29429-2023</t>
        </is>
      </c>
      <c r="B10442" s="1" t="n">
        <v>45106</v>
      </c>
      <c r="C10442" s="1" t="n">
        <v>45736</v>
      </c>
      <c r="D10442" t="inlineStr">
        <is>
          <t>VÄRMLANDS LÄN</t>
        </is>
      </c>
      <c r="E10442" t="inlineStr">
        <is>
          <t>FILIPSTAD</t>
        </is>
      </c>
      <c r="F10442" t="inlineStr">
        <is>
          <t>Kyrkan</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29405-2023</t>
        </is>
      </c>
      <c r="B10443" s="1" t="n">
        <v>45106</v>
      </c>
      <c r="C10443" s="1" t="n">
        <v>45736</v>
      </c>
      <c r="D10443" t="inlineStr">
        <is>
          <t>VÄRMLANDS LÄN</t>
        </is>
      </c>
      <c r="E10443" t="inlineStr">
        <is>
          <t>ARVIKA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29419-2023</t>
        </is>
      </c>
      <c r="B10444" s="1" t="n">
        <v>45106</v>
      </c>
      <c r="C10444" s="1" t="n">
        <v>45736</v>
      </c>
      <c r="D10444" t="inlineStr">
        <is>
          <t>VÄRMLANDS LÄN</t>
        </is>
      </c>
      <c r="E10444" t="inlineStr">
        <is>
          <t>STORFORS</t>
        </is>
      </c>
      <c r="F10444" t="inlineStr">
        <is>
          <t>Kyrkan</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29444-2023</t>
        </is>
      </c>
      <c r="B10445" s="1" t="n">
        <v>45106</v>
      </c>
      <c r="C10445" s="1" t="n">
        <v>45736</v>
      </c>
      <c r="D10445" t="inlineStr">
        <is>
          <t>VÄRMLANDS LÄN</t>
        </is>
      </c>
      <c r="E10445" t="inlineStr">
        <is>
          <t>FILIPSTAD</t>
        </is>
      </c>
      <c r="F10445" t="inlineStr">
        <is>
          <t>Bergvik skog väst AB</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29495-2023</t>
        </is>
      </c>
      <c r="B10446" s="1" t="n">
        <v>45106</v>
      </c>
      <c r="C10446" s="1" t="n">
        <v>45736</v>
      </c>
      <c r="D10446" t="inlineStr">
        <is>
          <t>VÄRMLANDS LÄN</t>
        </is>
      </c>
      <c r="E10446" t="inlineStr">
        <is>
          <t>STORFORS</t>
        </is>
      </c>
      <c r="F10446" t="inlineStr">
        <is>
          <t>Kyrkan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29503-2023</t>
        </is>
      </c>
      <c r="B10447" s="1" t="n">
        <v>45106</v>
      </c>
      <c r="C10447" s="1" t="n">
        <v>45736</v>
      </c>
      <c r="D10447" t="inlineStr">
        <is>
          <t>VÄRMLANDS LÄN</t>
        </is>
      </c>
      <c r="E10447" t="inlineStr">
        <is>
          <t>KRISTINEHAMN</t>
        </is>
      </c>
      <c r="F10447" t="inlineStr">
        <is>
          <t>Sveaskog</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29376-2023</t>
        </is>
      </c>
      <c r="B10448" s="1" t="n">
        <v>45106</v>
      </c>
      <c r="C10448" s="1" t="n">
        <v>45736</v>
      </c>
      <c r="D10448" t="inlineStr">
        <is>
          <t>VÄRMLANDS LÄN</t>
        </is>
      </c>
      <c r="E10448" t="inlineStr">
        <is>
          <t>ÅRJÄNG</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29384-2023</t>
        </is>
      </c>
      <c r="B10449" s="1" t="n">
        <v>45106</v>
      </c>
      <c r="C10449" s="1" t="n">
        <v>45736</v>
      </c>
      <c r="D10449" t="inlineStr">
        <is>
          <t>VÄRMLANDS LÄN</t>
        </is>
      </c>
      <c r="E10449" t="inlineStr">
        <is>
          <t>ARVIKA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29393-2023</t>
        </is>
      </c>
      <c r="B10450" s="1" t="n">
        <v>45106</v>
      </c>
      <c r="C10450" s="1" t="n">
        <v>45736</v>
      </c>
      <c r="D10450" t="inlineStr">
        <is>
          <t>VÄRMLANDS LÄN</t>
        </is>
      </c>
      <c r="E10450" t="inlineStr">
        <is>
          <t>ARVIKA</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29397-2023</t>
        </is>
      </c>
      <c r="B10451" s="1" t="n">
        <v>45106</v>
      </c>
      <c r="C10451" s="1" t="n">
        <v>45736</v>
      </c>
      <c r="D10451" t="inlineStr">
        <is>
          <t>VÄRMLANDS LÄN</t>
        </is>
      </c>
      <c r="E10451" t="inlineStr">
        <is>
          <t>ÅRJÄNG</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29506-2023</t>
        </is>
      </c>
      <c r="B10452" s="1" t="n">
        <v>45106</v>
      </c>
      <c r="C10452" s="1" t="n">
        <v>45736</v>
      </c>
      <c r="D10452" t="inlineStr">
        <is>
          <t>VÄRMLANDS LÄN</t>
        </is>
      </c>
      <c r="E10452" t="inlineStr">
        <is>
          <t>TORSBY</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29426-2023</t>
        </is>
      </c>
      <c r="B10453" s="1" t="n">
        <v>45106</v>
      </c>
      <c r="C10453" s="1" t="n">
        <v>45736</v>
      </c>
      <c r="D10453" t="inlineStr">
        <is>
          <t>VÄRMLANDS LÄN</t>
        </is>
      </c>
      <c r="E10453" t="inlineStr">
        <is>
          <t>FILIPSTAD</t>
        </is>
      </c>
      <c r="F10453" t="inlineStr">
        <is>
          <t>Kyrkan</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29547-2023</t>
        </is>
      </c>
      <c r="B10454" s="1" t="n">
        <v>45106</v>
      </c>
      <c r="C10454" s="1" t="n">
        <v>45736</v>
      </c>
      <c r="D10454" t="inlineStr">
        <is>
          <t>VÄRMLANDS LÄN</t>
        </is>
      </c>
      <c r="E10454" t="inlineStr">
        <is>
          <t>SÄFFLE</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29581-2023</t>
        </is>
      </c>
      <c r="B10455" s="1" t="n">
        <v>45106</v>
      </c>
      <c r="C10455" s="1" t="n">
        <v>45736</v>
      </c>
      <c r="D10455" t="inlineStr">
        <is>
          <t>VÄRMLANDS LÄN</t>
        </is>
      </c>
      <c r="E10455" t="inlineStr">
        <is>
          <t>TORSBY</t>
        </is>
      </c>
      <c r="F10455" t="inlineStr">
        <is>
          <t>Bergvik skog väst AB</t>
        </is>
      </c>
      <c r="G10455" t="n">
        <v>11.8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29497-2023</t>
        </is>
      </c>
      <c r="B10456" s="1" t="n">
        <v>45106</v>
      </c>
      <c r="C10456" s="1" t="n">
        <v>45736</v>
      </c>
      <c r="D10456" t="inlineStr">
        <is>
          <t>VÄRMLANDS LÄN</t>
        </is>
      </c>
      <c r="E10456" t="inlineStr">
        <is>
          <t>SÄFFLE</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29594-2023</t>
        </is>
      </c>
      <c r="B10457" s="1" t="n">
        <v>45107</v>
      </c>
      <c r="C10457" s="1" t="n">
        <v>45736</v>
      </c>
      <c r="D10457" t="inlineStr">
        <is>
          <t>VÄRMLANDS LÄN</t>
        </is>
      </c>
      <c r="E10457" t="inlineStr">
        <is>
          <t>TORSBY</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29528-2023</t>
        </is>
      </c>
      <c r="B10458" s="1" t="n">
        <v>45106</v>
      </c>
      <c r="C10458" s="1" t="n">
        <v>45736</v>
      </c>
      <c r="D10458" t="inlineStr">
        <is>
          <t>VÄRMLANDS LÄN</t>
        </is>
      </c>
      <c r="E10458" t="inlineStr">
        <is>
          <t>SÄFFLE</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29545-2023</t>
        </is>
      </c>
      <c r="B10459" s="1" t="n">
        <v>45106</v>
      </c>
      <c r="C10459" s="1" t="n">
        <v>45736</v>
      </c>
      <c r="D10459" t="inlineStr">
        <is>
          <t>VÄRMLANDS LÄN</t>
        </is>
      </c>
      <c r="E10459" t="inlineStr">
        <is>
          <t>TORSBY</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29570-2023</t>
        </is>
      </c>
      <c r="B10460" s="1" t="n">
        <v>45106</v>
      </c>
      <c r="C10460" s="1" t="n">
        <v>45736</v>
      </c>
      <c r="D10460" t="inlineStr">
        <is>
          <t>VÄRMLANDS LÄN</t>
        </is>
      </c>
      <c r="E10460" t="inlineStr">
        <is>
          <t>ÅRJÄNG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29421-2023</t>
        </is>
      </c>
      <c r="B10461" s="1" t="n">
        <v>45106</v>
      </c>
      <c r="C10461" s="1" t="n">
        <v>45736</v>
      </c>
      <c r="D10461" t="inlineStr">
        <is>
          <t>VÄRMLANDS LÄN</t>
        </is>
      </c>
      <c r="E10461" t="inlineStr">
        <is>
          <t>ARVIKA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29470-2023</t>
        </is>
      </c>
      <c r="B10462" s="1" t="n">
        <v>45106</v>
      </c>
      <c r="C10462" s="1" t="n">
        <v>45736</v>
      </c>
      <c r="D10462" t="inlineStr">
        <is>
          <t>VÄRMLANDS LÄN</t>
        </is>
      </c>
      <c r="E10462" t="inlineStr">
        <is>
          <t>ÅRJÄNG</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29504-2023</t>
        </is>
      </c>
      <c r="B10463" s="1" t="n">
        <v>45106</v>
      </c>
      <c r="C10463" s="1" t="n">
        <v>45736</v>
      </c>
      <c r="D10463" t="inlineStr">
        <is>
          <t>VÄRMLANDS LÄN</t>
        </is>
      </c>
      <c r="E10463" t="inlineStr">
        <is>
          <t>KRISTINEHAMN</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29508-2023</t>
        </is>
      </c>
      <c r="B10464" s="1" t="n">
        <v>45106</v>
      </c>
      <c r="C10464" s="1" t="n">
        <v>45736</v>
      </c>
      <c r="D10464" t="inlineStr">
        <is>
          <t>VÄRMLANDS LÄN</t>
        </is>
      </c>
      <c r="E10464" t="inlineStr">
        <is>
          <t>SÄFFLE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31657-2023</t>
        </is>
      </c>
      <c r="B10465" s="1" t="n">
        <v>45106</v>
      </c>
      <c r="C10465" s="1" t="n">
        <v>45736</v>
      </c>
      <c r="D10465" t="inlineStr">
        <is>
          <t>VÄRMLANDS LÄN</t>
        </is>
      </c>
      <c r="E10465" t="inlineStr">
        <is>
          <t>SÄFFLE</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31858-2023</t>
        </is>
      </c>
      <c r="B10466" s="1" t="n">
        <v>45106</v>
      </c>
      <c r="C10466" s="1" t="n">
        <v>45736</v>
      </c>
      <c r="D10466" t="inlineStr">
        <is>
          <t>VÄRMLANDS LÄN</t>
        </is>
      </c>
      <c r="E10466" t="inlineStr">
        <is>
          <t>TORSBY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31860-2023</t>
        </is>
      </c>
      <c r="B10467" s="1" t="n">
        <v>45106</v>
      </c>
      <c r="C10467" s="1" t="n">
        <v>45736</v>
      </c>
      <c r="D10467" t="inlineStr">
        <is>
          <t>VÄRMLANDS LÄN</t>
        </is>
      </c>
      <c r="E10467" t="inlineStr">
        <is>
          <t>EDA</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29668-2023</t>
        </is>
      </c>
      <c r="B10468" s="1" t="n">
        <v>45107</v>
      </c>
      <c r="C10468" s="1" t="n">
        <v>45736</v>
      </c>
      <c r="D10468" t="inlineStr">
        <is>
          <t>VÄRMLANDS LÄN</t>
        </is>
      </c>
      <c r="E10468" t="inlineStr">
        <is>
          <t>FILIPSTAD</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29700-2023</t>
        </is>
      </c>
      <c r="B10469" s="1" t="n">
        <v>45107</v>
      </c>
      <c r="C10469" s="1" t="n">
        <v>45736</v>
      </c>
      <c r="D10469" t="inlineStr">
        <is>
          <t>VÄRMLANDS LÄN</t>
        </is>
      </c>
      <c r="E10469" t="inlineStr">
        <is>
          <t>ARVIKA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29729-2023</t>
        </is>
      </c>
      <c r="B10470" s="1" t="n">
        <v>45107</v>
      </c>
      <c r="C10470" s="1" t="n">
        <v>45736</v>
      </c>
      <c r="D10470" t="inlineStr">
        <is>
          <t>VÄRMLANDS LÄN</t>
        </is>
      </c>
      <c r="E10470" t="inlineStr">
        <is>
          <t>GRUMS</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29742-2023</t>
        </is>
      </c>
      <c r="B10471" s="1" t="n">
        <v>45107</v>
      </c>
      <c r="C10471" s="1" t="n">
        <v>45736</v>
      </c>
      <c r="D10471" t="inlineStr">
        <is>
          <t>VÄRMLANDS LÄN</t>
        </is>
      </c>
      <c r="E10471" t="inlineStr">
        <is>
          <t>SUNNE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29752-2023</t>
        </is>
      </c>
      <c r="B10472" s="1" t="n">
        <v>45107</v>
      </c>
      <c r="C10472" s="1" t="n">
        <v>45736</v>
      </c>
      <c r="D10472" t="inlineStr">
        <is>
          <t>VÄRMLANDS LÄN</t>
        </is>
      </c>
      <c r="E10472" t="inlineStr">
        <is>
          <t>GRUMS</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29756-2023</t>
        </is>
      </c>
      <c r="B10473" s="1" t="n">
        <v>45107</v>
      </c>
      <c r="C10473" s="1" t="n">
        <v>45736</v>
      </c>
      <c r="D10473" t="inlineStr">
        <is>
          <t>VÄRMLANDS LÄN</t>
        </is>
      </c>
      <c r="E10473" t="inlineStr">
        <is>
          <t>GRUMS</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29764-2023</t>
        </is>
      </c>
      <c r="B10474" s="1" t="n">
        <v>45107</v>
      </c>
      <c r="C10474" s="1" t="n">
        <v>45736</v>
      </c>
      <c r="D10474" t="inlineStr">
        <is>
          <t>VÄRMLANDS LÄN</t>
        </is>
      </c>
      <c r="E10474" t="inlineStr">
        <is>
          <t>GRUMS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29792-2023</t>
        </is>
      </c>
      <c r="B10475" s="1" t="n">
        <v>45107</v>
      </c>
      <c r="C10475" s="1" t="n">
        <v>45736</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29796-2023</t>
        </is>
      </c>
      <c r="B10476" s="1" t="n">
        <v>45107</v>
      </c>
      <c r="C10476" s="1" t="n">
        <v>45736</v>
      </c>
      <c r="D10476" t="inlineStr">
        <is>
          <t>VÄRMLANDS LÄN</t>
        </is>
      </c>
      <c r="E10476" t="inlineStr">
        <is>
          <t>TORSBY</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29825-2023</t>
        </is>
      </c>
      <c r="B10477" s="1" t="n">
        <v>45107</v>
      </c>
      <c r="C10477" s="1" t="n">
        <v>45736</v>
      </c>
      <c r="D10477" t="inlineStr">
        <is>
          <t>VÄRMLANDS LÄN</t>
        </is>
      </c>
      <c r="E10477" t="inlineStr">
        <is>
          <t>FILIPSTAD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29848-2023</t>
        </is>
      </c>
      <c r="B10478" s="1" t="n">
        <v>45107</v>
      </c>
      <c r="C10478" s="1" t="n">
        <v>45736</v>
      </c>
      <c r="D10478" t="inlineStr">
        <is>
          <t>VÄRMLANDS LÄN</t>
        </is>
      </c>
      <c r="E10478" t="inlineStr">
        <is>
          <t>ARVIKA</t>
        </is>
      </c>
      <c r="F10478" t="inlineStr">
        <is>
          <t>Bergvik skog väst AB</t>
        </is>
      </c>
      <c r="G10478" t="n">
        <v>11.2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29852-2023</t>
        </is>
      </c>
      <c r="B10479" s="1" t="n">
        <v>45107</v>
      </c>
      <c r="C10479" s="1" t="n">
        <v>45736</v>
      </c>
      <c r="D10479" t="inlineStr">
        <is>
          <t>VÄRMLANDS LÄN</t>
        </is>
      </c>
      <c r="E10479" t="inlineStr">
        <is>
          <t>GRUMS</t>
        </is>
      </c>
      <c r="G10479" t="n">
        <v>12.2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29736-2023</t>
        </is>
      </c>
      <c r="B10480" s="1" t="n">
        <v>45107</v>
      </c>
      <c r="C10480" s="1" t="n">
        <v>45736</v>
      </c>
      <c r="D10480" t="inlineStr">
        <is>
          <t>VÄRMLANDS LÄN</t>
        </is>
      </c>
      <c r="E10480" t="inlineStr">
        <is>
          <t>GRUMS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29762-2023</t>
        </is>
      </c>
      <c r="B10481" s="1" t="n">
        <v>45107</v>
      </c>
      <c r="C10481" s="1" t="n">
        <v>45736</v>
      </c>
      <c r="D10481" t="inlineStr">
        <is>
          <t>VÄRMLANDS LÄN</t>
        </is>
      </c>
      <c r="E10481" t="inlineStr">
        <is>
          <t>GRUMS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29855-2023</t>
        </is>
      </c>
      <c r="B10482" s="1" t="n">
        <v>45107</v>
      </c>
      <c r="C10482" s="1" t="n">
        <v>45736</v>
      </c>
      <c r="D10482" t="inlineStr">
        <is>
          <t>VÄRMLANDS LÄN</t>
        </is>
      </c>
      <c r="E10482" t="inlineStr">
        <is>
          <t>HAGFORS</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29912-2023</t>
        </is>
      </c>
      <c r="B10483" s="1" t="n">
        <v>45107</v>
      </c>
      <c r="C10483" s="1" t="n">
        <v>45736</v>
      </c>
      <c r="D10483" t="inlineStr">
        <is>
          <t>VÄRMLANDS LÄN</t>
        </is>
      </c>
      <c r="E10483" t="inlineStr">
        <is>
          <t>KRISTINEHAMN</t>
        </is>
      </c>
      <c r="F10483" t="inlineStr">
        <is>
          <t>Bergvik skog väst AB</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29839-2023</t>
        </is>
      </c>
      <c r="B10484" s="1" t="n">
        <v>45107</v>
      </c>
      <c r="C10484" s="1" t="n">
        <v>45736</v>
      </c>
      <c r="D10484" t="inlineStr">
        <is>
          <t>VÄRMLANDS LÄN</t>
        </is>
      </c>
      <c r="E10484" t="inlineStr">
        <is>
          <t>FORSHAGA</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29892-2023</t>
        </is>
      </c>
      <c r="B10485" s="1" t="n">
        <v>45107</v>
      </c>
      <c r="C10485" s="1" t="n">
        <v>45736</v>
      </c>
      <c r="D10485" t="inlineStr">
        <is>
          <t>VÄRMLANDS LÄN</t>
        </is>
      </c>
      <c r="E10485" t="inlineStr">
        <is>
          <t>KRISTINEHAMN</t>
        </is>
      </c>
      <c r="F10485" t="inlineStr">
        <is>
          <t>Bergvik skog väst AB</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29724-2023</t>
        </is>
      </c>
      <c r="B10486" s="1" t="n">
        <v>45107</v>
      </c>
      <c r="C10486" s="1" t="n">
        <v>45736</v>
      </c>
      <c r="D10486" t="inlineStr">
        <is>
          <t>VÄRMLANDS LÄN</t>
        </is>
      </c>
      <c r="E10486" t="inlineStr">
        <is>
          <t>GRUMS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29737-2023</t>
        </is>
      </c>
      <c r="B10487" s="1" t="n">
        <v>45107</v>
      </c>
      <c r="C10487" s="1" t="n">
        <v>45736</v>
      </c>
      <c r="D10487" t="inlineStr">
        <is>
          <t>VÄRMLANDS LÄN</t>
        </is>
      </c>
      <c r="E10487" t="inlineStr">
        <is>
          <t>EDA</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29741-2023</t>
        </is>
      </c>
      <c r="B10488" s="1" t="n">
        <v>45107</v>
      </c>
      <c r="C10488" s="1" t="n">
        <v>45736</v>
      </c>
      <c r="D10488" t="inlineStr">
        <is>
          <t>VÄRMLANDS LÄN</t>
        </is>
      </c>
      <c r="E10488" t="inlineStr">
        <is>
          <t>GRUMS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29746-2023</t>
        </is>
      </c>
      <c r="B10489" s="1" t="n">
        <v>45107</v>
      </c>
      <c r="C10489" s="1" t="n">
        <v>45736</v>
      </c>
      <c r="D10489" t="inlineStr">
        <is>
          <t>VÄRMLANDS LÄN</t>
        </is>
      </c>
      <c r="E10489" t="inlineStr">
        <is>
          <t>SUNNE</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29759-2023</t>
        </is>
      </c>
      <c r="B10490" s="1" t="n">
        <v>45107</v>
      </c>
      <c r="C10490" s="1" t="n">
        <v>45736</v>
      </c>
      <c r="D10490" t="inlineStr">
        <is>
          <t>VÄRMLANDS LÄN</t>
        </is>
      </c>
      <c r="E10490" t="inlineStr">
        <is>
          <t>GRUMS</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29779-2023</t>
        </is>
      </c>
      <c r="B10491" s="1" t="n">
        <v>45107</v>
      </c>
      <c r="C10491" s="1" t="n">
        <v>45736</v>
      </c>
      <c r="D10491" t="inlineStr">
        <is>
          <t>VÄRMLANDS LÄN</t>
        </is>
      </c>
      <c r="E10491" t="inlineStr">
        <is>
          <t>ARVIKA</t>
        </is>
      </c>
      <c r="F10491" t="inlineStr">
        <is>
          <t>Bergvik skog väst AB</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29795-2023</t>
        </is>
      </c>
      <c r="B10492" s="1" t="n">
        <v>45107</v>
      </c>
      <c r="C10492" s="1" t="n">
        <v>45736</v>
      </c>
      <c r="D10492" t="inlineStr">
        <is>
          <t>VÄRMLANDS LÄN</t>
        </is>
      </c>
      <c r="E10492" t="inlineStr">
        <is>
          <t>TORSBY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29851-2023</t>
        </is>
      </c>
      <c r="B10493" s="1" t="n">
        <v>45107</v>
      </c>
      <c r="C10493" s="1" t="n">
        <v>45736</v>
      </c>
      <c r="D10493" t="inlineStr">
        <is>
          <t>VÄRMLANDS LÄN</t>
        </is>
      </c>
      <c r="E10493" t="inlineStr">
        <is>
          <t>EDA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32149-2023</t>
        </is>
      </c>
      <c r="B10494" s="1" t="n">
        <v>45107</v>
      </c>
      <c r="C10494" s="1" t="n">
        <v>45736</v>
      </c>
      <c r="D10494" t="inlineStr">
        <is>
          <t>VÄRMLANDS LÄN</t>
        </is>
      </c>
      <c r="E10494" t="inlineStr">
        <is>
          <t>HAGFORS</t>
        </is>
      </c>
      <c r="G10494" t="n">
        <v>9.1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31974-2023</t>
        </is>
      </c>
      <c r="B10495" s="1" t="n">
        <v>45107</v>
      </c>
      <c r="C10495" s="1" t="n">
        <v>45736</v>
      </c>
      <c r="D10495" t="inlineStr">
        <is>
          <t>VÄRMLANDS LÄN</t>
        </is>
      </c>
      <c r="E10495" t="inlineStr">
        <is>
          <t>GRUMS</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32102-2023</t>
        </is>
      </c>
      <c r="B10496" s="1" t="n">
        <v>45107</v>
      </c>
      <c r="C10496" s="1" t="n">
        <v>45736</v>
      </c>
      <c r="D10496" t="inlineStr">
        <is>
          <t>VÄRMLANDS LÄN</t>
        </is>
      </c>
      <c r="E10496" t="inlineStr">
        <is>
          <t>SÄFFLE</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32169-2023</t>
        </is>
      </c>
      <c r="B10497" s="1" t="n">
        <v>45107</v>
      </c>
      <c r="C10497" s="1" t="n">
        <v>45736</v>
      </c>
      <c r="D10497" t="inlineStr">
        <is>
          <t>VÄRMLANDS LÄN</t>
        </is>
      </c>
      <c r="E10497" t="inlineStr">
        <is>
          <t>KARLSTAD</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31936-2023</t>
        </is>
      </c>
      <c r="B10498" s="1" t="n">
        <v>45107</v>
      </c>
      <c r="C10498" s="1" t="n">
        <v>45736</v>
      </c>
      <c r="D10498" t="inlineStr">
        <is>
          <t>VÄRMLANDS LÄN</t>
        </is>
      </c>
      <c r="E10498" t="inlineStr">
        <is>
          <t>TORSBY</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31964-2023</t>
        </is>
      </c>
      <c r="B10499" s="1" t="n">
        <v>45107</v>
      </c>
      <c r="C10499" s="1" t="n">
        <v>45736</v>
      </c>
      <c r="D10499" t="inlineStr">
        <is>
          <t>VÄRMLANDS LÄN</t>
        </is>
      </c>
      <c r="E10499" t="inlineStr">
        <is>
          <t>GRUMS</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32078-2023</t>
        </is>
      </c>
      <c r="B10500" s="1" t="n">
        <v>45107</v>
      </c>
      <c r="C10500" s="1" t="n">
        <v>45736</v>
      </c>
      <c r="D10500" t="inlineStr">
        <is>
          <t>VÄRMLANDS LÄN</t>
        </is>
      </c>
      <c r="E10500" t="inlineStr">
        <is>
          <t>SÄFFLE</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32111-2023</t>
        </is>
      </c>
      <c r="B10501" s="1" t="n">
        <v>45107</v>
      </c>
      <c r="C10501" s="1" t="n">
        <v>45736</v>
      </c>
      <c r="D10501" t="inlineStr">
        <is>
          <t>VÄRMLANDS LÄN</t>
        </is>
      </c>
      <c r="E10501" t="inlineStr">
        <is>
          <t>SÄFFLE</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32147-2023</t>
        </is>
      </c>
      <c r="B10502" s="1" t="n">
        <v>45107</v>
      </c>
      <c r="C10502" s="1" t="n">
        <v>45736</v>
      </c>
      <c r="D10502" t="inlineStr">
        <is>
          <t>VÄRMLANDS LÄN</t>
        </is>
      </c>
      <c r="E10502" t="inlineStr">
        <is>
          <t>HAGFORS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32096-2023</t>
        </is>
      </c>
      <c r="B10503" s="1" t="n">
        <v>45107</v>
      </c>
      <c r="C10503" s="1" t="n">
        <v>45736</v>
      </c>
      <c r="D10503" t="inlineStr">
        <is>
          <t>VÄRMLANDS LÄN</t>
        </is>
      </c>
      <c r="E10503" t="inlineStr">
        <is>
          <t>SÄFFLE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31985-2023</t>
        </is>
      </c>
      <c r="B10504" s="1" t="n">
        <v>45107</v>
      </c>
      <c r="C10504" s="1" t="n">
        <v>45736</v>
      </c>
      <c r="D10504" t="inlineStr">
        <is>
          <t>VÄRMLANDS LÄN</t>
        </is>
      </c>
      <c r="E10504" t="inlineStr">
        <is>
          <t>SÄFFLE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32259-2023</t>
        </is>
      </c>
      <c r="B10505" s="1" t="n">
        <v>45108</v>
      </c>
      <c r="C10505" s="1" t="n">
        <v>45736</v>
      </c>
      <c r="D10505" t="inlineStr">
        <is>
          <t>VÄRMLANDS LÄN</t>
        </is>
      </c>
      <c r="E10505" t="inlineStr">
        <is>
          <t>ÅRJÄNG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32270-2023</t>
        </is>
      </c>
      <c r="B10506" s="1" t="n">
        <v>45109</v>
      </c>
      <c r="C10506" s="1" t="n">
        <v>45736</v>
      </c>
      <c r="D10506" t="inlineStr">
        <is>
          <t>VÄRMLANDS LÄN</t>
        </is>
      </c>
      <c r="E10506" t="inlineStr">
        <is>
          <t>KIL</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32831-2023</t>
        </is>
      </c>
      <c r="B10507" s="1" t="n">
        <v>45109</v>
      </c>
      <c r="C10507" s="1" t="n">
        <v>45736</v>
      </c>
      <c r="D10507" t="inlineStr">
        <is>
          <t>VÄRMLANDS LÄN</t>
        </is>
      </c>
      <c r="E10507" t="inlineStr">
        <is>
          <t>ARVIKA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32806-2023</t>
        </is>
      </c>
      <c r="B10508" s="1" t="n">
        <v>45109</v>
      </c>
      <c r="C10508" s="1" t="n">
        <v>45736</v>
      </c>
      <c r="D10508" t="inlineStr">
        <is>
          <t>VÄRMLANDS LÄN</t>
        </is>
      </c>
      <c r="E10508" t="inlineStr">
        <is>
          <t>KIL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32842-2023</t>
        </is>
      </c>
      <c r="B10509" s="1" t="n">
        <v>45109</v>
      </c>
      <c r="C10509" s="1" t="n">
        <v>45736</v>
      </c>
      <c r="D10509" t="inlineStr">
        <is>
          <t>VÄRMLANDS LÄN</t>
        </is>
      </c>
      <c r="E10509" t="inlineStr">
        <is>
          <t>KIL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32823-2023</t>
        </is>
      </c>
      <c r="B10510" s="1" t="n">
        <v>45109</v>
      </c>
      <c r="C10510" s="1" t="n">
        <v>45736</v>
      </c>
      <c r="D10510" t="inlineStr">
        <is>
          <t>VÄRMLANDS LÄN</t>
        </is>
      </c>
      <c r="E10510" t="inlineStr">
        <is>
          <t>ARVIKA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30004-2023</t>
        </is>
      </c>
      <c r="B10511" s="1" t="n">
        <v>45109</v>
      </c>
      <c r="C10511" s="1" t="n">
        <v>45736</v>
      </c>
      <c r="D10511" t="inlineStr">
        <is>
          <t>VÄRMLANDS LÄN</t>
        </is>
      </c>
      <c r="E10511" t="inlineStr">
        <is>
          <t>ARVIKA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32839-2023</t>
        </is>
      </c>
      <c r="B10512" s="1" t="n">
        <v>45109</v>
      </c>
      <c r="C10512" s="1" t="n">
        <v>45736</v>
      </c>
      <c r="D10512" t="inlineStr">
        <is>
          <t>VÄRMLANDS LÄN</t>
        </is>
      </c>
      <c r="E10512" t="inlineStr">
        <is>
          <t>KIL</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30091-2023</t>
        </is>
      </c>
      <c r="B10513" s="1" t="n">
        <v>45110</v>
      </c>
      <c r="C10513" s="1" t="n">
        <v>45736</v>
      </c>
      <c r="D10513" t="inlineStr">
        <is>
          <t>VÄRMLANDS LÄN</t>
        </is>
      </c>
      <c r="E10513" t="inlineStr">
        <is>
          <t>KRISTINEHAMN</t>
        </is>
      </c>
      <c r="G10513" t="n">
        <v>28.2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30180-2023</t>
        </is>
      </c>
      <c r="B10514" s="1" t="n">
        <v>45110</v>
      </c>
      <c r="C10514" s="1" t="n">
        <v>45736</v>
      </c>
      <c r="D10514" t="inlineStr">
        <is>
          <t>VÄRMLANDS LÄN</t>
        </is>
      </c>
      <c r="E10514" t="inlineStr">
        <is>
          <t>HAGFORS</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30208-2023</t>
        </is>
      </c>
      <c r="B10515" s="1" t="n">
        <v>45110</v>
      </c>
      <c r="C10515" s="1" t="n">
        <v>45736</v>
      </c>
      <c r="D10515" t="inlineStr">
        <is>
          <t>VÄRMLANDS LÄN</t>
        </is>
      </c>
      <c r="E10515" t="inlineStr">
        <is>
          <t>TORSBY</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30213-2023</t>
        </is>
      </c>
      <c r="B10516" s="1" t="n">
        <v>45110</v>
      </c>
      <c r="C10516" s="1" t="n">
        <v>45736</v>
      </c>
      <c r="D10516" t="inlineStr">
        <is>
          <t>VÄRMLANDS LÄN</t>
        </is>
      </c>
      <c r="E10516" t="inlineStr">
        <is>
          <t>TORSBY</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30247-2023</t>
        </is>
      </c>
      <c r="B10517" s="1" t="n">
        <v>45110</v>
      </c>
      <c r="C10517" s="1" t="n">
        <v>45736</v>
      </c>
      <c r="D10517" t="inlineStr">
        <is>
          <t>VÄRMLANDS LÄN</t>
        </is>
      </c>
      <c r="E10517" t="inlineStr">
        <is>
          <t>EDA</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30037-2023</t>
        </is>
      </c>
      <c r="B10518" s="1" t="n">
        <v>45110</v>
      </c>
      <c r="C10518" s="1" t="n">
        <v>45736</v>
      </c>
      <c r="D10518" t="inlineStr">
        <is>
          <t>VÄRMLANDS LÄN</t>
        </is>
      </c>
      <c r="E10518" t="inlineStr">
        <is>
          <t>FILIPSTAD</t>
        </is>
      </c>
      <c r="F10518" t="inlineStr">
        <is>
          <t>Bergvik skog väst AB</t>
        </is>
      </c>
      <c r="G10518" t="n">
        <v>9.4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30100-2023</t>
        </is>
      </c>
      <c r="B10519" s="1" t="n">
        <v>45110</v>
      </c>
      <c r="C10519" s="1" t="n">
        <v>45736</v>
      </c>
      <c r="D10519" t="inlineStr">
        <is>
          <t>VÄRMLANDS LÄN</t>
        </is>
      </c>
      <c r="E10519" t="inlineStr">
        <is>
          <t>STORFORS</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30177-2023</t>
        </is>
      </c>
      <c r="B10520" s="1" t="n">
        <v>45110</v>
      </c>
      <c r="C10520" s="1" t="n">
        <v>45736</v>
      </c>
      <c r="D10520" t="inlineStr">
        <is>
          <t>VÄRMLANDS LÄN</t>
        </is>
      </c>
      <c r="E10520" t="inlineStr">
        <is>
          <t>HAGFORS</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30257-2023</t>
        </is>
      </c>
      <c r="B10521" s="1" t="n">
        <v>45110</v>
      </c>
      <c r="C10521" s="1" t="n">
        <v>45736</v>
      </c>
      <c r="D10521" t="inlineStr">
        <is>
          <t>VÄRMLANDS LÄN</t>
        </is>
      </c>
      <c r="E10521" t="inlineStr">
        <is>
          <t>EDA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30267-2023</t>
        </is>
      </c>
      <c r="B10522" s="1" t="n">
        <v>45110</v>
      </c>
      <c r="C10522" s="1" t="n">
        <v>45736</v>
      </c>
      <c r="D10522" t="inlineStr">
        <is>
          <t>VÄRMLANDS LÄN</t>
        </is>
      </c>
      <c r="E10522" t="inlineStr">
        <is>
          <t>TORSBY</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30038-2023</t>
        </is>
      </c>
      <c r="B10523" s="1" t="n">
        <v>45110</v>
      </c>
      <c r="C10523" s="1" t="n">
        <v>45736</v>
      </c>
      <c r="D10523" t="inlineStr">
        <is>
          <t>VÄRMLANDS LÄN</t>
        </is>
      </c>
      <c r="E10523" t="inlineStr">
        <is>
          <t>ÅRJÄNG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30048-2023</t>
        </is>
      </c>
      <c r="B10524" s="1" t="n">
        <v>45110</v>
      </c>
      <c r="C10524" s="1" t="n">
        <v>45736</v>
      </c>
      <c r="D10524" t="inlineStr">
        <is>
          <t>VÄRMLANDS LÄN</t>
        </is>
      </c>
      <c r="E10524" t="inlineStr">
        <is>
          <t>ÅRJÄNG</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30060-2023</t>
        </is>
      </c>
      <c r="B10525" s="1" t="n">
        <v>45110</v>
      </c>
      <c r="C10525" s="1" t="n">
        <v>45736</v>
      </c>
      <c r="D10525" t="inlineStr">
        <is>
          <t>VÄRMLANDS LÄN</t>
        </is>
      </c>
      <c r="E10525" t="inlineStr">
        <is>
          <t>KRISTINEHAMN</t>
        </is>
      </c>
      <c r="F10525" t="inlineStr">
        <is>
          <t>Bergvik skog väst AB</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30094-2023</t>
        </is>
      </c>
      <c r="B10526" s="1" t="n">
        <v>45110</v>
      </c>
      <c r="C10526" s="1" t="n">
        <v>45736</v>
      </c>
      <c r="D10526" t="inlineStr">
        <is>
          <t>VÄRMLANDS LÄN</t>
        </is>
      </c>
      <c r="E10526" t="inlineStr">
        <is>
          <t>KARLSTAD</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30099-2023</t>
        </is>
      </c>
      <c r="B10527" s="1" t="n">
        <v>45110</v>
      </c>
      <c r="C10527" s="1" t="n">
        <v>45736</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30104-2023</t>
        </is>
      </c>
      <c r="B10528" s="1" t="n">
        <v>45110</v>
      </c>
      <c r="C10528" s="1" t="n">
        <v>45736</v>
      </c>
      <c r="D10528" t="inlineStr">
        <is>
          <t>VÄRMLANDS LÄN</t>
        </is>
      </c>
      <c r="E10528" t="inlineStr">
        <is>
          <t>TORSBY</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32332-2023</t>
        </is>
      </c>
      <c r="B10529" s="1" t="n">
        <v>45110</v>
      </c>
      <c r="C10529" s="1" t="n">
        <v>45736</v>
      </c>
      <c r="D10529" t="inlineStr">
        <is>
          <t>VÄRMLANDS LÄN</t>
        </is>
      </c>
      <c r="E10529" t="inlineStr">
        <is>
          <t>TORSBY</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30160-2023</t>
        </is>
      </c>
      <c r="B10530" s="1" t="n">
        <v>45110</v>
      </c>
      <c r="C10530" s="1" t="n">
        <v>45736</v>
      </c>
      <c r="D10530" t="inlineStr">
        <is>
          <t>VÄRMLANDS LÄN</t>
        </is>
      </c>
      <c r="E10530" t="inlineStr">
        <is>
          <t>TORSBY</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30249-2023</t>
        </is>
      </c>
      <c r="B10531" s="1" t="n">
        <v>45110</v>
      </c>
      <c r="C10531" s="1" t="n">
        <v>45736</v>
      </c>
      <c r="D10531" t="inlineStr">
        <is>
          <t>VÄRMLANDS LÄN</t>
        </is>
      </c>
      <c r="E10531" t="inlineStr">
        <is>
          <t>EDA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30269-2023</t>
        </is>
      </c>
      <c r="B10532" s="1" t="n">
        <v>45110</v>
      </c>
      <c r="C10532" s="1" t="n">
        <v>45736</v>
      </c>
      <c r="D10532" t="inlineStr">
        <is>
          <t>VÄRMLANDS LÄN</t>
        </is>
      </c>
      <c r="E10532" t="inlineStr">
        <is>
          <t>TORSBY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30110-2023</t>
        </is>
      </c>
      <c r="B10533" s="1" t="n">
        <v>45110</v>
      </c>
      <c r="C10533" s="1" t="n">
        <v>45736</v>
      </c>
      <c r="D10533" t="inlineStr">
        <is>
          <t>VÄRMLANDS LÄN</t>
        </is>
      </c>
      <c r="E10533" t="inlineStr">
        <is>
          <t>TORSBY</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30207-2023</t>
        </is>
      </c>
      <c r="B10534" s="1" t="n">
        <v>45110</v>
      </c>
      <c r="C10534" s="1" t="n">
        <v>45736</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30254-2023</t>
        </is>
      </c>
      <c r="B10535" s="1" t="n">
        <v>45110</v>
      </c>
      <c r="C10535" s="1" t="n">
        <v>45736</v>
      </c>
      <c r="D10535" t="inlineStr">
        <is>
          <t>VÄRMLANDS LÄN</t>
        </is>
      </c>
      <c r="E10535" t="inlineStr">
        <is>
          <t>EDA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32414-2023</t>
        </is>
      </c>
      <c r="B10536" s="1" t="n">
        <v>45110</v>
      </c>
      <c r="C10536" s="1" t="n">
        <v>45736</v>
      </c>
      <c r="D10536" t="inlineStr">
        <is>
          <t>VÄRMLANDS LÄN</t>
        </is>
      </c>
      <c r="E10536" t="inlineStr">
        <is>
          <t>ÅRJÄNG</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32409-2023</t>
        </is>
      </c>
      <c r="B10537" s="1" t="n">
        <v>45110</v>
      </c>
      <c r="C10537" s="1" t="n">
        <v>45736</v>
      </c>
      <c r="D10537" t="inlineStr">
        <is>
          <t>VÄRMLANDS LÄN</t>
        </is>
      </c>
      <c r="E10537" t="inlineStr">
        <is>
          <t>KRISTINEHAMN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32401-2023</t>
        </is>
      </c>
      <c r="B10538" s="1" t="n">
        <v>45110</v>
      </c>
      <c r="C10538" s="1" t="n">
        <v>45736</v>
      </c>
      <c r="D10538" t="inlineStr">
        <is>
          <t>VÄRMLANDS LÄN</t>
        </is>
      </c>
      <c r="E10538" t="inlineStr">
        <is>
          <t>HAGFORS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32405-2023</t>
        </is>
      </c>
      <c r="B10539" s="1" t="n">
        <v>45110</v>
      </c>
      <c r="C10539" s="1" t="n">
        <v>45736</v>
      </c>
      <c r="D10539" t="inlineStr">
        <is>
          <t>VÄRMLANDS LÄN</t>
        </is>
      </c>
      <c r="E10539" t="inlineStr">
        <is>
          <t>SUNNE</t>
        </is>
      </c>
      <c r="F10539" t="inlineStr">
        <is>
          <t>Övriga statliga verk och myndigheter</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32404-2023</t>
        </is>
      </c>
      <c r="B10540" s="1" t="n">
        <v>45110</v>
      </c>
      <c r="C10540" s="1" t="n">
        <v>45736</v>
      </c>
      <c r="D10540" t="inlineStr">
        <is>
          <t>VÄRMLANDS LÄN</t>
        </is>
      </c>
      <c r="E10540" t="inlineStr">
        <is>
          <t>KRISTINEHAMN</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30452-2023</t>
        </is>
      </c>
      <c r="B10541" s="1" t="n">
        <v>45111</v>
      </c>
      <c r="C10541" s="1" t="n">
        <v>45736</v>
      </c>
      <c r="D10541" t="inlineStr">
        <is>
          <t>VÄRMLANDS LÄN</t>
        </is>
      </c>
      <c r="E10541" t="inlineStr">
        <is>
          <t>EDA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30500-2023</t>
        </is>
      </c>
      <c r="B10542" s="1" t="n">
        <v>45111</v>
      </c>
      <c r="C10542" s="1" t="n">
        <v>45736</v>
      </c>
      <c r="D10542" t="inlineStr">
        <is>
          <t>VÄRMLANDS LÄN</t>
        </is>
      </c>
      <c r="E10542" t="inlineStr">
        <is>
          <t>EDA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30497-2023</t>
        </is>
      </c>
      <c r="B10543" s="1" t="n">
        <v>45111</v>
      </c>
      <c r="C10543" s="1" t="n">
        <v>45736</v>
      </c>
      <c r="D10543" t="inlineStr">
        <is>
          <t>VÄRMLANDS LÄN</t>
        </is>
      </c>
      <c r="E10543" t="inlineStr">
        <is>
          <t>SUNNE</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30457-2023</t>
        </is>
      </c>
      <c r="B10544" s="1" t="n">
        <v>45111</v>
      </c>
      <c r="C10544" s="1" t="n">
        <v>45736</v>
      </c>
      <c r="D10544" t="inlineStr">
        <is>
          <t>VÄRMLANDS LÄN</t>
        </is>
      </c>
      <c r="E10544" t="inlineStr">
        <is>
          <t>ARVIKA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30530-2023</t>
        </is>
      </c>
      <c r="B10545" s="1" t="n">
        <v>45111</v>
      </c>
      <c r="C10545" s="1" t="n">
        <v>45736</v>
      </c>
      <c r="D10545" t="inlineStr">
        <is>
          <t>VÄRMLANDS LÄN</t>
        </is>
      </c>
      <c r="E10545" t="inlineStr">
        <is>
          <t>TORSBY</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30455-2023</t>
        </is>
      </c>
      <c r="B10546" s="1" t="n">
        <v>45111</v>
      </c>
      <c r="C10546" s="1" t="n">
        <v>45736</v>
      </c>
      <c r="D10546" t="inlineStr">
        <is>
          <t>VÄRMLANDS LÄN</t>
        </is>
      </c>
      <c r="E10546" t="inlineStr">
        <is>
          <t>TORSBY</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30339-2023</t>
        </is>
      </c>
      <c r="B10547" s="1" t="n">
        <v>45111</v>
      </c>
      <c r="C10547" s="1" t="n">
        <v>45736</v>
      </c>
      <c r="D10547" t="inlineStr">
        <is>
          <t>VÄRMLANDS LÄN</t>
        </is>
      </c>
      <c r="E10547" t="inlineStr">
        <is>
          <t>KARLSTAD</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30370-2023</t>
        </is>
      </c>
      <c r="B10548" s="1" t="n">
        <v>45111</v>
      </c>
      <c r="C10548" s="1" t="n">
        <v>45736</v>
      </c>
      <c r="D10548" t="inlineStr">
        <is>
          <t>VÄRMLANDS LÄN</t>
        </is>
      </c>
      <c r="E10548" t="inlineStr">
        <is>
          <t>TORSBY</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30368-2023</t>
        </is>
      </c>
      <c r="B10549" s="1" t="n">
        <v>45111</v>
      </c>
      <c r="C10549" s="1" t="n">
        <v>45736</v>
      </c>
      <c r="D10549" t="inlineStr">
        <is>
          <t>VÄRMLANDS LÄN</t>
        </is>
      </c>
      <c r="E10549" t="inlineStr">
        <is>
          <t>KARLSTAD</t>
        </is>
      </c>
      <c r="G10549" t="n">
        <v>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30533-2023</t>
        </is>
      </c>
      <c r="B10550" s="1" t="n">
        <v>45111</v>
      </c>
      <c r="C10550" s="1" t="n">
        <v>45736</v>
      </c>
      <c r="D10550" t="inlineStr">
        <is>
          <t>VÄRMLANDS LÄN</t>
        </is>
      </c>
      <c r="E10550" t="inlineStr">
        <is>
          <t>KARLSTAD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30531-2023</t>
        </is>
      </c>
      <c r="B10551" s="1" t="n">
        <v>45111</v>
      </c>
      <c r="C10551" s="1" t="n">
        <v>45736</v>
      </c>
      <c r="D10551" t="inlineStr">
        <is>
          <t>VÄRMLANDS LÄN</t>
        </is>
      </c>
      <c r="E10551" t="inlineStr">
        <is>
          <t>TORSBY</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30336-2023</t>
        </is>
      </c>
      <c r="B10552" s="1" t="n">
        <v>45111</v>
      </c>
      <c r="C10552" s="1" t="n">
        <v>45736</v>
      </c>
      <c r="D10552" t="inlineStr">
        <is>
          <t>VÄRMLANDS LÄN</t>
        </is>
      </c>
      <c r="E10552" t="inlineStr">
        <is>
          <t>HAGFORS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30344-2023</t>
        </is>
      </c>
      <c r="B10553" s="1" t="n">
        <v>45111</v>
      </c>
      <c r="C10553" s="1" t="n">
        <v>45736</v>
      </c>
      <c r="D10553" t="inlineStr">
        <is>
          <t>VÄRMLANDS LÄN</t>
        </is>
      </c>
      <c r="E10553" t="inlineStr">
        <is>
          <t>TORSBY</t>
        </is>
      </c>
      <c r="F10553" t="inlineStr">
        <is>
          <t>Bergvik skog väst AB</t>
        </is>
      </c>
      <c r="G10553" t="n">
        <v>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30347-2023</t>
        </is>
      </c>
      <c r="B10554" s="1" t="n">
        <v>45111</v>
      </c>
      <c r="C10554" s="1" t="n">
        <v>45736</v>
      </c>
      <c r="D10554" t="inlineStr">
        <is>
          <t>VÄRMLANDS LÄN</t>
        </is>
      </c>
      <c r="E10554" t="inlineStr">
        <is>
          <t>EDA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30548-2023</t>
        </is>
      </c>
      <c r="B10555" s="1" t="n">
        <v>45111</v>
      </c>
      <c r="C10555" s="1" t="n">
        <v>45736</v>
      </c>
      <c r="D10555" t="inlineStr">
        <is>
          <t>VÄRMLANDS LÄN</t>
        </is>
      </c>
      <c r="E10555" t="inlineStr">
        <is>
          <t>ÅRJÄNG</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30599-2023</t>
        </is>
      </c>
      <c r="B10556" s="1" t="n">
        <v>45112</v>
      </c>
      <c r="C10556" s="1" t="n">
        <v>45736</v>
      </c>
      <c r="D10556" t="inlineStr">
        <is>
          <t>VÄRMLANDS LÄN</t>
        </is>
      </c>
      <c r="E10556" t="inlineStr">
        <is>
          <t>KIL</t>
        </is>
      </c>
      <c r="G10556" t="n">
        <v>10.1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30670-2023</t>
        </is>
      </c>
      <c r="B10557" s="1" t="n">
        <v>45112</v>
      </c>
      <c r="C10557" s="1" t="n">
        <v>45736</v>
      </c>
      <c r="D10557" t="inlineStr">
        <is>
          <t>VÄRMLANDS LÄN</t>
        </is>
      </c>
      <c r="E10557" t="inlineStr">
        <is>
          <t>TORSBY</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30710-2023</t>
        </is>
      </c>
      <c r="B10558" s="1" t="n">
        <v>45112</v>
      </c>
      <c r="C10558" s="1" t="n">
        <v>45736</v>
      </c>
      <c r="D10558" t="inlineStr">
        <is>
          <t>VÄRMLANDS LÄN</t>
        </is>
      </c>
      <c r="E10558" t="inlineStr">
        <is>
          <t>ÅRJÄNG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30587-2023</t>
        </is>
      </c>
      <c r="B10559" s="1" t="n">
        <v>45112</v>
      </c>
      <c r="C10559" s="1" t="n">
        <v>45736</v>
      </c>
      <c r="D10559" t="inlineStr">
        <is>
          <t>VÄRMLANDS LÄN</t>
        </is>
      </c>
      <c r="E10559" t="inlineStr">
        <is>
          <t>STORFORS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30624-2023</t>
        </is>
      </c>
      <c r="B10560" s="1" t="n">
        <v>45112</v>
      </c>
      <c r="C10560" s="1" t="n">
        <v>45736</v>
      </c>
      <c r="D10560" t="inlineStr">
        <is>
          <t>VÄRMLANDS LÄN</t>
        </is>
      </c>
      <c r="E10560" t="inlineStr">
        <is>
          <t>TORSBY</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30679-2023</t>
        </is>
      </c>
      <c r="B10561" s="1" t="n">
        <v>45112</v>
      </c>
      <c r="C10561" s="1" t="n">
        <v>45736</v>
      </c>
      <c r="D10561" t="inlineStr">
        <is>
          <t>VÄRMLANDS LÄN</t>
        </is>
      </c>
      <c r="E10561" t="inlineStr">
        <is>
          <t>SUNNE</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30741-2023</t>
        </is>
      </c>
      <c r="B10562" s="1" t="n">
        <v>45112</v>
      </c>
      <c r="C10562" s="1" t="n">
        <v>45736</v>
      </c>
      <c r="D10562" t="inlineStr">
        <is>
          <t>VÄRMLANDS LÄN</t>
        </is>
      </c>
      <c r="E10562" t="inlineStr">
        <is>
          <t>TORSBY</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30712-2023</t>
        </is>
      </c>
      <c r="B10563" s="1" t="n">
        <v>45112</v>
      </c>
      <c r="C10563" s="1" t="n">
        <v>45736</v>
      </c>
      <c r="D10563" t="inlineStr">
        <is>
          <t>VÄRMLANDS LÄN</t>
        </is>
      </c>
      <c r="E10563" t="inlineStr">
        <is>
          <t>SUNNE</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30768-2023</t>
        </is>
      </c>
      <c r="B10564" s="1" t="n">
        <v>45112</v>
      </c>
      <c r="C10564" s="1" t="n">
        <v>45736</v>
      </c>
      <c r="D10564" t="inlineStr">
        <is>
          <t>VÄRMLANDS LÄN</t>
        </is>
      </c>
      <c r="E10564" t="inlineStr">
        <is>
          <t>ÅRJÄNG</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30677-2023</t>
        </is>
      </c>
      <c r="B10565" s="1" t="n">
        <v>45112</v>
      </c>
      <c r="C10565" s="1" t="n">
        <v>45736</v>
      </c>
      <c r="D10565" t="inlineStr">
        <is>
          <t>VÄRMLANDS LÄN</t>
        </is>
      </c>
      <c r="E10565" t="inlineStr">
        <is>
          <t>SUNNE</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32695-2023</t>
        </is>
      </c>
      <c r="B10566" s="1" t="n">
        <v>45112</v>
      </c>
      <c r="C10566" s="1" t="n">
        <v>45736</v>
      </c>
      <c r="D10566" t="inlineStr">
        <is>
          <t>VÄRMLANDS LÄN</t>
        </is>
      </c>
      <c r="E10566" t="inlineStr">
        <is>
          <t>HAGFORS</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32696-2023</t>
        </is>
      </c>
      <c r="B10567" s="1" t="n">
        <v>45112</v>
      </c>
      <c r="C10567" s="1" t="n">
        <v>45736</v>
      </c>
      <c r="D10567" t="inlineStr">
        <is>
          <t>VÄRMLANDS LÄN</t>
        </is>
      </c>
      <c r="E10567" t="inlineStr">
        <is>
          <t>HAGFORS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32821-2023</t>
        </is>
      </c>
      <c r="B10568" s="1" t="n">
        <v>45112</v>
      </c>
      <c r="C10568" s="1" t="n">
        <v>45736</v>
      </c>
      <c r="D10568" t="inlineStr">
        <is>
          <t>VÄRMLANDS LÄN</t>
        </is>
      </c>
      <c r="E10568" t="inlineStr">
        <is>
          <t>KRISTINEHAMN</t>
        </is>
      </c>
      <c r="F10568" t="inlineStr">
        <is>
          <t>Kommuner</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32875-2023</t>
        </is>
      </c>
      <c r="B10569" s="1" t="n">
        <v>45112</v>
      </c>
      <c r="C10569" s="1" t="n">
        <v>45736</v>
      </c>
      <c r="D10569" t="inlineStr">
        <is>
          <t>VÄRMLANDS LÄN</t>
        </is>
      </c>
      <c r="E10569" t="inlineStr">
        <is>
          <t>KARLSTAD</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32697-2023</t>
        </is>
      </c>
      <c r="B10570" s="1" t="n">
        <v>45112</v>
      </c>
      <c r="C10570" s="1" t="n">
        <v>45736</v>
      </c>
      <c r="D10570" t="inlineStr">
        <is>
          <t>VÄRMLANDS LÄN</t>
        </is>
      </c>
      <c r="E10570" t="inlineStr">
        <is>
          <t>HAGFORS</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32878-2023</t>
        </is>
      </c>
      <c r="B10571" s="1" t="n">
        <v>45112</v>
      </c>
      <c r="C10571" s="1" t="n">
        <v>45736</v>
      </c>
      <c r="D10571" t="inlineStr">
        <is>
          <t>VÄRMLANDS LÄN</t>
        </is>
      </c>
      <c r="E10571" t="inlineStr">
        <is>
          <t>KARLSTAD</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30888-2023</t>
        </is>
      </c>
      <c r="B10572" s="1" t="n">
        <v>45113</v>
      </c>
      <c r="C10572" s="1" t="n">
        <v>45736</v>
      </c>
      <c r="D10572" t="inlineStr">
        <is>
          <t>VÄRMLANDS LÄN</t>
        </is>
      </c>
      <c r="E10572" t="inlineStr">
        <is>
          <t>SUNNE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30919-2023</t>
        </is>
      </c>
      <c r="B10573" s="1" t="n">
        <v>45113</v>
      </c>
      <c r="C10573" s="1" t="n">
        <v>45736</v>
      </c>
      <c r="D10573" t="inlineStr">
        <is>
          <t>VÄRMLANDS LÄN</t>
        </is>
      </c>
      <c r="E10573" t="inlineStr">
        <is>
          <t>SÄFFLE</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30974-2023</t>
        </is>
      </c>
      <c r="B10574" s="1" t="n">
        <v>45113</v>
      </c>
      <c r="C10574" s="1" t="n">
        <v>45736</v>
      </c>
      <c r="D10574" t="inlineStr">
        <is>
          <t>VÄRMLANDS LÄN</t>
        </is>
      </c>
      <c r="E10574" t="inlineStr">
        <is>
          <t>SUNNE</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30989-2023</t>
        </is>
      </c>
      <c r="B10575" s="1" t="n">
        <v>45113</v>
      </c>
      <c r="C10575" s="1" t="n">
        <v>45736</v>
      </c>
      <c r="D10575" t="inlineStr">
        <is>
          <t>VÄRMLANDS LÄN</t>
        </is>
      </c>
      <c r="E10575" t="inlineStr">
        <is>
          <t>SUNNE</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31004-2023</t>
        </is>
      </c>
      <c r="B10576" s="1" t="n">
        <v>45113</v>
      </c>
      <c r="C10576" s="1" t="n">
        <v>45736</v>
      </c>
      <c r="D10576" t="inlineStr">
        <is>
          <t>VÄRMLANDS LÄN</t>
        </is>
      </c>
      <c r="E10576" t="inlineStr">
        <is>
          <t>ARVIKA</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30914-2023</t>
        </is>
      </c>
      <c r="B10577" s="1" t="n">
        <v>45113</v>
      </c>
      <c r="C10577" s="1" t="n">
        <v>45736</v>
      </c>
      <c r="D10577" t="inlineStr">
        <is>
          <t>VÄRMLANDS LÄN</t>
        </is>
      </c>
      <c r="E10577" t="inlineStr">
        <is>
          <t>GRUMS</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31052-2023</t>
        </is>
      </c>
      <c r="B10578" s="1" t="n">
        <v>45113</v>
      </c>
      <c r="C10578" s="1" t="n">
        <v>45736</v>
      </c>
      <c r="D10578" t="inlineStr">
        <is>
          <t>VÄRMLANDS LÄN</t>
        </is>
      </c>
      <c r="E10578" t="inlineStr">
        <is>
          <t>TORSBY</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31073-2023</t>
        </is>
      </c>
      <c r="B10579" s="1" t="n">
        <v>45113</v>
      </c>
      <c r="C10579" s="1" t="n">
        <v>45736</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31081-2023</t>
        </is>
      </c>
      <c r="B10580" s="1" t="n">
        <v>45113</v>
      </c>
      <c r="C10580" s="1" t="n">
        <v>45736</v>
      </c>
      <c r="D10580" t="inlineStr">
        <is>
          <t>VÄRMLANDS LÄN</t>
        </is>
      </c>
      <c r="E10580" t="inlineStr">
        <is>
          <t>SÄFFLE</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31086-2023</t>
        </is>
      </c>
      <c r="B10581" s="1" t="n">
        <v>45113</v>
      </c>
      <c r="C10581" s="1" t="n">
        <v>45736</v>
      </c>
      <c r="D10581" t="inlineStr">
        <is>
          <t>VÄRMLANDS LÄN</t>
        </is>
      </c>
      <c r="E10581" t="inlineStr">
        <is>
          <t>SÄFFLE</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30995-2023</t>
        </is>
      </c>
      <c r="B10582" s="1" t="n">
        <v>45113</v>
      </c>
      <c r="C10582" s="1" t="n">
        <v>45736</v>
      </c>
      <c r="D10582" t="inlineStr">
        <is>
          <t>VÄRMLANDS LÄN</t>
        </is>
      </c>
      <c r="E10582" t="inlineStr">
        <is>
          <t>MUNKFORS</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31038-2023</t>
        </is>
      </c>
      <c r="B10583" s="1" t="n">
        <v>45113</v>
      </c>
      <c r="C10583" s="1" t="n">
        <v>45736</v>
      </c>
      <c r="D10583" t="inlineStr">
        <is>
          <t>VÄRMLANDS LÄN</t>
        </is>
      </c>
      <c r="E10583" t="inlineStr">
        <is>
          <t>SUNNE</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31020-2023</t>
        </is>
      </c>
      <c r="B10584" s="1" t="n">
        <v>45113</v>
      </c>
      <c r="C10584" s="1" t="n">
        <v>45736</v>
      </c>
      <c r="D10584" t="inlineStr">
        <is>
          <t>VÄRMLANDS LÄN</t>
        </is>
      </c>
      <c r="E10584" t="inlineStr">
        <is>
          <t>FILIPSTAD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31034-2023</t>
        </is>
      </c>
      <c r="B10585" s="1" t="n">
        <v>45113</v>
      </c>
      <c r="C10585" s="1" t="n">
        <v>45736</v>
      </c>
      <c r="D10585" t="inlineStr">
        <is>
          <t>VÄRMLANDS LÄN</t>
        </is>
      </c>
      <c r="E10585" t="inlineStr">
        <is>
          <t>SUNNE</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31083-2023</t>
        </is>
      </c>
      <c r="B10586" s="1" t="n">
        <v>45113</v>
      </c>
      <c r="C10586" s="1" t="n">
        <v>45736</v>
      </c>
      <c r="D10586" t="inlineStr">
        <is>
          <t>VÄRMLANDS LÄN</t>
        </is>
      </c>
      <c r="E10586" t="inlineStr">
        <is>
          <t>ARVIKA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31089-2023</t>
        </is>
      </c>
      <c r="B10587" s="1" t="n">
        <v>45113</v>
      </c>
      <c r="C10587" s="1" t="n">
        <v>45736</v>
      </c>
      <c r="D10587" t="inlineStr">
        <is>
          <t>VÄRMLANDS LÄN</t>
        </is>
      </c>
      <c r="E10587" t="inlineStr">
        <is>
          <t>SÄFFLE</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31109-2023</t>
        </is>
      </c>
      <c r="B10588" s="1" t="n">
        <v>45113</v>
      </c>
      <c r="C10588" s="1" t="n">
        <v>45736</v>
      </c>
      <c r="D10588" t="inlineStr">
        <is>
          <t>VÄRMLANDS LÄN</t>
        </is>
      </c>
      <c r="E10588" t="inlineStr">
        <is>
          <t>SUNNE</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31053-2023</t>
        </is>
      </c>
      <c r="B10589" s="1" t="n">
        <v>45113</v>
      </c>
      <c r="C10589" s="1" t="n">
        <v>45736</v>
      </c>
      <c r="D10589" t="inlineStr">
        <is>
          <t>VÄRMLANDS LÄN</t>
        </is>
      </c>
      <c r="E10589" t="inlineStr">
        <is>
          <t>ARVIKA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31069-2023</t>
        </is>
      </c>
      <c r="B10590" s="1" t="n">
        <v>45113</v>
      </c>
      <c r="C10590" s="1" t="n">
        <v>45736</v>
      </c>
      <c r="D10590" t="inlineStr">
        <is>
          <t>VÄRMLANDS LÄN</t>
        </is>
      </c>
      <c r="E10590" t="inlineStr">
        <is>
          <t>SÄFFLE</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31097-2023</t>
        </is>
      </c>
      <c r="B10591" s="1" t="n">
        <v>45113</v>
      </c>
      <c r="C10591" s="1" t="n">
        <v>45736</v>
      </c>
      <c r="D10591" t="inlineStr">
        <is>
          <t>VÄRMLANDS LÄN</t>
        </is>
      </c>
      <c r="E10591" t="inlineStr">
        <is>
          <t>HAGFORS</t>
        </is>
      </c>
      <c r="F10591" t="inlineStr">
        <is>
          <t>Bergvik skog väst AB</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31107-2023</t>
        </is>
      </c>
      <c r="B10592" s="1" t="n">
        <v>45113</v>
      </c>
      <c r="C10592" s="1" t="n">
        <v>45736</v>
      </c>
      <c r="D10592" t="inlineStr">
        <is>
          <t>VÄRMLANDS LÄN</t>
        </is>
      </c>
      <c r="E10592" t="inlineStr">
        <is>
          <t>FILIPSTAD</t>
        </is>
      </c>
      <c r="F10592" t="inlineStr">
        <is>
          <t>Bergvik skog väst AB</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31094-2023</t>
        </is>
      </c>
      <c r="B10593" s="1" t="n">
        <v>45113</v>
      </c>
      <c r="C10593" s="1" t="n">
        <v>45736</v>
      </c>
      <c r="D10593" t="inlineStr">
        <is>
          <t>VÄRMLANDS LÄN</t>
        </is>
      </c>
      <c r="E10593" t="inlineStr">
        <is>
          <t>SUNNE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31112-2023</t>
        </is>
      </c>
      <c r="B10594" s="1" t="n">
        <v>45113</v>
      </c>
      <c r="C10594" s="1" t="n">
        <v>45736</v>
      </c>
      <c r="D10594" t="inlineStr">
        <is>
          <t>VÄRMLANDS LÄN</t>
        </is>
      </c>
      <c r="E10594" t="inlineStr">
        <is>
          <t>TORSBY</t>
        </is>
      </c>
      <c r="F10594" t="inlineStr">
        <is>
          <t>Bergvik skog väst AB</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32951-2023</t>
        </is>
      </c>
      <c r="B10595" s="1" t="n">
        <v>45113</v>
      </c>
      <c r="C10595" s="1" t="n">
        <v>45736</v>
      </c>
      <c r="D10595" t="inlineStr">
        <is>
          <t>VÄRMLANDS LÄN</t>
        </is>
      </c>
      <c r="E10595" t="inlineStr">
        <is>
          <t>ÅRJÄNG</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32949-2023</t>
        </is>
      </c>
      <c r="B10596" s="1" t="n">
        <v>45113</v>
      </c>
      <c r="C10596" s="1" t="n">
        <v>45736</v>
      </c>
      <c r="D10596" t="inlineStr">
        <is>
          <t>VÄRMLANDS LÄN</t>
        </is>
      </c>
      <c r="E10596" t="inlineStr">
        <is>
          <t>ÅRJÄNG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32991-2023</t>
        </is>
      </c>
      <c r="B10597" s="1" t="n">
        <v>45113</v>
      </c>
      <c r="C10597" s="1" t="n">
        <v>45736</v>
      </c>
      <c r="D10597" t="inlineStr">
        <is>
          <t>VÄRMLANDS LÄN</t>
        </is>
      </c>
      <c r="E10597" t="inlineStr">
        <is>
          <t>KRISTINEHAMN</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31350-2023</t>
        </is>
      </c>
      <c r="B10598" s="1" t="n">
        <v>45114</v>
      </c>
      <c r="C10598" s="1" t="n">
        <v>45736</v>
      </c>
      <c r="D10598" t="inlineStr">
        <is>
          <t>VÄRMLANDS LÄN</t>
        </is>
      </c>
      <c r="E10598" t="inlineStr">
        <is>
          <t>FILIPSTAD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31358-2023</t>
        </is>
      </c>
      <c r="B10599" s="1" t="n">
        <v>45114</v>
      </c>
      <c r="C10599" s="1" t="n">
        <v>45736</v>
      </c>
      <c r="D10599" t="inlineStr">
        <is>
          <t>VÄRMLANDS LÄN</t>
        </is>
      </c>
      <c r="E10599" t="inlineStr">
        <is>
          <t>FILIPSTAD</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31374-2023</t>
        </is>
      </c>
      <c r="B10600" s="1" t="n">
        <v>45114</v>
      </c>
      <c r="C10600" s="1" t="n">
        <v>45736</v>
      </c>
      <c r="D10600" t="inlineStr">
        <is>
          <t>VÄRMLANDS LÄN</t>
        </is>
      </c>
      <c r="E10600" t="inlineStr">
        <is>
          <t>KRISTINEHAMN</t>
        </is>
      </c>
      <c r="F10600" t="inlineStr">
        <is>
          <t>Sveaskog</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31379-2023</t>
        </is>
      </c>
      <c r="B10601" s="1" t="n">
        <v>45114</v>
      </c>
      <c r="C10601" s="1" t="n">
        <v>45736</v>
      </c>
      <c r="D10601" t="inlineStr">
        <is>
          <t>VÄRMLANDS LÄN</t>
        </is>
      </c>
      <c r="E10601" t="inlineStr">
        <is>
          <t>KRISTINEHAMN</t>
        </is>
      </c>
      <c r="F10601" t="inlineStr">
        <is>
          <t>Sveaskog</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31218-2023</t>
        </is>
      </c>
      <c r="B10602" s="1" t="n">
        <v>45114</v>
      </c>
      <c r="C10602" s="1" t="n">
        <v>45736</v>
      </c>
      <c r="D10602" t="inlineStr">
        <is>
          <t>VÄRMLANDS LÄN</t>
        </is>
      </c>
      <c r="E10602" t="inlineStr">
        <is>
          <t>EDA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31393-2023</t>
        </is>
      </c>
      <c r="B10603" s="1" t="n">
        <v>45114</v>
      </c>
      <c r="C10603" s="1" t="n">
        <v>45736</v>
      </c>
      <c r="D10603" t="inlineStr">
        <is>
          <t>VÄRMLANDS LÄN</t>
        </is>
      </c>
      <c r="E10603" t="inlineStr">
        <is>
          <t>KRISTINEHAMN</t>
        </is>
      </c>
      <c r="F10603" t="inlineStr">
        <is>
          <t>Bergvik skog väst AB</t>
        </is>
      </c>
      <c r="G10603" t="n">
        <v>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31398-2023</t>
        </is>
      </c>
      <c r="B10604" s="1" t="n">
        <v>45114</v>
      </c>
      <c r="C10604" s="1" t="n">
        <v>45736</v>
      </c>
      <c r="D10604" t="inlineStr">
        <is>
          <t>VÄRMLANDS LÄN</t>
        </is>
      </c>
      <c r="E10604" t="inlineStr">
        <is>
          <t>EDA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31306-2023</t>
        </is>
      </c>
      <c r="B10605" s="1" t="n">
        <v>45114</v>
      </c>
      <c r="C10605" s="1" t="n">
        <v>45736</v>
      </c>
      <c r="D10605" t="inlineStr">
        <is>
          <t>VÄRMLANDS LÄN</t>
        </is>
      </c>
      <c r="E10605" t="inlineStr">
        <is>
          <t>FILIPSTAD</t>
        </is>
      </c>
      <c r="F10605" t="inlineStr">
        <is>
          <t>Bergvik skog väst AB</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31339-2023</t>
        </is>
      </c>
      <c r="B10606" s="1" t="n">
        <v>45114</v>
      </c>
      <c r="C10606" s="1" t="n">
        <v>45736</v>
      </c>
      <c r="D10606" t="inlineStr">
        <is>
          <t>VÄRMLANDS LÄN</t>
        </is>
      </c>
      <c r="E10606" t="inlineStr">
        <is>
          <t>SUNNE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31451-2023</t>
        </is>
      </c>
      <c r="B10607" s="1" t="n">
        <v>45114</v>
      </c>
      <c r="C10607" s="1" t="n">
        <v>45736</v>
      </c>
      <c r="D10607" t="inlineStr">
        <is>
          <t>VÄRMLANDS LÄN</t>
        </is>
      </c>
      <c r="E10607" t="inlineStr">
        <is>
          <t>FILIPSTAD</t>
        </is>
      </c>
      <c r="F10607" t="inlineStr">
        <is>
          <t>Bergvik skog väst AB</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31373-2023</t>
        </is>
      </c>
      <c r="B10608" s="1" t="n">
        <v>45114</v>
      </c>
      <c r="C10608" s="1" t="n">
        <v>45736</v>
      </c>
      <c r="D10608" t="inlineStr">
        <is>
          <t>VÄRMLANDS LÄN</t>
        </is>
      </c>
      <c r="E10608" t="inlineStr">
        <is>
          <t>KRISTINEHAMN</t>
        </is>
      </c>
      <c r="F10608" t="inlineStr">
        <is>
          <t>Sveaskog</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31392-2023</t>
        </is>
      </c>
      <c r="B10609" s="1" t="n">
        <v>45114</v>
      </c>
      <c r="C10609" s="1" t="n">
        <v>45736</v>
      </c>
      <c r="D10609" t="inlineStr">
        <is>
          <t>VÄRMLANDS LÄN</t>
        </is>
      </c>
      <c r="E10609" t="inlineStr">
        <is>
          <t>ÅRJÄNG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31300-2023</t>
        </is>
      </c>
      <c r="B10610" s="1" t="n">
        <v>45114</v>
      </c>
      <c r="C10610" s="1" t="n">
        <v>45736</v>
      </c>
      <c r="D10610" t="inlineStr">
        <is>
          <t>VÄRMLANDS LÄN</t>
        </is>
      </c>
      <c r="E10610" t="inlineStr">
        <is>
          <t>FILIPSTAD</t>
        </is>
      </c>
      <c r="F10610" t="inlineStr">
        <is>
          <t>Bergvik skog väst AB</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31465-2023</t>
        </is>
      </c>
      <c r="B10611" s="1" t="n">
        <v>45114</v>
      </c>
      <c r="C10611" s="1" t="n">
        <v>45736</v>
      </c>
      <c r="D10611" t="inlineStr">
        <is>
          <t>VÄRMLANDS LÄN</t>
        </is>
      </c>
      <c r="E10611" t="inlineStr">
        <is>
          <t>TORSBY</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31316-2023</t>
        </is>
      </c>
      <c r="B10612" s="1" t="n">
        <v>45114</v>
      </c>
      <c r="C10612" s="1" t="n">
        <v>45736</v>
      </c>
      <c r="D10612" t="inlineStr">
        <is>
          <t>VÄRMLANDS LÄN</t>
        </is>
      </c>
      <c r="E10612" t="inlineStr">
        <is>
          <t>KARLSTAD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31322-2023</t>
        </is>
      </c>
      <c r="B10613" s="1" t="n">
        <v>45114</v>
      </c>
      <c r="C10613" s="1" t="n">
        <v>45736</v>
      </c>
      <c r="D10613" t="inlineStr">
        <is>
          <t>VÄRMLANDS LÄN</t>
        </is>
      </c>
      <c r="E10613" t="inlineStr">
        <is>
          <t>EDA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31432-2023</t>
        </is>
      </c>
      <c r="B10614" s="1" t="n">
        <v>45114</v>
      </c>
      <c r="C10614" s="1" t="n">
        <v>45736</v>
      </c>
      <c r="D10614" t="inlineStr">
        <is>
          <t>VÄRMLANDS LÄN</t>
        </is>
      </c>
      <c r="E10614" t="inlineStr">
        <is>
          <t>KRISTINEHAMN</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31342-2023</t>
        </is>
      </c>
      <c r="B10615" s="1" t="n">
        <v>45114</v>
      </c>
      <c r="C10615" s="1" t="n">
        <v>45736</v>
      </c>
      <c r="D10615" t="inlineStr">
        <is>
          <t>VÄRMLANDS LÄN</t>
        </is>
      </c>
      <c r="E10615" t="inlineStr">
        <is>
          <t>FILIPSTAD</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31372-2023</t>
        </is>
      </c>
      <c r="B10616" s="1" t="n">
        <v>45114</v>
      </c>
      <c r="C10616" s="1" t="n">
        <v>45736</v>
      </c>
      <c r="D10616" t="inlineStr">
        <is>
          <t>VÄRMLANDS LÄN</t>
        </is>
      </c>
      <c r="E10616" t="inlineStr">
        <is>
          <t>STORFORS</t>
        </is>
      </c>
      <c r="F10616" t="inlineStr">
        <is>
          <t>Bergvik skog väst AB</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31299-2023</t>
        </is>
      </c>
      <c r="B10617" s="1" t="n">
        <v>45114</v>
      </c>
      <c r="C10617" s="1" t="n">
        <v>45736</v>
      </c>
      <c r="D10617" t="inlineStr">
        <is>
          <t>VÄRMLANDS LÄN</t>
        </is>
      </c>
      <c r="E10617" t="inlineStr">
        <is>
          <t>FILIPSTAD</t>
        </is>
      </c>
      <c r="F10617" t="inlineStr">
        <is>
          <t>Bergvik skog väst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31351-2023</t>
        </is>
      </c>
      <c r="B10618" s="1" t="n">
        <v>45114</v>
      </c>
      <c r="C10618" s="1" t="n">
        <v>45736</v>
      </c>
      <c r="D10618" t="inlineStr">
        <is>
          <t>VÄRMLANDS LÄN</t>
        </is>
      </c>
      <c r="E10618" t="inlineStr">
        <is>
          <t>FILIPSTAD</t>
        </is>
      </c>
      <c r="F10618" t="inlineStr">
        <is>
          <t>Bergvik skog väst AB</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31434-2023</t>
        </is>
      </c>
      <c r="B10619" s="1" t="n">
        <v>45114</v>
      </c>
      <c r="C10619" s="1" t="n">
        <v>45736</v>
      </c>
      <c r="D10619" t="inlineStr">
        <is>
          <t>VÄRMLANDS LÄN</t>
        </is>
      </c>
      <c r="E10619" t="inlineStr">
        <is>
          <t>EDA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31452-2023</t>
        </is>
      </c>
      <c r="B10620" s="1" t="n">
        <v>45114</v>
      </c>
      <c r="C10620" s="1" t="n">
        <v>45736</v>
      </c>
      <c r="D10620" t="inlineStr">
        <is>
          <t>VÄRMLANDS LÄN</t>
        </is>
      </c>
      <c r="E10620" t="inlineStr">
        <is>
          <t>ARVIKA</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31532-2023</t>
        </is>
      </c>
      <c r="B10621" s="1" t="n">
        <v>45116</v>
      </c>
      <c r="C10621" s="1" t="n">
        <v>45736</v>
      </c>
      <c r="D10621" t="inlineStr">
        <is>
          <t>VÄRMLANDS LÄN</t>
        </is>
      </c>
      <c r="E10621" t="inlineStr">
        <is>
          <t>ARVIKA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31547-2023</t>
        </is>
      </c>
      <c r="B10622" s="1" t="n">
        <v>45117</v>
      </c>
      <c r="C10622" s="1" t="n">
        <v>45736</v>
      </c>
      <c r="D10622" t="inlineStr">
        <is>
          <t>VÄRMLANDS LÄN</t>
        </is>
      </c>
      <c r="E10622" t="inlineStr">
        <is>
          <t>TORSBY</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31615-2023</t>
        </is>
      </c>
      <c r="B10623" s="1" t="n">
        <v>45117</v>
      </c>
      <c r="C10623" s="1" t="n">
        <v>45736</v>
      </c>
      <c r="D10623" t="inlineStr">
        <is>
          <t>VÄRMLANDS LÄN</t>
        </is>
      </c>
      <c r="E10623" t="inlineStr">
        <is>
          <t>ARVIKA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31548-2023</t>
        </is>
      </c>
      <c r="B10624" s="1" t="n">
        <v>45117</v>
      </c>
      <c r="C10624" s="1" t="n">
        <v>45736</v>
      </c>
      <c r="D10624" t="inlineStr">
        <is>
          <t>VÄRMLANDS LÄN</t>
        </is>
      </c>
      <c r="E10624" t="inlineStr">
        <is>
          <t>TORSBY</t>
        </is>
      </c>
      <c r="F10624" t="inlineStr">
        <is>
          <t>Bergvik skog väst AB</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31592-2023</t>
        </is>
      </c>
      <c r="B10625" s="1" t="n">
        <v>45117</v>
      </c>
      <c r="C10625" s="1" t="n">
        <v>45736</v>
      </c>
      <c r="D10625" t="inlineStr">
        <is>
          <t>VÄRMLANDS LÄN</t>
        </is>
      </c>
      <c r="E10625" t="inlineStr">
        <is>
          <t>ÅRJÄNG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31605-2023</t>
        </is>
      </c>
      <c r="B10626" s="1" t="n">
        <v>45117</v>
      </c>
      <c r="C10626" s="1" t="n">
        <v>45736</v>
      </c>
      <c r="D10626" t="inlineStr">
        <is>
          <t>VÄRMLANDS LÄN</t>
        </is>
      </c>
      <c r="E10626" t="inlineStr">
        <is>
          <t>SUNNE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31561-2023</t>
        </is>
      </c>
      <c r="B10627" s="1" t="n">
        <v>45117</v>
      </c>
      <c r="C10627" s="1" t="n">
        <v>45736</v>
      </c>
      <c r="D10627" t="inlineStr">
        <is>
          <t>VÄRMLANDS LÄN</t>
        </is>
      </c>
      <c r="E10627" t="inlineStr">
        <is>
          <t>GRUMS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31583-2023</t>
        </is>
      </c>
      <c r="B10628" s="1" t="n">
        <v>45117</v>
      </c>
      <c r="C10628" s="1" t="n">
        <v>45736</v>
      </c>
      <c r="D10628" t="inlineStr">
        <is>
          <t>VÄRMLANDS LÄN</t>
        </is>
      </c>
      <c r="E10628" t="inlineStr">
        <is>
          <t>HAGFORS</t>
        </is>
      </c>
      <c r="F10628" t="inlineStr">
        <is>
          <t>Bergvik skog väst AB</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31602-2023</t>
        </is>
      </c>
      <c r="B10629" s="1" t="n">
        <v>45117</v>
      </c>
      <c r="C10629" s="1" t="n">
        <v>45736</v>
      </c>
      <c r="D10629" t="inlineStr">
        <is>
          <t>VÄRMLANDS LÄN</t>
        </is>
      </c>
      <c r="E10629" t="inlineStr">
        <is>
          <t>SUNNE</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31794-2023</t>
        </is>
      </c>
      <c r="B10630" s="1" t="n">
        <v>45118</v>
      </c>
      <c r="C10630" s="1" t="n">
        <v>45736</v>
      </c>
      <c r="D10630" t="inlineStr">
        <is>
          <t>VÄRMLANDS LÄN</t>
        </is>
      </c>
      <c r="E10630" t="inlineStr">
        <is>
          <t>ÅRJÄNG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31826-2023</t>
        </is>
      </c>
      <c r="B10631" s="1" t="n">
        <v>45118</v>
      </c>
      <c r="C10631" s="1" t="n">
        <v>45736</v>
      </c>
      <c r="D10631" t="inlineStr">
        <is>
          <t>VÄRMLANDS LÄN</t>
        </is>
      </c>
      <c r="E10631" t="inlineStr">
        <is>
          <t>HAGFORS</t>
        </is>
      </c>
      <c r="F10631" t="inlineStr">
        <is>
          <t>Bergvik skog väst AB</t>
        </is>
      </c>
      <c r="G10631" t="n">
        <v>16.2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31874-2023</t>
        </is>
      </c>
      <c r="B10632" s="1" t="n">
        <v>45118</v>
      </c>
      <c r="C10632" s="1" t="n">
        <v>45736</v>
      </c>
      <c r="D10632" t="inlineStr">
        <is>
          <t>VÄRMLANDS LÄN</t>
        </is>
      </c>
      <c r="E10632" t="inlineStr">
        <is>
          <t>ARVIKA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31793-2023</t>
        </is>
      </c>
      <c r="B10633" s="1" t="n">
        <v>45118</v>
      </c>
      <c r="C10633" s="1" t="n">
        <v>45736</v>
      </c>
      <c r="D10633" t="inlineStr">
        <is>
          <t>VÄRMLANDS LÄN</t>
        </is>
      </c>
      <c r="E10633" t="inlineStr">
        <is>
          <t>ÅRJÄNG</t>
        </is>
      </c>
      <c r="G10633" t="n">
        <v>10.9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33506-2023</t>
        </is>
      </c>
      <c r="B10634" s="1" t="n">
        <v>45118</v>
      </c>
      <c r="C10634" s="1" t="n">
        <v>45736</v>
      </c>
      <c r="D10634" t="inlineStr">
        <is>
          <t>VÄRMLANDS LÄN</t>
        </is>
      </c>
      <c r="E10634" t="inlineStr">
        <is>
          <t>SUNNE</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33464-2023</t>
        </is>
      </c>
      <c r="B10635" s="1" t="n">
        <v>45118</v>
      </c>
      <c r="C10635" s="1" t="n">
        <v>45736</v>
      </c>
      <c r="D10635" t="inlineStr">
        <is>
          <t>VÄRMLANDS LÄN</t>
        </is>
      </c>
      <c r="E10635" t="inlineStr">
        <is>
          <t>KRISTINEHAMN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33564-2023</t>
        </is>
      </c>
      <c r="B10636" s="1" t="n">
        <v>45118</v>
      </c>
      <c r="C10636" s="1" t="n">
        <v>45736</v>
      </c>
      <c r="D10636" t="inlineStr">
        <is>
          <t>VÄRMLANDS LÄN</t>
        </is>
      </c>
      <c r="E10636" t="inlineStr">
        <is>
          <t>KARLSTAD</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33505-2023</t>
        </is>
      </c>
      <c r="B10637" s="1" t="n">
        <v>45118</v>
      </c>
      <c r="C10637" s="1" t="n">
        <v>45736</v>
      </c>
      <c r="D10637" t="inlineStr">
        <is>
          <t>VÄRMLANDS LÄN</t>
        </is>
      </c>
      <c r="E10637" t="inlineStr">
        <is>
          <t>SUNNE</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33561-2023</t>
        </is>
      </c>
      <c r="B10638" s="1" t="n">
        <v>45118</v>
      </c>
      <c r="C10638" s="1" t="n">
        <v>45736</v>
      </c>
      <c r="D10638" t="inlineStr">
        <is>
          <t>VÄRMLANDS LÄN</t>
        </is>
      </c>
      <c r="E10638" t="inlineStr">
        <is>
          <t>KARLSTAD</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33567-2023</t>
        </is>
      </c>
      <c r="B10639" s="1" t="n">
        <v>45118</v>
      </c>
      <c r="C10639" s="1" t="n">
        <v>45736</v>
      </c>
      <c r="D10639" t="inlineStr">
        <is>
          <t>VÄRMLANDS LÄN</t>
        </is>
      </c>
      <c r="E10639" t="inlineStr">
        <is>
          <t>KARLSTAD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32134-2023</t>
        </is>
      </c>
      <c r="B10640" s="1" t="n">
        <v>45119</v>
      </c>
      <c r="C10640" s="1" t="n">
        <v>45736</v>
      </c>
      <c r="D10640" t="inlineStr">
        <is>
          <t>VÄRMLANDS LÄN</t>
        </is>
      </c>
      <c r="E10640" t="inlineStr">
        <is>
          <t>SUNNE</t>
        </is>
      </c>
      <c r="G10640" t="n">
        <v>9.300000000000001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32161-2023</t>
        </is>
      </c>
      <c r="B10641" s="1" t="n">
        <v>45119</v>
      </c>
      <c r="C10641" s="1" t="n">
        <v>45736</v>
      </c>
      <c r="D10641" t="inlineStr">
        <is>
          <t>VÄRMLANDS LÄN</t>
        </is>
      </c>
      <c r="E10641" t="inlineStr">
        <is>
          <t>KRISTINEHAMN</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32058-2023</t>
        </is>
      </c>
      <c r="B10642" s="1" t="n">
        <v>45119</v>
      </c>
      <c r="C10642" s="1" t="n">
        <v>45736</v>
      </c>
      <c r="D10642" t="inlineStr">
        <is>
          <t>VÄRMLANDS LÄN</t>
        </is>
      </c>
      <c r="E10642" t="inlineStr">
        <is>
          <t>SÄFFLE</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32162-2023</t>
        </is>
      </c>
      <c r="B10643" s="1" t="n">
        <v>45119</v>
      </c>
      <c r="C10643" s="1" t="n">
        <v>45736</v>
      </c>
      <c r="D10643" t="inlineStr">
        <is>
          <t>VÄRMLANDS LÄN</t>
        </is>
      </c>
      <c r="E10643" t="inlineStr">
        <is>
          <t>ARVIKA</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32173-2023</t>
        </is>
      </c>
      <c r="B10644" s="1" t="n">
        <v>45119</v>
      </c>
      <c r="C10644" s="1" t="n">
        <v>45736</v>
      </c>
      <c r="D10644" t="inlineStr">
        <is>
          <t>VÄRMLANDS LÄN</t>
        </is>
      </c>
      <c r="E10644" t="inlineStr">
        <is>
          <t>KARLSTAD</t>
        </is>
      </c>
      <c r="G10644" t="n">
        <v>29.2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31980-2023</t>
        </is>
      </c>
      <c r="B10645" s="1" t="n">
        <v>45119</v>
      </c>
      <c r="C10645" s="1" t="n">
        <v>45736</v>
      </c>
      <c r="D10645" t="inlineStr">
        <is>
          <t>VÄRMLANDS LÄN</t>
        </is>
      </c>
      <c r="E10645" t="inlineStr">
        <is>
          <t>FORSHAGA</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32117-2023</t>
        </is>
      </c>
      <c r="B10646" s="1" t="n">
        <v>45119</v>
      </c>
      <c r="C10646" s="1" t="n">
        <v>45736</v>
      </c>
      <c r="D10646" t="inlineStr">
        <is>
          <t>VÄRMLANDS LÄN</t>
        </is>
      </c>
      <c r="E10646" t="inlineStr">
        <is>
          <t>SUNNE</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31988-2023</t>
        </is>
      </c>
      <c r="B10647" s="1" t="n">
        <v>45119</v>
      </c>
      <c r="C10647" s="1" t="n">
        <v>45736</v>
      </c>
      <c r="D10647" t="inlineStr">
        <is>
          <t>VÄRMLANDS LÄN</t>
        </is>
      </c>
      <c r="E10647" t="inlineStr">
        <is>
          <t>SÄFFLE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32073-2023</t>
        </is>
      </c>
      <c r="B10648" s="1" t="n">
        <v>45119</v>
      </c>
      <c r="C10648" s="1" t="n">
        <v>45736</v>
      </c>
      <c r="D10648" t="inlineStr">
        <is>
          <t>VÄRMLANDS LÄN</t>
        </is>
      </c>
      <c r="E10648" t="inlineStr">
        <is>
          <t>EDA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32083-2023</t>
        </is>
      </c>
      <c r="B10649" s="1" t="n">
        <v>45119</v>
      </c>
      <c r="C10649" s="1" t="n">
        <v>45736</v>
      </c>
      <c r="D10649" t="inlineStr">
        <is>
          <t>VÄRMLANDS LÄN</t>
        </is>
      </c>
      <c r="E10649" t="inlineStr">
        <is>
          <t>HAGFORS</t>
        </is>
      </c>
      <c r="F10649" t="inlineStr">
        <is>
          <t>Bergvik skog väst AB</t>
        </is>
      </c>
      <c r="G10649" t="n">
        <v>21.9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32174-2023</t>
        </is>
      </c>
      <c r="B10650" s="1" t="n">
        <v>45119</v>
      </c>
      <c r="C10650" s="1" t="n">
        <v>45736</v>
      </c>
      <c r="D10650" t="inlineStr">
        <is>
          <t>VÄRMLANDS LÄN</t>
        </is>
      </c>
      <c r="E10650" t="inlineStr">
        <is>
          <t>KARLSTAD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33741-2023</t>
        </is>
      </c>
      <c r="B10651" s="1" t="n">
        <v>45119</v>
      </c>
      <c r="C10651" s="1" t="n">
        <v>45736</v>
      </c>
      <c r="D10651" t="inlineStr">
        <is>
          <t>VÄRMLANDS LÄN</t>
        </is>
      </c>
      <c r="E10651" t="inlineStr">
        <is>
          <t>TORSBY</t>
        </is>
      </c>
      <c r="F10651" t="inlineStr">
        <is>
          <t>Övriga Aktiebolag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33738-2023</t>
        </is>
      </c>
      <c r="B10652" s="1" t="n">
        <v>45119</v>
      </c>
      <c r="C10652" s="1" t="n">
        <v>45736</v>
      </c>
      <c r="D10652" t="inlineStr">
        <is>
          <t>VÄRMLANDS LÄN</t>
        </is>
      </c>
      <c r="E10652" t="inlineStr">
        <is>
          <t>TORSBY</t>
        </is>
      </c>
      <c r="F10652" t="inlineStr">
        <is>
          <t>Övriga Aktiebolag</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33687-2023</t>
        </is>
      </c>
      <c r="B10653" s="1" t="n">
        <v>45119</v>
      </c>
      <c r="C10653" s="1" t="n">
        <v>45736</v>
      </c>
      <c r="D10653" t="inlineStr">
        <is>
          <t>VÄRMLANDS LÄN</t>
        </is>
      </c>
      <c r="E10653" t="inlineStr">
        <is>
          <t>ÅRJÄNG</t>
        </is>
      </c>
      <c r="G10653" t="n">
        <v>7.8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33740-2023</t>
        </is>
      </c>
      <c r="B10654" s="1" t="n">
        <v>45119</v>
      </c>
      <c r="C10654" s="1" t="n">
        <v>45736</v>
      </c>
      <c r="D10654" t="inlineStr">
        <is>
          <t>VÄRMLANDS LÄN</t>
        </is>
      </c>
      <c r="E10654" t="inlineStr">
        <is>
          <t>TORSBY</t>
        </is>
      </c>
      <c r="F10654" t="inlineStr">
        <is>
          <t>Övriga Aktiebolag</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32257-2023</t>
        </is>
      </c>
      <c r="B10655" s="1" t="n">
        <v>45120</v>
      </c>
      <c r="C10655" s="1" t="n">
        <v>45736</v>
      </c>
      <c r="D10655" t="inlineStr">
        <is>
          <t>VÄRMLANDS LÄN</t>
        </is>
      </c>
      <c r="E10655" t="inlineStr">
        <is>
          <t>STORFORS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32262-2023</t>
        </is>
      </c>
      <c r="B10656" s="1" t="n">
        <v>45120</v>
      </c>
      <c r="C10656" s="1" t="n">
        <v>45736</v>
      </c>
      <c r="D10656" t="inlineStr">
        <is>
          <t>VÄRMLANDS LÄN</t>
        </is>
      </c>
      <c r="E10656" t="inlineStr">
        <is>
          <t>FILIPSTAD</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32271-2023</t>
        </is>
      </c>
      <c r="B10657" s="1" t="n">
        <v>45120</v>
      </c>
      <c r="C10657" s="1" t="n">
        <v>45736</v>
      </c>
      <c r="D10657" t="inlineStr">
        <is>
          <t>VÄRMLANDS LÄN</t>
        </is>
      </c>
      <c r="E10657" t="inlineStr">
        <is>
          <t>SÄFFLE</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32434-2023</t>
        </is>
      </c>
      <c r="B10658" s="1" t="n">
        <v>45120</v>
      </c>
      <c r="C10658" s="1" t="n">
        <v>45736</v>
      </c>
      <c r="D10658" t="inlineStr">
        <is>
          <t>VÄRMLANDS LÄN</t>
        </is>
      </c>
      <c r="E10658" t="inlineStr">
        <is>
          <t>KARLSTAD</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32376-2023</t>
        </is>
      </c>
      <c r="B10659" s="1" t="n">
        <v>45120</v>
      </c>
      <c r="C10659" s="1" t="n">
        <v>45736</v>
      </c>
      <c r="D10659" t="inlineStr">
        <is>
          <t>VÄRMLANDS LÄN</t>
        </is>
      </c>
      <c r="E10659" t="inlineStr">
        <is>
          <t>FILIPSTAD</t>
        </is>
      </c>
      <c r="F10659" t="inlineStr">
        <is>
          <t>Bergvik skog väst AB</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32433-2023</t>
        </is>
      </c>
      <c r="B10660" s="1" t="n">
        <v>45120</v>
      </c>
      <c r="C10660" s="1" t="n">
        <v>45736</v>
      </c>
      <c r="D10660" t="inlineStr">
        <is>
          <t>VÄRMLANDS LÄN</t>
        </is>
      </c>
      <c r="E10660" t="inlineStr">
        <is>
          <t>KARLSTAD</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32280-2023</t>
        </is>
      </c>
      <c r="B10661" s="1" t="n">
        <v>45120</v>
      </c>
      <c r="C10661" s="1" t="n">
        <v>45736</v>
      </c>
      <c r="D10661" t="inlineStr">
        <is>
          <t>VÄRMLANDS LÄN</t>
        </is>
      </c>
      <c r="E10661" t="inlineStr">
        <is>
          <t>ARVIKA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32367-2023</t>
        </is>
      </c>
      <c r="B10662" s="1" t="n">
        <v>45120</v>
      </c>
      <c r="C10662" s="1" t="n">
        <v>45736</v>
      </c>
      <c r="D10662" t="inlineStr">
        <is>
          <t>VÄRMLANDS LÄN</t>
        </is>
      </c>
      <c r="E10662" t="inlineStr">
        <is>
          <t>ÅRJÄNG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32373-2023</t>
        </is>
      </c>
      <c r="B10663" s="1" t="n">
        <v>45120</v>
      </c>
      <c r="C10663" s="1" t="n">
        <v>45736</v>
      </c>
      <c r="D10663" t="inlineStr">
        <is>
          <t>VÄRMLANDS LÄN</t>
        </is>
      </c>
      <c r="E10663" t="inlineStr">
        <is>
          <t>ÅRJÄNG</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32435-2023</t>
        </is>
      </c>
      <c r="B10664" s="1" t="n">
        <v>45120</v>
      </c>
      <c r="C10664" s="1" t="n">
        <v>45736</v>
      </c>
      <c r="D10664" t="inlineStr">
        <is>
          <t>VÄRMLANDS LÄN</t>
        </is>
      </c>
      <c r="E10664" t="inlineStr">
        <is>
          <t>KARLSTAD</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33765-2023</t>
        </is>
      </c>
      <c r="B10665" s="1" t="n">
        <v>45120</v>
      </c>
      <c r="C10665" s="1" t="n">
        <v>45736</v>
      </c>
      <c r="D10665" t="inlineStr">
        <is>
          <t>VÄRMLANDS LÄN</t>
        </is>
      </c>
      <c r="E10665" t="inlineStr">
        <is>
          <t>ÅRJÄNG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33782-2023</t>
        </is>
      </c>
      <c r="B10666" s="1" t="n">
        <v>45120</v>
      </c>
      <c r="C10666" s="1" t="n">
        <v>45736</v>
      </c>
      <c r="D10666" t="inlineStr">
        <is>
          <t>VÄRMLANDS LÄN</t>
        </is>
      </c>
      <c r="E10666" t="inlineStr">
        <is>
          <t>TORSBY</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33763-2023</t>
        </is>
      </c>
      <c r="B10667" s="1" t="n">
        <v>45120</v>
      </c>
      <c r="C10667" s="1" t="n">
        <v>45736</v>
      </c>
      <c r="D10667" t="inlineStr">
        <is>
          <t>VÄRMLANDS LÄN</t>
        </is>
      </c>
      <c r="E10667" t="inlineStr">
        <is>
          <t>ÅRJÄNG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33755-2023</t>
        </is>
      </c>
      <c r="B10668" s="1" t="n">
        <v>45120</v>
      </c>
      <c r="C10668" s="1" t="n">
        <v>45736</v>
      </c>
      <c r="D10668" t="inlineStr">
        <is>
          <t>VÄRMLANDS LÄN</t>
        </is>
      </c>
      <c r="E10668" t="inlineStr">
        <is>
          <t>SÄFFLE</t>
        </is>
      </c>
      <c r="G10668" t="n">
        <v>11.9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32541-2023</t>
        </is>
      </c>
      <c r="B10669" s="1" t="n">
        <v>45121</v>
      </c>
      <c r="C10669" s="1" t="n">
        <v>45736</v>
      </c>
      <c r="D10669" t="inlineStr">
        <is>
          <t>VÄRMLANDS LÄN</t>
        </is>
      </c>
      <c r="E10669" t="inlineStr">
        <is>
          <t>ÅRJÄNG</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32576-2023</t>
        </is>
      </c>
      <c r="B10670" s="1" t="n">
        <v>45121</v>
      </c>
      <c r="C10670" s="1" t="n">
        <v>45736</v>
      </c>
      <c r="D10670" t="inlineStr">
        <is>
          <t>VÄRMLANDS LÄN</t>
        </is>
      </c>
      <c r="E10670" t="inlineStr">
        <is>
          <t>TORSBY</t>
        </is>
      </c>
      <c r="F10670" t="inlineStr">
        <is>
          <t>Bergvik skog väst AB</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32613-2023</t>
        </is>
      </c>
      <c r="B10671" s="1" t="n">
        <v>45121</v>
      </c>
      <c r="C10671" s="1" t="n">
        <v>45736</v>
      </c>
      <c r="D10671" t="inlineStr">
        <is>
          <t>VÄRMLANDS LÄN</t>
        </is>
      </c>
      <c r="E10671" t="inlineStr">
        <is>
          <t>FORSHAGA</t>
        </is>
      </c>
      <c r="F10671" t="inlineStr">
        <is>
          <t>Kommuner</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32558-2023</t>
        </is>
      </c>
      <c r="B10672" s="1" t="n">
        <v>45121</v>
      </c>
      <c r="C10672" s="1" t="n">
        <v>45736</v>
      </c>
      <c r="D10672" t="inlineStr">
        <is>
          <t>VÄRMLANDS LÄN</t>
        </is>
      </c>
      <c r="E10672" t="inlineStr">
        <is>
          <t>KIL</t>
        </is>
      </c>
      <c r="F10672" t="inlineStr">
        <is>
          <t>Bergvik skog väst AB</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32584-2023</t>
        </is>
      </c>
      <c r="B10673" s="1" t="n">
        <v>45121</v>
      </c>
      <c r="C10673" s="1" t="n">
        <v>45736</v>
      </c>
      <c r="D10673" t="inlineStr">
        <is>
          <t>VÄRMLANDS LÄN</t>
        </is>
      </c>
      <c r="E10673" t="inlineStr">
        <is>
          <t>TORSBY</t>
        </is>
      </c>
      <c r="F10673" t="inlineStr">
        <is>
          <t>Bergvik skog väst AB</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32596-2023</t>
        </is>
      </c>
      <c r="B10674" s="1" t="n">
        <v>45121</v>
      </c>
      <c r="C10674" s="1" t="n">
        <v>45736</v>
      </c>
      <c r="D10674" t="inlineStr">
        <is>
          <t>VÄRMLANDS LÄN</t>
        </is>
      </c>
      <c r="E10674" t="inlineStr">
        <is>
          <t>SUNNE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32627-2023</t>
        </is>
      </c>
      <c r="B10675" s="1" t="n">
        <v>45121</v>
      </c>
      <c r="C10675" s="1" t="n">
        <v>45736</v>
      </c>
      <c r="D10675" t="inlineStr">
        <is>
          <t>VÄRMLANDS LÄN</t>
        </is>
      </c>
      <c r="E10675" t="inlineStr">
        <is>
          <t>HAGFORS</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32577-2023</t>
        </is>
      </c>
      <c r="B10676" s="1" t="n">
        <v>45121</v>
      </c>
      <c r="C10676" s="1" t="n">
        <v>45736</v>
      </c>
      <c r="D10676" t="inlineStr">
        <is>
          <t>VÄRMLANDS LÄN</t>
        </is>
      </c>
      <c r="E10676" t="inlineStr">
        <is>
          <t>ARVIKA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32599-2023</t>
        </is>
      </c>
      <c r="B10677" s="1" t="n">
        <v>45121</v>
      </c>
      <c r="C10677" s="1" t="n">
        <v>45736</v>
      </c>
      <c r="D10677" t="inlineStr">
        <is>
          <t>VÄRMLANDS LÄN</t>
        </is>
      </c>
      <c r="E10677" t="inlineStr">
        <is>
          <t>KIL</t>
        </is>
      </c>
      <c r="F10677" t="inlineStr">
        <is>
          <t>Bergvik skog väst AB</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32694-2023</t>
        </is>
      </c>
      <c r="B10678" s="1" t="n">
        <v>45121</v>
      </c>
      <c r="C10678" s="1" t="n">
        <v>45736</v>
      </c>
      <c r="D10678" t="inlineStr">
        <is>
          <t>VÄRMLANDS LÄN</t>
        </is>
      </c>
      <c r="E10678" t="inlineStr">
        <is>
          <t>FORSHAGA</t>
        </is>
      </c>
      <c r="F10678" t="inlineStr">
        <is>
          <t>Kommuner</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32680-2023</t>
        </is>
      </c>
      <c r="B10679" s="1" t="n">
        <v>45121</v>
      </c>
      <c r="C10679" s="1" t="n">
        <v>45736</v>
      </c>
      <c r="D10679" t="inlineStr">
        <is>
          <t>VÄRMLANDS LÄN</t>
        </is>
      </c>
      <c r="E10679" t="inlineStr">
        <is>
          <t>FORSHAGA</t>
        </is>
      </c>
      <c r="F10679" t="inlineStr">
        <is>
          <t>Kommuner</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33827-2023</t>
        </is>
      </c>
      <c r="B10680" s="1" t="n">
        <v>45121</v>
      </c>
      <c r="C10680" s="1" t="n">
        <v>45736</v>
      </c>
      <c r="D10680" t="inlineStr">
        <is>
          <t>VÄRMLANDS LÄN</t>
        </is>
      </c>
      <c r="E10680" t="inlineStr">
        <is>
          <t>ÅRJÄNG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33818-2023</t>
        </is>
      </c>
      <c r="B10681" s="1" t="n">
        <v>45121</v>
      </c>
      <c r="C10681" s="1" t="n">
        <v>45736</v>
      </c>
      <c r="D10681" t="inlineStr">
        <is>
          <t>VÄRMLANDS LÄN</t>
        </is>
      </c>
      <c r="E10681" t="inlineStr">
        <is>
          <t>ÅRJÄNG</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33831-2023</t>
        </is>
      </c>
      <c r="B10682" s="1" t="n">
        <v>45121</v>
      </c>
      <c r="C10682" s="1" t="n">
        <v>45736</v>
      </c>
      <c r="D10682" t="inlineStr">
        <is>
          <t>VÄRMLANDS LÄN</t>
        </is>
      </c>
      <c r="E10682" t="inlineStr">
        <is>
          <t>ÅRJÄNG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32565-2023</t>
        </is>
      </c>
      <c r="B10683" s="1" t="n">
        <v>45121</v>
      </c>
      <c r="C10683" s="1" t="n">
        <v>45736</v>
      </c>
      <c r="D10683" t="inlineStr">
        <is>
          <t>VÄRMLANDS LÄN</t>
        </is>
      </c>
      <c r="E10683" t="inlineStr">
        <is>
          <t>KRISTINEHAMN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32569-2023</t>
        </is>
      </c>
      <c r="B10684" s="1" t="n">
        <v>45121</v>
      </c>
      <c r="C10684" s="1" t="n">
        <v>45736</v>
      </c>
      <c r="D10684" t="inlineStr">
        <is>
          <t>VÄRMLANDS LÄN</t>
        </is>
      </c>
      <c r="E10684" t="inlineStr">
        <is>
          <t>KRISTINEHAMN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32601-2023</t>
        </is>
      </c>
      <c r="B10685" s="1" t="n">
        <v>45121</v>
      </c>
      <c r="C10685" s="1" t="n">
        <v>45736</v>
      </c>
      <c r="D10685" t="inlineStr">
        <is>
          <t>VÄRMLANDS LÄN</t>
        </is>
      </c>
      <c r="E10685" t="inlineStr">
        <is>
          <t>ARVIKA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32619-2023</t>
        </is>
      </c>
      <c r="B10686" s="1" t="n">
        <v>45121</v>
      </c>
      <c r="C10686" s="1" t="n">
        <v>45736</v>
      </c>
      <c r="D10686" t="inlineStr">
        <is>
          <t>VÄRMLANDS LÄN</t>
        </is>
      </c>
      <c r="E10686" t="inlineStr">
        <is>
          <t>ARVIKA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33829-2023</t>
        </is>
      </c>
      <c r="B10687" s="1" t="n">
        <v>45121</v>
      </c>
      <c r="C10687" s="1" t="n">
        <v>45736</v>
      </c>
      <c r="D10687" t="inlineStr">
        <is>
          <t>VÄRMLANDS LÄN</t>
        </is>
      </c>
      <c r="E10687" t="inlineStr">
        <is>
          <t>ÅRJÄNG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32763-2023</t>
        </is>
      </c>
      <c r="B10688" s="1" t="n">
        <v>45123</v>
      </c>
      <c r="C10688" s="1" t="n">
        <v>45736</v>
      </c>
      <c r="D10688" t="inlineStr">
        <is>
          <t>VÄRMLANDS LÄN</t>
        </is>
      </c>
      <c r="E10688" t="inlineStr">
        <is>
          <t>SÄFFLE</t>
        </is>
      </c>
      <c r="G10688" t="n">
        <v>21.6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32796-2023</t>
        </is>
      </c>
      <c r="B10689" s="1" t="n">
        <v>45124</v>
      </c>
      <c r="C10689" s="1" t="n">
        <v>45736</v>
      </c>
      <c r="D10689" t="inlineStr">
        <is>
          <t>VÄRMLANDS LÄN</t>
        </is>
      </c>
      <c r="E10689" t="inlineStr">
        <is>
          <t>FORSHAGA</t>
        </is>
      </c>
      <c r="F10689" t="inlineStr">
        <is>
          <t>Kommuner</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32801-2023</t>
        </is>
      </c>
      <c r="B10690" s="1" t="n">
        <v>45124</v>
      </c>
      <c r="C10690" s="1" t="n">
        <v>45736</v>
      </c>
      <c r="D10690" t="inlineStr">
        <is>
          <t>VÄRMLANDS LÄN</t>
        </is>
      </c>
      <c r="E10690" t="inlineStr">
        <is>
          <t>FORSHAGA</t>
        </is>
      </c>
      <c r="F10690" t="inlineStr">
        <is>
          <t>Kommuner</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32805-2023</t>
        </is>
      </c>
      <c r="B10691" s="1" t="n">
        <v>45124</v>
      </c>
      <c r="C10691" s="1" t="n">
        <v>45736</v>
      </c>
      <c r="D10691" t="inlineStr">
        <is>
          <t>VÄRMLANDS LÄN</t>
        </is>
      </c>
      <c r="E10691" t="inlineStr">
        <is>
          <t>TORSBY</t>
        </is>
      </c>
      <c r="F10691" t="inlineStr">
        <is>
          <t>Bergvik skog väst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32819-2023</t>
        </is>
      </c>
      <c r="B10692" s="1" t="n">
        <v>45124</v>
      </c>
      <c r="C10692" s="1" t="n">
        <v>45736</v>
      </c>
      <c r="D10692" t="inlineStr">
        <is>
          <t>VÄRMLANDS LÄN</t>
        </is>
      </c>
      <c r="E10692" t="inlineStr">
        <is>
          <t>TORSBY</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32850-2023</t>
        </is>
      </c>
      <c r="B10693" s="1" t="n">
        <v>45124</v>
      </c>
      <c r="C10693" s="1" t="n">
        <v>45736</v>
      </c>
      <c r="D10693" t="inlineStr">
        <is>
          <t>VÄRMLANDS LÄN</t>
        </is>
      </c>
      <c r="E10693" t="inlineStr">
        <is>
          <t>FORSHAGA</t>
        </is>
      </c>
      <c r="F10693" t="inlineStr">
        <is>
          <t>Kommuner</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32856-2023</t>
        </is>
      </c>
      <c r="B10694" s="1" t="n">
        <v>45124</v>
      </c>
      <c r="C10694" s="1" t="n">
        <v>45736</v>
      </c>
      <c r="D10694" t="inlineStr">
        <is>
          <t>VÄRMLANDS LÄN</t>
        </is>
      </c>
      <c r="E10694" t="inlineStr">
        <is>
          <t>ARVIKA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32787-2023</t>
        </is>
      </c>
      <c r="B10695" s="1" t="n">
        <v>45124</v>
      </c>
      <c r="C10695" s="1" t="n">
        <v>45736</v>
      </c>
      <c r="D10695" t="inlineStr">
        <is>
          <t>VÄRMLANDS LÄN</t>
        </is>
      </c>
      <c r="E10695" t="inlineStr">
        <is>
          <t>TORSBY</t>
        </is>
      </c>
      <c r="F10695" t="inlineStr">
        <is>
          <t>Bergvik skog väst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32795-2023</t>
        </is>
      </c>
      <c r="B10696" s="1" t="n">
        <v>45124</v>
      </c>
      <c r="C10696" s="1" t="n">
        <v>45736</v>
      </c>
      <c r="D10696" t="inlineStr">
        <is>
          <t>VÄRMLANDS LÄN</t>
        </is>
      </c>
      <c r="E10696" t="inlineStr">
        <is>
          <t>FORSHAGA</t>
        </is>
      </c>
      <c r="F10696" t="inlineStr">
        <is>
          <t>Kommuner</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32804-2023</t>
        </is>
      </c>
      <c r="B10697" s="1" t="n">
        <v>45124</v>
      </c>
      <c r="C10697" s="1" t="n">
        <v>45736</v>
      </c>
      <c r="D10697" t="inlineStr">
        <is>
          <t>VÄRMLANDS LÄN</t>
        </is>
      </c>
      <c r="E10697" t="inlineStr">
        <is>
          <t>FILIPSTAD</t>
        </is>
      </c>
      <c r="F10697" t="inlineStr">
        <is>
          <t>Bergvik skog väst AB</t>
        </is>
      </c>
      <c r="G10697" t="n">
        <v>19.5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32825-2023</t>
        </is>
      </c>
      <c r="B10698" s="1" t="n">
        <v>45124</v>
      </c>
      <c r="C10698" s="1" t="n">
        <v>45736</v>
      </c>
      <c r="D10698" t="inlineStr">
        <is>
          <t>VÄRMLANDS LÄN</t>
        </is>
      </c>
      <c r="E10698" t="inlineStr">
        <is>
          <t>FORSHAGA</t>
        </is>
      </c>
      <c r="F10698" t="inlineStr">
        <is>
          <t>Kommuner</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32830-2023</t>
        </is>
      </c>
      <c r="B10699" s="1" t="n">
        <v>45124</v>
      </c>
      <c r="C10699" s="1" t="n">
        <v>45736</v>
      </c>
      <c r="D10699" t="inlineStr">
        <is>
          <t>VÄRMLANDS LÄN</t>
        </is>
      </c>
      <c r="E10699" t="inlineStr">
        <is>
          <t>FORSHAGA</t>
        </is>
      </c>
      <c r="F10699" t="inlineStr">
        <is>
          <t>Kommuner</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32835-2023</t>
        </is>
      </c>
      <c r="B10700" s="1" t="n">
        <v>45124</v>
      </c>
      <c r="C10700" s="1" t="n">
        <v>45736</v>
      </c>
      <c r="D10700" t="inlineStr">
        <is>
          <t>VÄRMLANDS LÄN</t>
        </is>
      </c>
      <c r="E10700" t="inlineStr">
        <is>
          <t>FORSHAGA</t>
        </is>
      </c>
      <c r="F10700" t="inlineStr">
        <is>
          <t>Kommuner</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32872-2023</t>
        </is>
      </c>
      <c r="B10701" s="1" t="n">
        <v>45124</v>
      </c>
      <c r="C10701" s="1" t="n">
        <v>45736</v>
      </c>
      <c r="D10701" t="inlineStr">
        <is>
          <t>VÄRMLANDS LÄN</t>
        </is>
      </c>
      <c r="E10701" t="inlineStr">
        <is>
          <t>ARVIKA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32803-2023</t>
        </is>
      </c>
      <c r="B10702" s="1" t="n">
        <v>45124</v>
      </c>
      <c r="C10702" s="1" t="n">
        <v>45736</v>
      </c>
      <c r="D10702" t="inlineStr">
        <is>
          <t>VÄRMLANDS LÄN</t>
        </is>
      </c>
      <c r="E10702" t="inlineStr">
        <is>
          <t>FORSHAGA</t>
        </is>
      </c>
      <c r="F10702" t="inlineStr">
        <is>
          <t>Kommuner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32868-2023</t>
        </is>
      </c>
      <c r="B10703" s="1" t="n">
        <v>45124</v>
      </c>
      <c r="C10703" s="1" t="n">
        <v>45736</v>
      </c>
      <c r="D10703" t="inlineStr">
        <is>
          <t>VÄRMLANDS LÄN</t>
        </is>
      </c>
      <c r="E10703" t="inlineStr">
        <is>
          <t>ARVIKA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32896-2023</t>
        </is>
      </c>
      <c r="B10704" s="1" t="n">
        <v>45124</v>
      </c>
      <c r="C10704" s="1" t="n">
        <v>45736</v>
      </c>
      <c r="D10704" t="inlineStr">
        <is>
          <t>VÄRMLANDS LÄN</t>
        </is>
      </c>
      <c r="E10704" t="inlineStr">
        <is>
          <t>GRUMS</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33948-2023</t>
        </is>
      </c>
      <c r="B10705" s="1" t="n">
        <v>45124</v>
      </c>
      <c r="C10705" s="1" t="n">
        <v>45736</v>
      </c>
      <c r="D10705" t="inlineStr">
        <is>
          <t>VÄRMLANDS LÄN</t>
        </is>
      </c>
      <c r="E10705" t="inlineStr">
        <is>
          <t>GRUMS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33966-2023</t>
        </is>
      </c>
      <c r="B10706" s="1" t="n">
        <v>45124</v>
      </c>
      <c r="C10706" s="1" t="n">
        <v>45736</v>
      </c>
      <c r="D10706" t="inlineStr">
        <is>
          <t>VÄRMLANDS LÄN</t>
        </is>
      </c>
      <c r="E10706" t="inlineStr">
        <is>
          <t>FILIPSTAD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33973-2023</t>
        </is>
      </c>
      <c r="B10707" s="1" t="n">
        <v>45124</v>
      </c>
      <c r="C10707" s="1" t="n">
        <v>45736</v>
      </c>
      <c r="D10707" t="inlineStr">
        <is>
          <t>VÄRMLANDS LÄN</t>
        </is>
      </c>
      <c r="E10707" t="inlineStr">
        <is>
          <t>FILIPSTAD</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32815-2023</t>
        </is>
      </c>
      <c r="B10708" s="1" t="n">
        <v>45124</v>
      </c>
      <c r="C10708" s="1" t="n">
        <v>45736</v>
      </c>
      <c r="D10708" t="inlineStr">
        <is>
          <t>VÄRMLANDS LÄN</t>
        </is>
      </c>
      <c r="E10708" t="inlineStr">
        <is>
          <t>TORSBY</t>
        </is>
      </c>
      <c r="F10708" t="inlineStr">
        <is>
          <t>Bergvik skog väst AB</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32822-2023</t>
        </is>
      </c>
      <c r="B10709" s="1" t="n">
        <v>45124</v>
      </c>
      <c r="C10709" s="1" t="n">
        <v>45736</v>
      </c>
      <c r="D10709" t="inlineStr">
        <is>
          <t>VÄRMLANDS LÄN</t>
        </is>
      </c>
      <c r="E10709" t="inlineStr">
        <is>
          <t>FORSHAGA</t>
        </is>
      </c>
      <c r="F10709" t="inlineStr">
        <is>
          <t>Kommuner</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33967-2023</t>
        </is>
      </c>
      <c r="B10710" s="1" t="n">
        <v>45124</v>
      </c>
      <c r="C10710" s="1" t="n">
        <v>45736</v>
      </c>
      <c r="D10710" t="inlineStr">
        <is>
          <t>VÄRMLANDS LÄN</t>
        </is>
      </c>
      <c r="E10710" t="inlineStr">
        <is>
          <t>FILIPSTAD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32851-2023</t>
        </is>
      </c>
      <c r="B10711" s="1" t="n">
        <v>45124</v>
      </c>
      <c r="C10711" s="1" t="n">
        <v>45736</v>
      </c>
      <c r="D10711" t="inlineStr">
        <is>
          <t>VÄRMLANDS LÄN</t>
        </is>
      </c>
      <c r="E10711" t="inlineStr">
        <is>
          <t>FORSHAGA</t>
        </is>
      </c>
      <c r="F10711" t="inlineStr">
        <is>
          <t>Kommuner</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32858-2023</t>
        </is>
      </c>
      <c r="B10712" s="1" t="n">
        <v>45124</v>
      </c>
      <c r="C10712" s="1" t="n">
        <v>45736</v>
      </c>
      <c r="D10712" t="inlineStr">
        <is>
          <t>VÄRMLANDS LÄN</t>
        </is>
      </c>
      <c r="E10712" t="inlineStr">
        <is>
          <t>ARVIKA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32864-2023</t>
        </is>
      </c>
      <c r="B10713" s="1" t="n">
        <v>45124</v>
      </c>
      <c r="C10713" s="1" t="n">
        <v>45736</v>
      </c>
      <c r="D10713" t="inlineStr">
        <is>
          <t>VÄRMLANDS LÄN</t>
        </is>
      </c>
      <c r="E10713" t="inlineStr">
        <is>
          <t>ARVIKA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32869-2023</t>
        </is>
      </c>
      <c r="B10714" s="1" t="n">
        <v>45124</v>
      </c>
      <c r="C10714" s="1" t="n">
        <v>45736</v>
      </c>
      <c r="D10714" t="inlineStr">
        <is>
          <t>VÄRMLANDS LÄN</t>
        </is>
      </c>
      <c r="E10714" t="inlineStr">
        <is>
          <t>ARVIKA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33940-2023</t>
        </is>
      </c>
      <c r="B10715" s="1" t="n">
        <v>45124</v>
      </c>
      <c r="C10715" s="1" t="n">
        <v>45736</v>
      </c>
      <c r="D10715" t="inlineStr">
        <is>
          <t>VÄRMLANDS LÄN</t>
        </is>
      </c>
      <c r="E10715" t="inlineStr">
        <is>
          <t>KIL</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33971-2023</t>
        </is>
      </c>
      <c r="B10716" s="1" t="n">
        <v>45124</v>
      </c>
      <c r="C10716" s="1" t="n">
        <v>45736</v>
      </c>
      <c r="D10716" t="inlineStr">
        <is>
          <t>VÄRMLANDS LÄN</t>
        </is>
      </c>
      <c r="E10716" t="inlineStr">
        <is>
          <t>FILIPSTAD</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33969-2023</t>
        </is>
      </c>
      <c r="B10717" s="1" t="n">
        <v>45124</v>
      </c>
      <c r="C10717" s="1" t="n">
        <v>45736</v>
      </c>
      <c r="D10717" t="inlineStr">
        <is>
          <t>VÄRMLANDS LÄN</t>
        </is>
      </c>
      <c r="E10717" t="inlineStr">
        <is>
          <t>FILIPSTAD</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34055-2023</t>
        </is>
      </c>
      <c r="B10718" s="1" t="n">
        <v>45125</v>
      </c>
      <c r="C10718" s="1" t="n">
        <v>45736</v>
      </c>
      <c r="D10718" t="inlineStr">
        <is>
          <t>VÄRMLANDS LÄN</t>
        </is>
      </c>
      <c r="E10718" t="inlineStr">
        <is>
          <t>SUNNE</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32916-2023</t>
        </is>
      </c>
      <c r="B10719" s="1" t="n">
        <v>45125</v>
      </c>
      <c r="C10719" s="1" t="n">
        <v>45736</v>
      </c>
      <c r="D10719" t="inlineStr">
        <is>
          <t>VÄRMLANDS LÄN</t>
        </is>
      </c>
      <c r="E10719" t="inlineStr">
        <is>
          <t>ARVIKA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32934-2023</t>
        </is>
      </c>
      <c r="B10720" s="1" t="n">
        <v>45125</v>
      </c>
      <c r="C10720" s="1" t="n">
        <v>45736</v>
      </c>
      <c r="D10720" t="inlineStr">
        <is>
          <t>VÄRMLANDS LÄN</t>
        </is>
      </c>
      <c r="E10720" t="inlineStr">
        <is>
          <t>SUNNE</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32950-2023</t>
        </is>
      </c>
      <c r="B10721" s="1" t="n">
        <v>45125</v>
      </c>
      <c r="C10721" s="1" t="n">
        <v>45736</v>
      </c>
      <c r="D10721" t="inlineStr">
        <is>
          <t>VÄRMLANDS LÄN</t>
        </is>
      </c>
      <c r="E10721" t="inlineStr">
        <is>
          <t>STORFORS</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33758-2023</t>
        </is>
      </c>
      <c r="B10722" s="1" t="n">
        <v>45125</v>
      </c>
      <c r="C10722" s="1" t="n">
        <v>45736</v>
      </c>
      <c r="D10722" t="inlineStr">
        <is>
          <t>VÄRMLANDS LÄN</t>
        </is>
      </c>
      <c r="E10722" t="inlineStr">
        <is>
          <t>TORSBY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34049-2023</t>
        </is>
      </c>
      <c r="B10723" s="1" t="n">
        <v>45125</v>
      </c>
      <c r="C10723" s="1" t="n">
        <v>45736</v>
      </c>
      <c r="D10723" t="inlineStr">
        <is>
          <t>VÄRMLANDS LÄN</t>
        </is>
      </c>
      <c r="E10723" t="inlineStr">
        <is>
          <t>SUNNE</t>
        </is>
      </c>
      <c r="G10723" t="n">
        <v>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34059-2023</t>
        </is>
      </c>
      <c r="B10724" s="1" t="n">
        <v>45125</v>
      </c>
      <c r="C10724" s="1" t="n">
        <v>45736</v>
      </c>
      <c r="D10724" t="inlineStr">
        <is>
          <t>VÄRMLANDS LÄN</t>
        </is>
      </c>
      <c r="E10724" t="inlineStr">
        <is>
          <t>SUNNE</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32954-2023</t>
        </is>
      </c>
      <c r="B10725" s="1" t="n">
        <v>45125</v>
      </c>
      <c r="C10725" s="1" t="n">
        <v>45736</v>
      </c>
      <c r="D10725" t="inlineStr">
        <is>
          <t>VÄRMLANDS LÄN</t>
        </is>
      </c>
      <c r="E10725" t="inlineStr">
        <is>
          <t>STORFORS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33030-2023</t>
        </is>
      </c>
      <c r="B10726" s="1" t="n">
        <v>45125</v>
      </c>
      <c r="C10726" s="1" t="n">
        <v>45736</v>
      </c>
      <c r="D10726" t="inlineStr">
        <is>
          <t>VÄRMLANDS LÄN</t>
        </is>
      </c>
      <c r="E10726" t="inlineStr">
        <is>
          <t>KARLSTAD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34053-2023</t>
        </is>
      </c>
      <c r="B10727" s="1" t="n">
        <v>45125</v>
      </c>
      <c r="C10727" s="1" t="n">
        <v>45736</v>
      </c>
      <c r="D10727" t="inlineStr">
        <is>
          <t>VÄRMLANDS LÄN</t>
        </is>
      </c>
      <c r="E10727" t="inlineStr">
        <is>
          <t>SUNNE</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34062-2023</t>
        </is>
      </c>
      <c r="B10728" s="1" t="n">
        <v>45125</v>
      </c>
      <c r="C10728" s="1" t="n">
        <v>45736</v>
      </c>
      <c r="D10728" t="inlineStr">
        <is>
          <t>VÄRMLANDS LÄN</t>
        </is>
      </c>
      <c r="E10728" t="inlineStr">
        <is>
          <t>SUNNE</t>
        </is>
      </c>
      <c r="G10728" t="n">
        <v>20.1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33144-2023</t>
        </is>
      </c>
      <c r="B10729" s="1" t="n">
        <v>45126</v>
      </c>
      <c r="C10729" s="1" t="n">
        <v>45736</v>
      </c>
      <c r="D10729" t="inlineStr">
        <is>
          <t>VÄRMLANDS LÄN</t>
        </is>
      </c>
      <c r="E10729" t="inlineStr">
        <is>
          <t>KARLSTAD</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33072-2023</t>
        </is>
      </c>
      <c r="B10730" s="1" t="n">
        <v>45126</v>
      </c>
      <c r="C10730" s="1" t="n">
        <v>45736</v>
      </c>
      <c r="D10730" t="inlineStr">
        <is>
          <t>VÄRMLANDS LÄN</t>
        </is>
      </c>
      <c r="E10730" t="inlineStr">
        <is>
          <t>TORSBY</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34097-2023</t>
        </is>
      </c>
      <c r="B10731" s="1" t="n">
        <v>45126</v>
      </c>
      <c r="C10731" s="1" t="n">
        <v>45736</v>
      </c>
      <c r="D10731" t="inlineStr">
        <is>
          <t>VÄRMLANDS LÄN</t>
        </is>
      </c>
      <c r="E10731" t="inlineStr">
        <is>
          <t>TORSBY</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33147-2023</t>
        </is>
      </c>
      <c r="B10732" s="1" t="n">
        <v>45126</v>
      </c>
      <c r="C10732" s="1" t="n">
        <v>45736</v>
      </c>
      <c r="D10732" t="inlineStr">
        <is>
          <t>VÄRMLANDS LÄN</t>
        </is>
      </c>
      <c r="E10732" t="inlineStr">
        <is>
          <t>KARLSTAD</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34104-2023</t>
        </is>
      </c>
      <c r="B10733" s="1" t="n">
        <v>45126</v>
      </c>
      <c r="C10733" s="1" t="n">
        <v>45736</v>
      </c>
      <c r="D10733" t="inlineStr">
        <is>
          <t>VÄRMLANDS LÄN</t>
        </is>
      </c>
      <c r="E10733" t="inlineStr">
        <is>
          <t>TORSBY</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34105-2023</t>
        </is>
      </c>
      <c r="B10734" s="1" t="n">
        <v>45126</v>
      </c>
      <c r="C10734" s="1" t="n">
        <v>45736</v>
      </c>
      <c r="D10734" t="inlineStr">
        <is>
          <t>VÄRMLANDS LÄN</t>
        </is>
      </c>
      <c r="E10734" t="inlineStr">
        <is>
          <t>TORSBY</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33252-2023</t>
        </is>
      </c>
      <c r="B10735" s="1" t="n">
        <v>45127</v>
      </c>
      <c r="C10735" s="1" t="n">
        <v>45736</v>
      </c>
      <c r="D10735" t="inlineStr">
        <is>
          <t>VÄRMLANDS LÄN</t>
        </is>
      </c>
      <c r="E10735" t="inlineStr">
        <is>
          <t>SÄFFLE</t>
        </is>
      </c>
      <c r="G10735" t="n">
        <v>10.6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33218-2023</t>
        </is>
      </c>
      <c r="B10736" s="1" t="n">
        <v>45127</v>
      </c>
      <c r="C10736" s="1" t="n">
        <v>45736</v>
      </c>
      <c r="D10736" t="inlineStr">
        <is>
          <t>VÄRMLANDS LÄN</t>
        </is>
      </c>
      <c r="E10736" t="inlineStr">
        <is>
          <t>FORSHAGA</t>
        </is>
      </c>
      <c r="F10736" t="inlineStr">
        <is>
          <t>Kommuner</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33227-2023</t>
        </is>
      </c>
      <c r="B10737" s="1" t="n">
        <v>45127</v>
      </c>
      <c r="C10737" s="1" t="n">
        <v>45736</v>
      </c>
      <c r="D10737" t="inlineStr">
        <is>
          <t>VÄRMLANDS LÄN</t>
        </is>
      </c>
      <c r="E10737" t="inlineStr">
        <is>
          <t>FORSHAGA</t>
        </is>
      </c>
      <c r="F10737" t="inlineStr">
        <is>
          <t>Kommuner</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33219-2023</t>
        </is>
      </c>
      <c r="B10738" s="1" t="n">
        <v>45127</v>
      </c>
      <c r="C10738" s="1" t="n">
        <v>45736</v>
      </c>
      <c r="D10738" t="inlineStr">
        <is>
          <t>VÄRMLANDS LÄN</t>
        </is>
      </c>
      <c r="E10738" t="inlineStr">
        <is>
          <t>FORSHAGA</t>
        </is>
      </c>
      <c r="F10738" t="inlineStr">
        <is>
          <t>Kommuner</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33224-2023</t>
        </is>
      </c>
      <c r="B10739" s="1" t="n">
        <v>45127</v>
      </c>
      <c r="C10739" s="1" t="n">
        <v>45736</v>
      </c>
      <c r="D10739" t="inlineStr">
        <is>
          <t>VÄRMLANDS LÄN</t>
        </is>
      </c>
      <c r="E10739" t="inlineStr">
        <is>
          <t>FORSHAGA</t>
        </is>
      </c>
      <c r="F10739" t="inlineStr">
        <is>
          <t>Kommuner</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33229-2023</t>
        </is>
      </c>
      <c r="B10740" s="1" t="n">
        <v>45127</v>
      </c>
      <c r="C10740" s="1" t="n">
        <v>45736</v>
      </c>
      <c r="D10740" t="inlineStr">
        <is>
          <t>VÄRMLANDS LÄN</t>
        </is>
      </c>
      <c r="E10740" t="inlineStr">
        <is>
          <t>FORSHAGA</t>
        </is>
      </c>
      <c r="F10740" t="inlineStr">
        <is>
          <t>Kommuner</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33263-2023</t>
        </is>
      </c>
      <c r="B10741" s="1" t="n">
        <v>45127</v>
      </c>
      <c r="C10741" s="1" t="n">
        <v>45736</v>
      </c>
      <c r="D10741" t="inlineStr">
        <is>
          <t>VÄRMLANDS LÄN</t>
        </is>
      </c>
      <c r="E10741" t="inlineStr">
        <is>
          <t>TORSBY</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33245-2023</t>
        </is>
      </c>
      <c r="B10742" s="1" t="n">
        <v>45127</v>
      </c>
      <c r="C10742" s="1" t="n">
        <v>45736</v>
      </c>
      <c r="D10742" t="inlineStr">
        <is>
          <t>VÄRMLANDS LÄN</t>
        </is>
      </c>
      <c r="E10742" t="inlineStr">
        <is>
          <t>SÄFFLE</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33269-2023</t>
        </is>
      </c>
      <c r="B10743" s="1" t="n">
        <v>45127</v>
      </c>
      <c r="C10743" s="1" t="n">
        <v>45736</v>
      </c>
      <c r="D10743" t="inlineStr">
        <is>
          <t>VÄRMLANDS LÄN</t>
        </is>
      </c>
      <c r="E10743" t="inlineStr">
        <is>
          <t>KARLSTAD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33222-2023</t>
        </is>
      </c>
      <c r="B10744" s="1" t="n">
        <v>45127</v>
      </c>
      <c r="C10744" s="1" t="n">
        <v>45736</v>
      </c>
      <c r="D10744" t="inlineStr">
        <is>
          <t>VÄRMLANDS LÄN</t>
        </is>
      </c>
      <c r="E10744" t="inlineStr">
        <is>
          <t>FORSHAGA</t>
        </is>
      </c>
      <c r="F10744" t="inlineStr">
        <is>
          <t>Kommuner</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33249-2023</t>
        </is>
      </c>
      <c r="B10745" s="1" t="n">
        <v>45127</v>
      </c>
      <c r="C10745" s="1" t="n">
        <v>45736</v>
      </c>
      <c r="D10745" t="inlineStr">
        <is>
          <t>VÄRMLANDS LÄN</t>
        </is>
      </c>
      <c r="E10745" t="inlineStr">
        <is>
          <t>TORSBY</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33253-2023</t>
        </is>
      </c>
      <c r="B10746" s="1" t="n">
        <v>45127</v>
      </c>
      <c r="C10746" s="1" t="n">
        <v>45736</v>
      </c>
      <c r="D10746" t="inlineStr">
        <is>
          <t>VÄRMLANDS LÄN</t>
        </is>
      </c>
      <c r="E10746" t="inlineStr">
        <is>
          <t>TORSBY</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33264-2023</t>
        </is>
      </c>
      <c r="B10747" s="1" t="n">
        <v>45127</v>
      </c>
      <c r="C10747" s="1" t="n">
        <v>45736</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33268-2023</t>
        </is>
      </c>
      <c r="B10748" s="1" t="n">
        <v>45127</v>
      </c>
      <c r="C10748" s="1" t="n">
        <v>45736</v>
      </c>
      <c r="D10748" t="inlineStr">
        <is>
          <t>VÄRMLANDS LÄN</t>
        </is>
      </c>
      <c r="E10748" t="inlineStr">
        <is>
          <t>TORSBY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34230-2023</t>
        </is>
      </c>
      <c r="B10749" s="1" t="n">
        <v>45127</v>
      </c>
      <c r="C10749" s="1" t="n">
        <v>45736</v>
      </c>
      <c r="D10749" t="inlineStr">
        <is>
          <t>VÄRMLANDS LÄN</t>
        </is>
      </c>
      <c r="E10749" t="inlineStr">
        <is>
          <t>KRISTINEHAMN</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33421-2023</t>
        </is>
      </c>
      <c r="B10750" s="1" t="n">
        <v>45128</v>
      </c>
      <c r="C10750" s="1" t="n">
        <v>45736</v>
      </c>
      <c r="D10750" t="inlineStr">
        <is>
          <t>VÄRMLANDS LÄN</t>
        </is>
      </c>
      <c r="E10750" t="inlineStr">
        <is>
          <t>EDA</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33515-2023</t>
        </is>
      </c>
      <c r="B10751" s="1" t="n">
        <v>45131</v>
      </c>
      <c r="C10751" s="1" t="n">
        <v>45736</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33477-2023</t>
        </is>
      </c>
      <c r="B10752" s="1" t="n">
        <v>45131</v>
      </c>
      <c r="C10752" s="1" t="n">
        <v>45736</v>
      </c>
      <c r="D10752" t="inlineStr">
        <is>
          <t>VÄRMLANDS LÄN</t>
        </is>
      </c>
      <c r="E10752" t="inlineStr">
        <is>
          <t>ARVIKA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33525-2023</t>
        </is>
      </c>
      <c r="B10753" s="1" t="n">
        <v>45131</v>
      </c>
      <c r="C10753" s="1" t="n">
        <v>45736</v>
      </c>
      <c r="D10753" t="inlineStr">
        <is>
          <t>VÄRMLANDS LÄN</t>
        </is>
      </c>
      <c r="E10753" t="inlineStr">
        <is>
          <t>ÅRJÄNG</t>
        </is>
      </c>
      <c r="G10753" t="n">
        <v>10.2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33574-2023</t>
        </is>
      </c>
      <c r="B10754" s="1" t="n">
        <v>45131</v>
      </c>
      <c r="C10754" s="1" t="n">
        <v>45736</v>
      </c>
      <c r="D10754" t="inlineStr">
        <is>
          <t>VÄRMLANDS LÄN</t>
        </is>
      </c>
      <c r="E10754" t="inlineStr">
        <is>
          <t>TORSBY</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33511-2023</t>
        </is>
      </c>
      <c r="B10755" s="1" t="n">
        <v>45131</v>
      </c>
      <c r="C10755" s="1" t="n">
        <v>45736</v>
      </c>
      <c r="D10755" t="inlineStr">
        <is>
          <t>VÄRMLANDS LÄN</t>
        </is>
      </c>
      <c r="E10755" t="inlineStr">
        <is>
          <t>KARLSTAD</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34347-2023</t>
        </is>
      </c>
      <c r="B10756" s="1" t="n">
        <v>45131</v>
      </c>
      <c r="C10756" s="1" t="n">
        <v>45736</v>
      </c>
      <c r="D10756" t="inlineStr">
        <is>
          <t>VÄRMLANDS LÄN</t>
        </is>
      </c>
      <c r="E10756" t="inlineStr">
        <is>
          <t>ARVIKA</t>
        </is>
      </c>
      <c r="F10756" t="inlineStr">
        <is>
          <t>Övriga Aktiebolag</t>
        </is>
      </c>
      <c r="G10756" t="n">
        <v>22.7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34380-2023</t>
        </is>
      </c>
      <c r="B10757" s="1" t="n">
        <v>45131</v>
      </c>
      <c r="C10757" s="1" t="n">
        <v>45736</v>
      </c>
      <c r="D10757" t="inlineStr">
        <is>
          <t>VÄRMLANDS LÄN</t>
        </is>
      </c>
      <c r="E10757" t="inlineStr">
        <is>
          <t>SUNNE</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34375-2023</t>
        </is>
      </c>
      <c r="B10758" s="1" t="n">
        <v>45131</v>
      </c>
      <c r="C10758" s="1" t="n">
        <v>45736</v>
      </c>
      <c r="D10758" t="inlineStr">
        <is>
          <t>VÄRMLANDS LÄN</t>
        </is>
      </c>
      <c r="E10758" t="inlineStr">
        <is>
          <t>SUNNE</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34366-2023</t>
        </is>
      </c>
      <c r="B10759" s="1" t="n">
        <v>45131</v>
      </c>
      <c r="C10759" s="1" t="n">
        <v>45736</v>
      </c>
      <c r="D10759" t="inlineStr">
        <is>
          <t>VÄRMLANDS LÄN</t>
        </is>
      </c>
      <c r="E10759" t="inlineStr">
        <is>
          <t>SUNNE</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33575-2023</t>
        </is>
      </c>
      <c r="B10760" s="1" t="n">
        <v>45131</v>
      </c>
      <c r="C10760" s="1" t="n">
        <v>45736</v>
      </c>
      <c r="D10760" t="inlineStr">
        <is>
          <t>VÄRMLANDS LÄN</t>
        </is>
      </c>
      <c r="E10760" t="inlineStr">
        <is>
          <t>EDA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34374-2023</t>
        </is>
      </c>
      <c r="B10761" s="1" t="n">
        <v>45131</v>
      </c>
      <c r="C10761" s="1" t="n">
        <v>45736</v>
      </c>
      <c r="D10761" t="inlineStr">
        <is>
          <t>VÄRMLANDS LÄN</t>
        </is>
      </c>
      <c r="E10761" t="inlineStr">
        <is>
          <t>SUNNE</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33631-2023</t>
        </is>
      </c>
      <c r="B10762" s="1" t="n">
        <v>45132</v>
      </c>
      <c r="C10762" s="1" t="n">
        <v>45736</v>
      </c>
      <c r="D10762" t="inlineStr">
        <is>
          <t>VÄRMLANDS LÄN</t>
        </is>
      </c>
      <c r="E10762" t="inlineStr">
        <is>
          <t>SUNNE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33645-2023</t>
        </is>
      </c>
      <c r="B10763" s="1" t="n">
        <v>45132</v>
      </c>
      <c r="C10763" s="1" t="n">
        <v>45736</v>
      </c>
      <c r="D10763" t="inlineStr">
        <is>
          <t>VÄRMLANDS LÄN</t>
        </is>
      </c>
      <c r="E10763" t="inlineStr">
        <is>
          <t>TORSBY</t>
        </is>
      </c>
      <c r="F10763" t="inlineStr">
        <is>
          <t>Bergvik skog väst AB</t>
        </is>
      </c>
      <c r="G10763" t="n">
        <v>12.4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33656-2023</t>
        </is>
      </c>
      <c r="B10764" s="1" t="n">
        <v>45132</v>
      </c>
      <c r="C10764" s="1" t="n">
        <v>45736</v>
      </c>
      <c r="D10764" t="inlineStr">
        <is>
          <t>VÄRMLANDS LÄN</t>
        </is>
      </c>
      <c r="E10764" t="inlineStr">
        <is>
          <t>TORSBY</t>
        </is>
      </c>
      <c r="F10764" t="inlineStr">
        <is>
          <t>Bergvik skog väst AB</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33652-2023</t>
        </is>
      </c>
      <c r="B10765" s="1" t="n">
        <v>45132</v>
      </c>
      <c r="C10765" s="1" t="n">
        <v>45736</v>
      </c>
      <c r="D10765" t="inlineStr">
        <is>
          <t>VÄRMLANDS LÄN</t>
        </is>
      </c>
      <c r="E10765" t="inlineStr">
        <is>
          <t>GRUMS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34404-2023</t>
        </is>
      </c>
      <c r="B10766" s="1" t="n">
        <v>45132</v>
      </c>
      <c r="C10766" s="1" t="n">
        <v>45736</v>
      </c>
      <c r="D10766" t="inlineStr">
        <is>
          <t>VÄRMLANDS LÄN</t>
        </is>
      </c>
      <c r="E10766" t="inlineStr">
        <is>
          <t>HAGFORS</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34400-2023</t>
        </is>
      </c>
      <c r="B10767" s="1" t="n">
        <v>45132</v>
      </c>
      <c r="C10767" s="1" t="n">
        <v>45736</v>
      </c>
      <c r="D10767" t="inlineStr">
        <is>
          <t>VÄRMLANDS LÄN</t>
        </is>
      </c>
      <c r="E10767" t="inlineStr">
        <is>
          <t>ARVIKA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33813-2023</t>
        </is>
      </c>
      <c r="B10768" s="1" t="n">
        <v>45133</v>
      </c>
      <c r="C10768" s="1" t="n">
        <v>45736</v>
      </c>
      <c r="D10768" t="inlineStr">
        <is>
          <t>VÄRMLANDS LÄN</t>
        </is>
      </c>
      <c r="E10768" t="inlineStr">
        <is>
          <t>TORSBY</t>
        </is>
      </c>
      <c r="F10768" t="inlineStr">
        <is>
          <t>Bergvik skog väst AB</t>
        </is>
      </c>
      <c r="G10768" t="n">
        <v>10.3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33839-2023</t>
        </is>
      </c>
      <c r="B10769" s="1" t="n">
        <v>45133</v>
      </c>
      <c r="C10769" s="1" t="n">
        <v>45736</v>
      </c>
      <c r="D10769" t="inlineStr">
        <is>
          <t>VÄRMLANDS LÄN</t>
        </is>
      </c>
      <c r="E10769" t="inlineStr">
        <is>
          <t>TORSBY</t>
        </is>
      </c>
      <c r="F10769" t="inlineStr">
        <is>
          <t>Bergvik skog väst AB</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33851-2023</t>
        </is>
      </c>
      <c r="B10770" s="1" t="n">
        <v>45133</v>
      </c>
      <c r="C10770" s="1" t="n">
        <v>45736</v>
      </c>
      <c r="D10770" t="inlineStr">
        <is>
          <t>VÄRMLANDS LÄN</t>
        </is>
      </c>
      <c r="E10770" t="inlineStr">
        <is>
          <t>ARVIKA</t>
        </is>
      </c>
      <c r="G10770" t="n">
        <v>8.800000000000001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33848-2023</t>
        </is>
      </c>
      <c r="B10771" s="1" t="n">
        <v>45133</v>
      </c>
      <c r="C10771" s="1" t="n">
        <v>45736</v>
      </c>
      <c r="D10771" t="inlineStr">
        <is>
          <t>VÄRMLANDS LÄN</t>
        </is>
      </c>
      <c r="E10771" t="inlineStr">
        <is>
          <t>TORSBY</t>
        </is>
      </c>
      <c r="F10771" t="inlineStr">
        <is>
          <t>Bergvik skog väst AB</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33857-2023</t>
        </is>
      </c>
      <c r="B10772" s="1" t="n">
        <v>45133</v>
      </c>
      <c r="C10772" s="1" t="n">
        <v>45736</v>
      </c>
      <c r="D10772" t="inlineStr">
        <is>
          <t>VÄRMLANDS LÄN</t>
        </is>
      </c>
      <c r="E10772" t="inlineStr">
        <is>
          <t>SÄFFLE</t>
        </is>
      </c>
      <c r="G10772" t="n">
        <v>29.5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34512-2023</t>
        </is>
      </c>
      <c r="B10773" s="1" t="n">
        <v>45133</v>
      </c>
      <c r="C10773" s="1" t="n">
        <v>45736</v>
      </c>
      <c r="D10773" t="inlineStr">
        <is>
          <t>VÄRMLANDS LÄN</t>
        </is>
      </c>
      <c r="E10773" t="inlineStr">
        <is>
          <t>FILIPSTAD</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33968-2023</t>
        </is>
      </c>
      <c r="B10774" s="1" t="n">
        <v>45134</v>
      </c>
      <c r="C10774" s="1" t="n">
        <v>45736</v>
      </c>
      <c r="D10774" t="inlineStr">
        <is>
          <t>VÄRMLANDS LÄN</t>
        </is>
      </c>
      <c r="E10774" t="inlineStr">
        <is>
          <t>EDA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34122-2023</t>
        </is>
      </c>
      <c r="B10775" s="1" t="n">
        <v>45135</v>
      </c>
      <c r="C10775" s="1" t="n">
        <v>45736</v>
      </c>
      <c r="D10775" t="inlineStr">
        <is>
          <t>VÄRMLANDS LÄN</t>
        </is>
      </c>
      <c r="E10775" t="inlineStr">
        <is>
          <t>EDA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34124-2023</t>
        </is>
      </c>
      <c r="B10776" s="1" t="n">
        <v>45135</v>
      </c>
      <c r="C10776" s="1" t="n">
        <v>45736</v>
      </c>
      <c r="D10776" t="inlineStr">
        <is>
          <t>VÄRMLANDS LÄN</t>
        </is>
      </c>
      <c r="E10776" t="inlineStr">
        <is>
          <t>EDA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34128-2023</t>
        </is>
      </c>
      <c r="B10777" s="1" t="n">
        <v>45135</v>
      </c>
      <c r="C10777" s="1" t="n">
        <v>45736</v>
      </c>
      <c r="D10777" t="inlineStr">
        <is>
          <t>VÄRMLANDS LÄN</t>
        </is>
      </c>
      <c r="E10777" t="inlineStr">
        <is>
          <t>EDA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34574-2023</t>
        </is>
      </c>
      <c r="B10778" s="1" t="n">
        <v>45135</v>
      </c>
      <c r="C10778" s="1" t="n">
        <v>45736</v>
      </c>
      <c r="D10778" t="inlineStr">
        <is>
          <t>VÄRMLANDS LÄN</t>
        </is>
      </c>
      <c r="E10778" t="inlineStr">
        <is>
          <t>ÅRJÄNG</t>
        </is>
      </c>
      <c r="F10778" t="inlineStr">
        <is>
          <t>Övriga Aktiebolag</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34446-2023</t>
        </is>
      </c>
      <c r="B10779" s="1" t="n">
        <v>45135</v>
      </c>
      <c r="C10779" s="1" t="n">
        <v>45736</v>
      </c>
      <c r="D10779" t="inlineStr">
        <is>
          <t>VÄRMLANDS LÄN</t>
        </is>
      </c>
      <c r="E10779" t="inlineStr">
        <is>
          <t>ARVIKA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34580-2023</t>
        </is>
      </c>
      <c r="B10780" s="1" t="n">
        <v>45135</v>
      </c>
      <c r="C10780" s="1" t="n">
        <v>45736</v>
      </c>
      <c r="D10780" t="inlineStr">
        <is>
          <t>VÄRMLANDS LÄN</t>
        </is>
      </c>
      <c r="E10780" t="inlineStr">
        <is>
          <t>ÅRJÄNG</t>
        </is>
      </c>
      <c r="F10780" t="inlineStr">
        <is>
          <t>Övriga Aktiebolag</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34141-2023</t>
        </is>
      </c>
      <c r="B10781" s="1" t="n">
        <v>45136</v>
      </c>
      <c r="C10781" s="1" t="n">
        <v>45736</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34157-2023</t>
        </is>
      </c>
      <c r="B10782" s="1" t="n">
        <v>45137</v>
      </c>
      <c r="C10782" s="1" t="n">
        <v>45736</v>
      </c>
      <c r="D10782" t="inlineStr">
        <is>
          <t>VÄRMLANDS LÄN</t>
        </is>
      </c>
      <c r="E10782" t="inlineStr">
        <is>
          <t>SÄFFLE</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34201-2023</t>
        </is>
      </c>
      <c r="B10783" s="1" t="n">
        <v>45138</v>
      </c>
      <c r="C10783" s="1" t="n">
        <v>45736</v>
      </c>
      <c r="D10783" t="inlineStr">
        <is>
          <t>VÄRMLANDS LÄN</t>
        </is>
      </c>
      <c r="E10783" t="inlineStr">
        <is>
          <t>ÅRJÄNG</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34207-2023</t>
        </is>
      </c>
      <c r="B10784" s="1" t="n">
        <v>45138</v>
      </c>
      <c r="C10784" s="1" t="n">
        <v>45736</v>
      </c>
      <c r="D10784" t="inlineStr">
        <is>
          <t>VÄRMLANDS LÄN</t>
        </is>
      </c>
      <c r="E10784" t="inlineStr">
        <is>
          <t>ÅRJÄNG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34265-2023</t>
        </is>
      </c>
      <c r="B10785" s="1" t="n">
        <v>45138</v>
      </c>
      <c r="C10785" s="1" t="n">
        <v>45736</v>
      </c>
      <c r="D10785" t="inlineStr">
        <is>
          <t>VÄRMLANDS LÄN</t>
        </is>
      </c>
      <c r="E10785" t="inlineStr">
        <is>
          <t>SUNNE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34280-2023</t>
        </is>
      </c>
      <c r="B10786" s="1" t="n">
        <v>45138</v>
      </c>
      <c r="C10786" s="1" t="n">
        <v>45736</v>
      </c>
      <c r="D10786" t="inlineStr">
        <is>
          <t>VÄRMLANDS LÄN</t>
        </is>
      </c>
      <c r="E10786" t="inlineStr">
        <is>
          <t>STORFORS</t>
        </is>
      </c>
      <c r="F10786" t="inlineStr">
        <is>
          <t>Kyrkan</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34297-2023</t>
        </is>
      </c>
      <c r="B10787" s="1" t="n">
        <v>45138</v>
      </c>
      <c r="C10787" s="1" t="n">
        <v>45736</v>
      </c>
      <c r="D10787" t="inlineStr">
        <is>
          <t>VÄRMLANDS LÄN</t>
        </is>
      </c>
      <c r="E10787" t="inlineStr">
        <is>
          <t>SUNNE</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34275-2023</t>
        </is>
      </c>
      <c r="B10788" s="1" t="n">
        <v>45138</v>
      </c>
      <c r="C10788" s="1" t="n">
        <v>45736</v>
      </c>
      <c r="D10788" t="inlineStr">
        <is>
          <t>VÄRMLANDS LÄN</t>
        </is>
      </c>
      <c r="E10788" t="inlineStr">
        <is>
          <t>SÄFFLE</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34389-2023</t>
        </is>
      </c>
      <c r="B10789" s="1" t="n">
        <v>45139</v>
      </c>
      <c r="C10789" s="1" t="n">
        <v>45736</v>
      </c>
      <c r="D10789" t="inlineStr">
        <is>
          <t>VÄRMLANDS LÄN</t>
        </is>
      </c>
      <c r="E10789" t="inlineStr">
        <is>
          <t>ÅRJÄNG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34431-2023</t>
        </is>
      </c>
      <c r="B10790" s="1" t="n">
        <v>45139</v>
      </c>
      <c r="C10790" s="1" t="n">
        <v>45736</v>
      </c>
      <c r="D10790" t="inlineStr">
        <is>
          <t>VÄRMLANDS LÄN</t>
        </is>
      </c>
      <c r="E10790" t="inlineStr">
        <is>
          <t>EDA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34358-2023</t>
        </is>
      </c>
      <c r="B10791" s="1" t="n">
        <v>45139</v>
      </c>
      <c r="C10791" s="1" t="n">
        <v>45736</v>
      </c>
      <c r="D10791" t="inlineStr">
        <is>
          <t>VÄRMLANDS LÄN</t>
        </is>
      </c>
      <c r="E10791" t="inlineStr">
        <is>
          <t>KIL</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34387-2023</t>
        </is>
      </c>
      <c r="B10792" s="1" t="n">
        <v>45139</v>
      </c>
      <c r="C10792" s="1" t="n">
        <v>45736</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34410-2023</t>
        </is>
      </c>
      <c r="B10793" s="1" t="n">
        <v>45139</v>
      </c>
      <c r="C10793" s="1" t="n">
        <v>45736</v>
      </c>
      <c r="D10793" t="inlineStr">
        <is>
          <t>VÄRMLANDS LÄN</t>
        </is>
      </c>
      <c r="E10793" t="inlineStr">
        <is>
          <t>ÅRJÄNG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34350-2023</t>
        </is>
      </c>
      <c r="B10794" s="1" t="n">
        <v>45139</v>
      </c>
      <c r="C10794" s="1" t="n">
        <v>45736</v>
      </c>
      <c r="D10794" t="inlineStr">
        <is>
          <t>VÄRMLANDS LÄN</t>
        </is>
      </c>
      <c r="E10794" t="inlineStr">
        <is>
          <t>ÅRJÄNG</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34405-2023</t>
        </is>
      </c>
      <c r="B10795" s="1" t="n">
        <v>45139</v>
      </c>
      <c r="C10795" s="1" t="n">
        <v>45736</v>
      </c>
      <c r="D10795" t="inlineStr">
        <is>
          <t>VÄRMLANDS LÄN</t>
        </is>
      </c>
      <c r="E10795" t="inlineStr">
        <is>
          <t>TORSBY</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34381-2023</t>
        </is>
      </c>
      <c r="B10796" s="1" t="n">
        <v>45139</v>
      </c>
      <c r="C10796" s="1" t="n">
        <v>45736</v>
      </c>
      <c r="D10796" t="inlineStr">
        <is>
          <t>VÄRMLANDS LÄN</t>
        </is>
      </c>
      <c r="E10796" t="inlineStr">
        <is>
          <t>SUNNE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34409-2023</t>
        </is>
      </c>
      <c r="B10797" s="1" t="n">
        <v>45139</v>
      </c>
      <c r="C10797" s="1" t="n">
        <v>45736</v>
      </c>
      <c r="D10797" t="inlineStr">
        <is>
          <t>VÄRMLANDS LÄN</t>
        </is>
      </c>
      <c r="E10797" t="inlineStr">
        <is>
          <t>ÅRJÄNG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34427-2023</t>
        </is>
      </c>
      <c r="B10798" s="1" t="n">
        <v>45139</v>
      </c>
      <c r="C10798" s="1" t="n">
        <v>45736</v>
      </c>
      <c r="D10798" t="inlineStr">
        <is>
          <t>VÄRMLANDS LÄN</t>
        </is>
      </c>
      <c r="E10798" t="inlineStr">
        <is>
          <t>TORSBY</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34469-2023</t>
        </is>
      </c>
      <c r="B10799" s="1" t="n">
        <v>45139</v>
      </c>
      <c r="C10799" s="1" t="n">
        <v>45736</v>
      </c>
      <c r="D10799" t="inlineStr">
        <is>
          <t>VÄRMLANDS LÄN</t>
        </is>
      </c>
      <c r="E10799" t="inlineStr">
        <is>
          <t>TORSBY</t>
        </is>
      </c>
      <c r="F10799" t="inlineStr">
        <is>
          <t>Bergvik skog väst AB</t>
        </is>
      </c>
      <c r="G10799" t="n">
        <v>13.2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34430-2023</t>
        </is>
      </c>
      <c r="B10800" s="1" t="n">
        <v>45139</v>
      </c>
      <c r="C10800" s="1" t="n">
        <v>45736</v>
      </c>
      <c r="D10800" t="inlineStr">
        <is>
          <t>VÄRMLANDS LÄN</t>
        </is>
      </c>
      <c r="E10800" t="inlineStr">
        <is>
          <t>TORSBY</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34526-2023</t>
        </is>
      </c>
      <c r="B10801" s="1" t="n">
        <v>45140</v>
      </c>
      <c r="C10801" s="1" t="n">
        <v>45736</v>
      </c>
      <c r="D10801" t="inlineStr">
        <is>
          <t>VÄRMLANDS LÄN</t>
        </is>
      </c>
      <c r="E10801" t="inlineStr">
        <is>
          <t>ÅRJÄNG</t>
        </is>
      </c>
      <c r="F10801" t="inlineStr">
        <is>
          <t>Kyrkan</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34556-2023</t>
        </is>
      </c>
      <c r="B10802" s="1" t="n">
        <v>45140</v>
      </c>
      <c r="C10802" s="1" t="n">
        <v>45736</v>
      </c>
      <c r="D10802" t="inlineStr">
        <is>
          <t>VÄRMLANDS LÄN</t>
        </is>
      </c>
      <c r="E10802" t="inlineStr">
        <is>
          <t>SUNNE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34585-2023</t>
        </is>
      </c>
      <c r="B10803" s="1" t="n">
        <v>45140</v>
      </c>
      <c r="C10803" s="1" t="n">
        <v>45736</v>
      </c>
      <c r="D10803" t="inlineStr">
        <is>
          <t>VÄRMLANDS LÄN</t>
        </is>
      </c>
      <c r="E10803" t="inlineStr">
        <is>
          <t>EDA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34529-2023</t>
        </is>
      </c>
      <c r="B10804" s="1" t="n">
        <v>45140</v>
      </c>
      <c r="C10804" s="1" t="n">
        <v>45736</v>
      </c>
      <c r="D10804" t="inlineStr">
        <is>
          <t>VÄRMLANDS LÄN</t>
        </is>
      </c>
      <c r="E10804" t="inlineStr">
        <is>
          <t>HAGFORS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34554-2023</t>
        </is>
      </c>
      <c r="B10805" s="1" t="n">
        <v>45140</v>
      </c>
      <c r="C10805" s="1" t="n">
        <v>45736</v>
      </c>
      <c r="D10805" t="inlineStr">
        <is>
          <t>VÄRMLANDS LÄN</t>
        </is>
      </c>
      <c r="E10805" t="inlineStr">
        <is>
          <t>SUNNE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34546-2023</t>
        </is>
      </c>
      <c r="B10806" s="1" t="n">
        <v>45140</v>
      </c>
      <c r="C10806" s="1" t="n">
        <v>45736</v>
      </c>
      <c r="D10806" t="inlineStr">
        <is>
          <t>VÄRMLANDS LÄN</t>
        </is>
      </c>
      <c r="E10806" t="inlineStr">
        <is>
          <t>ARVIKA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34559-2023</t>
        </is>
      </c>
      <c r="B10807" s="1" t="n">
        <v>45140</v>
      </c>
      <c r="C10807" s="1" t="n">
        <v>45736</v>
      </c>
      <c r="D10807" t="inlineStr">
        <is>
          <t>VÄRMLANDS LÄN</t>
        </is>
      </c>
      <c r="E10807" t="inlineStr">
        <is>
          <t>SUNNE</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34635-2023</t>
        </is>
      </c>
      <c r="B10808" s="1" t="n">
        <v>45140</v>
      </c>
      <c r="C10808" s="1" t="n">
        <v>45736</v>
      </c>
      <c r="D10808" t="inlineStr">
        <is>
          <t>VÄRMLANDS LÄN</t>
        </is>
      </c>
      <c r="E10808" t="inlineStr">
        <is>
          <t>EDA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34633-2023</t>
        </is>
      </c>
      <c r="B10809" s="1" t="n">
        <v>45140</v>
      </c>
      <c r="C10809" s="1" t="n">
        <v>45736</v>
      </c>
      <c r="D10809" t="inlineStr">
        <is>
          <t>VÄRMLANDS LÄN</t>
        </is>
      </c>
      <c r="E10809" t="inlineStr">
        <is>
          <t>FORSHAGA</t>
        </is>
      </c>
      <c r="F10809" t="inlineStr">
        <is>
          <t>Bergvik skog väst AB</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34637-2023</t>
        </is>
      </c>
      <c r="B10810" s="1" t="n">
        <v>45140</v>
      </c>
      <c r="C10810" s="1" t="n">
        <v>45736</v>
      </c>
      <c r="D10810" t="inlineStr">
        <is>
          <t>VÄRMLANDS LÄN</t>
        </is>
      </c>
      <c r="E10810" t="inlineStr">
        <is>
          <t>EDA</t>
        </is>
      </c>
      <c r="G10810" t="n">
        <v>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34675-2023</t>
        </is>
      </c>
      <c r="B10811" s="1" t="n">
        <v>45140</v>
      </c>
      <c r="C10811" s="1" t="n">
        <v>45736</v>
      </c>
      <c r="D10811" t="inlineStr">
        <is>
          <t>VÄRMLANDS LÄN</t>
        </is>
      </c>
      <c r="E10811" t="inlineStr">
        <is>
          <t>ARVIKA</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34594-2023</t>
        </is>
      </c>
      <c r="B10812" s="1" t="n">
        <v>45140</v>
      </c>
      <c r="C10812" s="1" t="n">
        <v>45736</v>
      </c>
      <c r="D10812" t="inlineStr">
        <is>
          <t>VÄRMLANDS LÄN</t>
        </is>
      </c>
      <c r="E10812" t="inlineStr">
        <is>
          <t>ARVIKA</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34618-2023</t>
        </is>
      </c>
      <c r="B10813" s="1" t="n">
        <v>45140</v>
      </c>
      <c r="C10813" s="1" t="n">
        <v>45736</v>
      </c>
      <c r="D10813" t="inlineStr">
        <is>
          <t>VÄRMLANDS LÄN</t>
        </is>
      </c>
      <c r="E10813" t="inlineStr">
        <is>
          <t>SÄFFLE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34658-2023</t>
        </is>
      </c>
      <c r="B10814" s="1" t="n">
        <v>45140</v>
      </c>
      <c r="C10814" s="1" t="n">
        <v>45736</v>
      </c>
      <c r="D10814" t="inlineStr">
        <is>
          <t>VÄRMLANDS LÄN</t>
        </is>
      </c>
      <c r="E10814" t="inlineStr">
        <is>
          <t>TORSBY</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34634-2023</t>
        </is>
      </c>
      <c r="B10815" s="1" t="n">
        <v>45140</v>
      </c>
      <c r="C10815" s="1" t="n">
        <v>45736</v>
      </c>
      <c r="D10815" t="inlineStr">
        <is>
          <t>VÄRMLANDS LÄN</t>
        </is>
      </c>
      <c r="E10815" t="inlineStr">
        <is>
          <t>EDA</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34727-2023</t>
        </is>
      </c>
      <c r="B10816" s="1" t="n">
        <v>45141</v>
      </c>
      <c r="C10816" s="1" t="n">
        <v>45736</v>
      </c>
      <c r="D10816" t="inlineStr">
        <is>
          <t>VÄRMLANDS LÄN</t>
        </is>
      </c>
      <c r="E10816" t="inlineStr">
        <is>
          <t>KARLSTAD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34788-2023</t>
        </is>
      </c>
      <c r="B10817" s="1" t="n">
        <v>45141</v>
      </c>
      <c r="C10817" s="1" t="n">
        <v>45736</v>
      </c>
      <c r="D10817" t="inlineStr">
        <is>
          <t>VÄRMLANDS LÄN</t>
        </is>
      </c>
      <c r="E10817" t="inlineStr">
        <is>
          <t>HAGFORS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34728-2023</t>
        </is>
      </c>
      <c r="B10818" s="1" t="n">
        <v>45141</v>
      </c>
      <c r="C10818" s="1" t="n">
        <v>45736</v>
      </c>
      <c r="D10818" t="inlineStr">
        <is>
          <t>VÄRMLANDS LÄN</t>
        </is>
      </c>
      <c r="E10818" t="inlineStr">
        <is>
          <t>KARLSTAD</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34726-2023</t>
        </is>
      </c>
      <c r="B10819" s="1" t="n">
        <v>45141</v>
      </c>
      <c r="C10819" s="1" t="n">
        <v>45736</v>
      </c>
      <c r="D10819" t="inlineStr">
        <is>
          <t>VÄRMLANDS LÄN</t>
        </is>
      </c>
      <c r="E10819" t="inlineStr">
        <is>
          <t>KARLSTAD</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34891-2023</t>
        </is>
      </c>
      <c r="B10820" s="1" t="n">
        <v>45141</v>
      </c>
      <c r="C10820" s="1" t="n">
        <v>45736</v>
      </c>
      <c r="D10820" t="inlineStr">
        <is>
          <t>VÄRMLANDS LÄN</t>
        </is>
      </c>
      <c r="E10820" t="inlineStr">
        <is>
          <t>KRISTINEHAMN</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34893-2023</t>
        </is>
      </c>
      <c r="B10821" s="1" t="n">
        <v>45141</v>
      </c>
      <c r="C10821" s="1" t="n">
        <v>45736</v>
      </c>
      <c r="D10821" t="inlineStr">
        <is>
          <t>VÄRMLANDS LÄN</t>
        </is>
      </c>
      <c r="E10821" t="inlineStr">
        <is>
          <t>KRISTINEHAMN</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34840-2023</t>
        </is>
      </c>
      <c r="B10822" s="1" t="n">
        <v>45141</v>
      </c>
      <c r="C10822" s="1" t="n">
        <v>45736</v>
      </c>
      <c r="D10822" t="inlineStr">
        <is>
          <t>VÄRMLANDS LÄN</t>
        </is>
      </c>
      <c r="E10822" t="inlineStr">
        <is>
          <t>ARVIKA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34885-2023</t>
        </is>
      </c>
      <c r="B10823" s="1" t="n">
        <v>45141</v>
      </c>
      <c r="C10823" s="1" t="n">
        <v>45736</v>
      </c>
      <c r="D10823" t="inlineStr">
        <is>
          <t>VÄRMLANDS LÄN</t>
        </is>
      </c>
      <c r="E10823" t="inlineStr">
        <is>
          <t>SÄFFLE</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34914-2023</t>
        </is>
      </c>
      <c r="B10824" s="1" t="n">
        <v>45142</v>
      </c>
      <c r="C10824" s="1" t="n">
        <v>45736</v>
      </c>
      <c r="D10824" t="inlineStr">
        <is>
          <t>VÄRMLANDS LÄN</t>
        </is>
      </c>
      <c r="E10824" t="inlineStr">
        <is>
          <t>EDA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34917-2023</t>
        </is>
      </c>
      <c r="B10825" s="1" t="n">
        <v>45142</v>
      </c>
      <c r="C10825" s="1" t="n">
        <v>45736</v>
      </c>
      <c r="D10825" t="inlineStr">
        <is>
          <t>VÄRMLANDS LÄN</t>
        </is>
      </c>
      <c r="E10825" t="inlineStr">
        <is>
          <t>EDA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34944-2023</t>
        </is>
      </c>
      <c r="B10826" s="1" t="n">
        <v>45142</v>
      </c>
      <c r="C10826" s="1" t="n">
        <v>45736</v>
      </c>
      <c r="D10826" t="inlineStr">
        <is>
          <t>VÄRMLANDS LÄN</t>
        </is>
      </c>
      <c r="E10826" t="inlineStr">
        <is>
          <t>STORFORS</t>
        </is>
      </c>
      <c r="F10826" t="inlineStr">
        <is>
          <t>Bergvik skog väst AB</t>
        </is>
      </c>
      <c r="G10826" t="n">
        <v>12.5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34915-2023</t>
        </is>
      </c>
      <c r="B10827" s="1" t="n">
        <v>45142</v>
      </c>
      <c r="C10827" s="1" t="n">
        <v>45736</v>
      </c>
      <c r="D10827" t="inlineStr">
        <is>
          <t>VÄRMLANDS LÄN</t>
        </is>
      </c>
      <c r="E10827" t="inlineStr">
        <is>
          <t>STORFORS</t>
        </is>
      </c>
      <c r="F10827" t="inlineStr">
        <is>
          <t>Bergvik skog väst AB</t>
        </is>
      </c>
      <c r="G10827" t="n">
        <v>8.1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34975-2023</t>
        </is>
      </c>
      <c r="B10828" s="1" t="n">
        <v>45142</v>
      </c>
      <c r="C10828" s="1" t="n">
        <v>45736</v>
      </c>
      <c r="D10828" t="inlineStr">
        <is>
          <t>VÄRMLANDS LÄN</t>
        </is>
      </c>
      <c r="E10828" t="inlineStr">
        <is>
          <t>HAGFORS</t>
        </is>
      </c>
      <c r="F10828" t="inlineStr">
        <is>
          <t>Bergvik skog väst AB</t>
        </is>
      </c>
      <c r="G10828" t="n">
        <v>12.7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34955-2023</t>
        </is>
      </c>
      <c r="B10829" s="1" t="n">
        <v>45142</v>
      </c>
      <c r="C10829" s="1" t="n">
        <v>45736</v>
      </c>
      <c r="D10829" t="inlineStr">
        <is>
          <t>VÄRMLANDS LÄN</t>
        </is>
      </c>
      <c r="E10829" t="inlineStr">
        <is>
          <t>TORSBY</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35045-2023</t>
        </is>
      </c>
      <c r="B10830" s="1" t="n">
        <v>45145</v>
      </c>
      <c r="C10830" s="1" t="n">
        <v>45736</v>
      </c>
      <c r="D10830" t="inlineStr">
        <is>
          <t>VÄRMLANDS LÄN</t>
        </is>
      </c>
      <c r="E10830" t="inlineStr">
        <is>
          <t>ÅRJÄNG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35055-2023</t>
        </is>
      </c>
      <c r="B10831" s="1" t="n">
        <v>45145</v>
      </c>
      <c r="C10831" s="1" t="n">
        <v>45736</v>
      </c>
      <c r="D10831" t="inlineStr">
        <is>
          <t>VÄRMLANDS LÄN</t>
        </is>
      </c>
      <c r="E10831" t="inlineStr">
        <is>
          <t>TORSBY</t>
        </is>
      </c>
      <c r="F10831" t="inlineStr">
        <is>
          <t>Bergvik skog väst AB</t>
        </is>
      </c>
      <c r="G10831" t="n">
        <v>16.4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35065-2023</t>
        </is>
      </c>
      <c r="B10832" s="1" t="n">
        <v>45145</v>
      </c>
      <c r="C10832" s="1" t="n">
        <v>45736</v>
      </c>
      <c r="D10832" t="inlineStr">
        <is>
          <t>VÄRMLANDS LÄN</t>
        </is>
      </c>
      <c r="E10832" t="inlineStr">
        <is>
          <t>HAGFORS</t>
        </is>
      </c>
      <c r="G10832" t="n">
        <v>13.5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35076-2023</t>
        </is>
      </c>
      <c r="B10833" s="1" t="n">
        <v>45145</v>
      </c>
      <c r="C10833" s="1" t="n">
        <v>45736</v>
      </c>
      <c r="D10833" t="inlineStr">
        <is>
          <t>VÄRMLANDS LÄN</t>
        </is>
      </c>
      <c r="E10833" t="inlineStr">
        <is>
          <t>KARLSTAD</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35158-2023</t>
        </is>
      </c>
      <c r="B10834" s="1" t="n">
        <v>45145</v>
      </c>
      <c r="C10834" s="1" t="n">
        <v>45736</v>
      </c>
      <c r="D10834" t="inlineStr">
        <is>
          <t>VÄRMLANDS LÄN</t>
        </is>
      </c>
      <c r="E10834" t="inlineStr">
        <is>
          <t>EDA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35162-2023</t>
        </is>
      </c>
      <c r="B10835" s="1" t="n">
        <v>45145</v>
      </c>
      <c r="C10835" s="1" t="n">
        <v>45736</v>
      </c>
      <c r="D10835" t="inlineStr">
        <is>
          <t>VÄRMLANDS LÄN</t>
        </is>
      </c>
      <c r="E10835" t="inlineStr">
        <is>
          <t>FORSHAGA</t>
        </is>
      </c>
      <c r="F10835" t="inlineStr">
        <is>
          <t>Bergvik skog väst AB</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35057-2023</t>
        </is>
      </c>
      <c r="B10836" s="1" t="n">
        <v>45145</v>
      </c>
      <c r="C10836" s="1" t="n">
        <v>45736</v>
      </c>
      <c r="D10836" t="inlineStr">
        <is>
          <t>VÄRMLANDS LÄN</t>
        </is>
      </c>
      <c r="E10836" t="inlineStr">
        <is>
          <t>TORSBY</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35110-2023</t>
        </is>
      </c>
      <c r="B10837" s="1" t="n">
        <v>45145</v>
      </c>
      <c r="C10837" s="1" t="n">
        <v>45736</v>
      </c>
      <c r="D10837" t="inlineStr">
        <is>
          <t>VÄRMLANDS LÄN</t>
        </is>
      </c>
      <c r="E10837" t="inlineStr">
        <is>
          <t>ÅRJÄNG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35186-2023</t>
        </is>
      </c>
      <c r="B10838" s="1" t="n">
        <v>45145</v>
      </c>
      <c r="C10838" s="1" t="n">
        <v>45736</v>
      </c>
      <c r="D10838" t="inlineStr">
        <is>
          <t>VÄRMLANDS LÄN</t>
        </is>
      </c>
      <c r="E10838" t="inlineStr">
        <is>
          <t>TORSBY</t>
        </is>
      </c>
      <c r="F10838" t="inlineStr">
        <is>
          <t>Bergvik skog väst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35126-2023</t>
        </is>
      </c>
      <c r="B10839" s="1" t="n">
        <v>45145</v>
      </c>
      <c r="C10839" s="1" t="n">
        <v>45736</v>
      </c>
      <c r="D10839" t="inlineStr">
        <is>
          <t>VÄRMLANDS LÄN</t>
        </is>
      </c>
      <c r="E10839" t="inlineStr">
        <is>
          <t>HAGFORS</t>
        </is>
      </c>
      <c r="F10839" t="inlineStr">
        <is>
          <t>Bergvik skog väst AB</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35195-2023</t>
        </is>
      </c>
      <c r="B10840" s="1" t="n">
        <v>45145</v>
      </c>
      <c r="C10840" s="1" t="n">
        <v>45736</v>
      </c>
      <c r="D10840" t="inlineStr">
        <is>
          <t>VÄRMLANDS LÄN</t>
        </is>
      </c>
      <c r="E10840" t="inlineStr">
        <is>
          <t>FORSHAGA</t>
        </is>
      </c>
      <c r="F10840" t="inlineStr">
        <is>
          <t>Bergvik skog väst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35224-2023</t>
        </is>
      </c>
      <c r="B10841" s="1" t="n">
        <v>45145</v>
      </c>
      <c r="C10841" s="1" t="n">
        <v>45736</v>
      </c>
      <c r="D10841" t="inlineStr">
        <is>
          <t>VÄRMLANDS LÄN</t>
        </is>
      </c>
      <c r="E10841" t="inlineStr">
        <is>
          <t>SUNNE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35039-2023</t>
        </is>
      </c>
      <c r="B10842" s="1" t="n">
        <v>45145</v>
      </c>
      <c r="C10842" s="1" t="n">
        <v>45736</v>
      </c>
      <c r="D10842" t="inlineStr">
        <is>
          <t>VÄRMLANDS LÄN</t>
        </is>
      </c>
      <c r="E10842" t="inlineStr">
        <is>
          <t>ÅRJÄNG</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35115-2023</t>
        </is>
      </c>
      <c r="B10843" s="1" t="n">
        <v>45145</v>
      </c>
      <c r="C10843" s="1" t="n">
        <v>45736</v>
      </c>
      <c r="D10843" t="inlineStr">
        <is>
          <t>VÄRMLANDS LÄN</t>
        </is>
      </c>
      <c r="E10843" t="inlineStr">
        <is>
          <t>TORSBY</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35143-2023</t>
        </is>
      </c>
      <c r="B10844" s="1" t="n">
        <v>45145</v>
      </c>
      <c r="C10844" s="1" t="n">
        <v>45736</v>
      </c>
      <c r="D10844" t="inlineStr">
        <is>
          <t>VÄRMLANDS LÄN</t>
        </is>
      </c>
      <c r="E10844" t="inlineStr">
        <is>
          <t>EDA</t>
        </is>
      </c>
      <c r="F10844" t="inlineStr">
        <is>
          <t>Bergvik skog väst AB</t>
        </is>
      </c>
      <c r="G10844" t="n">
        <v>12.3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35152-2023</t>
        </is>
      </c>
      <c r="B10845" s="1" t="n">
        <v>45145</v>
      </c>
      <c r="C10845" s="1" t="n">
        <v>45736</v>
      </c>
      <c r="D10845" t="inlineStr">
        <is>
          <t>VÄRMLANDS LÄN</t>
        </is>
      </c>
      <c r="E10845" t="inlineStr">
        <is>
          <t>ARVIKA</t>
        </is>
      </c>
      <c r="F10845" t="inlineStr">
        <is>
          <t>Bergvik skog väst AB</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35192-2023</t>
        </is>
      </c>
      <c r="B10846" s="1" t="n">
        <v>45145</v>
      </c>
      <c r="C10846" s="1" t="n">
        <v>45736</v>
      </c>
      <c r="D10846" t="inlineStr">
        <is>
          <t>VÄRMLANDS LÄN</t>
        </is>
      </c>
      <c r="E10846" t="inlineStr">
        <is>
          <t>EDA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35196-2023</t>
        </is>
      </c>
      <c r="B10847" s="1" t="n">
        <v>45145</v>
      </c>
      <c r="C10847" s="1" t="n">
        <v>45736</v>
      </c>
      <c r="D10847" t="inlineStr">
        <is>
          <t>VÄRMLANDS LÄN</t>
        </is>
      </c>
      <c r="E10847" t="inlineStr">
        <is>
          <t>ARVIKA</t>
        </is>
      </c>
      <c r="F10847" t="inlineStr">
        <is>
          <t>Bergvik skog väst AB</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35053-2023</t>
        </is>
      </c>
      <c r="B10848" s="1" t="n">
        <v>45145</v>
      </c>
      <c r="C10848" s="1" t="n">
        <v>45736</v>
      </c>
      <c r="D10848" t="inlineStr">
        <is>
          <t>VÄRMLANDS LÄN</t>
        </is>
      </c>
      <c r="E10848" t="inlineStr">
        <is>
          <t>ÅRJÄNG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35378-2023</t>
        </is>
      </c>
      <c r="B10849" s="1" t="n">
        <v>45145</v>
      </c>
      <c r="C10849" s="1" t="n">
        <v>45736</v>
      </c>
      <c r="D10849" t="inlineStr">
        <is>
          <t>VÄRMLANDS LÄN</t>
        </is>
      </c>
      <c r="E10849" t="inlineStr">
        <is>
          <t>KARLSTAD</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35120-2023</t>
        </is>
      </c>
      <c r="B10850" s="1" t="n">
        <v>45145</v>
      </c>
      <c r="C10850" s="1" t="n">
        <v>45736</v>
      </c>
      <c r="D10850" t="inlineStr">
        <is>
          <t>VÄRMLANDS LÄN</t>
        </is>
      </c>
      <c r="E10850" t="inlineStr">
        <is>
          <t>TORSBY</t>
        </is>
      </c>
      <c r="G10850" t="n">
        <v>16.9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35169-2023</t>
        </is>
      </c>
      <c r="B10851" s="1" t="n">
        <v>45145</v>
      </c>
      <c r="C10851" s="1" t="n">
        <v>45736</v>
      </c>
      <c r="D10851" t="inlineStr">
        <is>
          <t>VÄRMLANDS LÄN</t>
        </is>
      </c>
      <c r="E10851" t="inlineStr">
        <is>
          <t>EDA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35226-2023</t>
        </is>
      </c>
      <c r="B10852" s="1" t="n">
        <v>45145</v>
      </c>
      <c r="C10852" s="1" t="n">
        <v>45736</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35318-2023</t>
        </is>
      </c>
      <c r="B10853" s="1" t="n">
        <v>45146</v>
      </c>
      <c r="C10853" s="1" t="n">
        <v>45736</v>
      </c>
      <c r="D10853" t="inlineStr">
        <is>
          <t>VÄRMLANDS LÄN</t>
        </is>
      </c>
      <c r="E10853" t="inlineStr">
        <is>
          <t>SUNNE</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35340-2023</t>
        </is>
      </c>
      <c r="B10854" s="1" t="n">
        <v>45146</v>
      </c>
      <c r="C10854" s="1" t="n">
        <v>45736</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35370-2023</t>
        </is>
      </c>
      <c r="B10855" s="1" t="n">
        <v>45146</v>
      </c>
      <c r="C10855" s="1" t="n">
        <v>45736</v>
      </c>
      <c r="D10855" t="inlineStr">
        <is>
          <t>VÄRMLANDS LÄN</t>
        </is>
      </c>
      <c r="E10855" t="inlineStr">
        <is>
          <t>STORFORS</t>
        </is>
      </c>
      <c r="F10855" t="inlineStr">
        <is>
          <t>Kyrkan</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35407-2023</t>
        </is>
      </c>
      <c r="B10856" s="1" t="n">
        <v>45146</v>
      </c>
      <c r="C10856" s="1" t="n">
        <v>45736</v>
      </c>
      <c r="D10856" t="inlineStr">
        <is>
          <t>VÄRMLANDS LÄN</t>
        </is>
      </c>
      <c r="E10856" t="inlineStr">
        <is>
          <t>SUNNE</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35415-2023</t>
        </is>
      </c>
      <c r="B10857" s="1" t="n">
        <v>45146</v>
      </c>
      <c r="C10857" s="1" t="n">
        <v>45736</v>
      </c>
      <c r="D10857" t="inlineStr">
        <is>
          <t>VÄRMLANDS LÄN</t>
        </is>
      </c>
      <c r="E10857" t="inlineStr">
        <is>
          <t>TORSBY</t>
        </is>
      </c>
      <c r="F10857" t="inlineStr">
        <is>
          <t>Bergvik skog väst AB</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35316-2023</t>
        </is>
      </c>
      <c r="B10858" s="1" t="n">
        <v>45146</v>
      </c>
      <c r="C10858" s="1" t="n">
        <v>45736</v>
      </c>
      <c r="D10858" t="inlineStr">
        <is>
          <t>VÄRMLANDS LÄN</t>
        </is>
      </c>
      <c r="E10858" t="inlineStr">
        <is>
          <t>SUNNE</t>
        </is>
      </c>
      <c r="G10858" t="n">
        <v>19.3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35371-2023</t>
        </is>
      </c>
      <c r="B10859" s="1" t="n">
        <v>45146</v>
      </c>
      <c r="C10859" s="1" t="n">
        <v>45736</v>
      </c>
      <c r="D10859" t="inlineStr">
        <is>
          <t>VÄRMLANDS LÄN</t>
        </is>
      </c>
      <c r="E10859" t="inlineStr">
        <is>
          <t>SUNNE</t>
        </is>
      </c>
      <c r="F10859" t="inlineStr">
        <is>
          <t>Bergvik skog väst AB</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35409-2023</t>
        </is>
      </c>
      <c r="B10860" s="1" t="n">
        <v>45146</v>
      </c>
      <c r="C10860" s="1" t="n">
        <v>45736</v>
      </c>
      <c r="D10860" t="inlineStr">
        <is>
          <t>VÄRMLANDS LÄN</t>
        </is>
      </c>
      <c r="E10860" t="inlineStr">
        <is>
          <t>SUNNE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35317-2023</t>
        </is>
      </c>
      <c r="B10861" s="1" t="n">
        <v>45146</v>
      </c>
      <c r="C10861" s="1" t="n">
        <v>45736</v>
      </c>
      <c r="D10861" t="inlineStr">
        <is>
          <t>VÄRMLANDS LÄN</t>
        </is>
      </c>
      <c r="E10861" t="inlineStr">
        <is>
          <t>EDA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35322-2023</t>
        </is>
      </c>
      <c r="B10862" s="1" t="n">
        <v>45146</v>
      </c>
      <c r="C10862" s="1" t="n">
        <v>45736</v>
      </c>
      <c r="D10862" t="inlineStr">
        <is>
          <t>VÄRMLANDS LÄN</t>
        </is>
      </c>
      <c r="E10862" t="inlineStr">
        <is>
          <t>SUNNE</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35353-2023</t>
        </is>
      </c>
      <c r="B10863" s="1" t="n">
        <v>45146</v>
      </c>
      <c r="C10863" s="1" t="n">
        <v>45736</v>
      </c>
      <c r="D10863" t="inlineStr">
        <is>
          <t>VÄRMLANDS LÄN</t>
        </is>
      </c>
      <c r="E10863" t="inlineStr">
        <is>
          <t>SÄFFLE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35358-2023</t>
        </is>
      </c>
      <c r="B10864" s="1" t="n">
        <v>45146</v>
      </c>
      <c r="C10864" s="1" t="n">
        <v>45736</v>
      </c>
      <c r="D10864" t="inlineStr">
        <is>
          <t>VÄRMLANDS LÄN</t>
        </is>
      </c>
      <c r="E10864" t="inlineStr">
        <is>
          <t>ARVIKA</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35459-2023</t>
        </is>
      </c>
      <c r="B10865" s="1" t="n">
        <v>45146</v>
      </c>
      <c r="C10865" s="1" t="n">
        <v>45736</v>
      </c>
      <c r="D10865" t="inlineStr">
        <is>
          <t>VÄRMLANDS LÄN</t>
        </is>
      </c>
      <c r="E10865" t="inlineStr">
        <is>
          <t>FORSHAGA</t>
        </is>
      </c>
      <c r="F10865" t="inlineStr">
        <is>
          <t>Kommuner</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35466-2023</t>
        </is>
      </c>
      <c r="B10866" s="1" t="n">
        <v>45146</v>
      </c>
      <c r="C10866" s="1" t="n">
        <v>45736</v>
      </c>
      <c r="D10866" t="inlineStr">
        <is>
          <t>VÄRMLANDS LÄN</t>
        </is>
      </c>
      <c r="E10866" t="inlineStr">
        <is>
          <t>FORSHAGA</t>
        </is>
      </c>
      <c r="F10866" t="inlineStr">
        <is>
          <t>Kommuner</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35533-2023</t>
        </is>
      </c>
      <c r="B10867" s="1" t="n">
        <v>45146</v>
      </c>
      <c r="C10867" s="1" t="n">
        <v>45736</v>
      </c>
      <c r="D10867" t="inlineStr">
        <is>
          <t>VÄRMLANDS LÄN</t>
        </is>
      </c>
      <c r="E10867" t="inlineStr">
        <is>
          <t>SÄFFLE</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35628-2023</t>
        </is>
      </c>
      <c r="B10868" s="1" t="n">
        <v>45146</v>
      </c>
      <c r="C10868" s="1" t="n">
        <v>45736</v>
      </c>
      <c r="D10868" t="inlineStr">
        <is>
          <t>VÄRMLANDS LÄN</t>
        </is>
      </c>
      <c r="E10868" t="inlineStr">
        <is>
          <t>ARVIKA</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35538-2023</t>
        </is>
      </c>
      <c r="B10869" s="1" t="n">
        <v>45146</v>
      </c>
      <c r="C10869" s="1" t="n">
        <v>45736</v>
      </c>
      <c r="D10869" t="inlineStr">
        <is>
          <t>VÄRMLANDS LÄN</t>
        </is>
      </c>
      <c r="E10869" t="inlineStr">
        <is>
          <t>SÄFFLE</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35613-2023</t>
        </is>
      </c>
      <c r="B10870" s="1" t="n">
        <v>45146</v>
      </c>
      <c r="C10870" s="1" t="n">
        <v>45736</v>
      </c>
      <c r="D10870" t="inlineStr">
        <is>
          <t>VÄRMLANDS LÄN</t>
        </is>
      </c>
      <c r="E10870" t="inlineStr">
        <is>
          <t>ARVIKA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35436-2023</t>
        </is>
      </c>
      <c r="B10871" s="1" t="n">
        <v>45146</v>
      </c>
      <c r="C10871" s="1" t="n">
        <v>45736</v>
      </c>
      <c r="D10871" t="inlineStr">
        <is>
          <t>VÄRMLANDS LÄN</t>
        </is>
      </c>
      <c r="E10871" t="inlineStr">
        <is>
          <t>FORSHAGA</t>
        </is>
      </c>
      <c r="F10871" t="inlineStr">
        <is>
          <t>Bergvik skog väst AB</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35465-2023</t>
        </is>
      </c>
      <c r="B10872" s="1" t="n">
        <v>45146</v>
      </c>
      <c r="C10872" s="1" t="n">
        <v>45736</v>
      </c>
      <c r="D10872" t="inlineStr">
        <is>
          <t>VÄRMLANDS LÄN</t>
        </is>
      </c>
      <c r="E10872" t="inlineStr">
        <is>
          <t>FORSHAGA</t>
        </is>
      </c>
      <c r="F10872" t="inlineStr">
        <is>
          <t>Kommuner</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35489-2023</t>
        </is>
      </c>
      <c r="B10873" s="1" t="n">
        <v>45146</v>
      </c>
      <c r="C10873" s="1" t="n">
        <v>45736</v>
      </c>
      <c r="D10873" t="inlineStr">
        <is>
          <t>VÄRMLANDS LÄN</t>
        </is>
      </c>
      <c r="E10873" t="inlineStr">
        <is>
          <t>MUNKFORS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35634-2023</t>
        </is>
      </c>
      <c r="B10874" s="1" t="n">
        <v>45146</v>
      </c>
      <c r="C10874" s="1" t="n">
        <v>45736</v>
      </c>
      <c r="D10874" t="inlineStr">
        <is>
          <t>VÄRMLANDS LÄN</t>
        </is>
      </c>
      <c r="E10874" t="inlineStr">
        <is>
          <t>ARVIKA</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35558-2023</t>
        </is>
      </c>
      <c r="B10875" s="1" t="n">
        <v>45147</v>
      </c>
      <c r="C10875" s="1" t="n">
        <v>45736</v>
      </c>
      <c r="D10875" t="inlineStr">
        <is>
          <t>VÄRMLANDS LÄN</t>
        </is>
      </c>
      <c r="E10875" t="inlineStr">
        <is>
          <t>SUNNE</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35573-2023</t>
        </is>
      </c>
      <c r="B10876" s="1" t="n">
        <v>45147</v>
      </c>
      <c r="C10876" s="1" t="n">
        <v>45736</v>
      </c>
      <c r="D10876" t="inlineStr">
        <is>
          <t>VÄRMLANDS LÄN</t>
        </is>
      </c>
      <c r="E10876" t="inlineStr">
        <is>
          <t>FORSHAGA</t>
        </is>
      </c>
      <c r="F10876" t="inlineStr">
        <is>
          <t>Kommuner</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35611-2023</t>
        </is>
      </c>
      <c r="B10877" s="1" t="n">
        <v>45147</v>
      </c>
      <c r="C10877" s="1" t="n">
        <v>45736</v>
      </c>
      <c r="D10877" t="inlineStr">
        <is>
          <t>VÄRMLANDS LÄN</t>
        </is>
      </c>
      <c r="E10877" t="inlineStr">
        <is>
          <t>SUNNE</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35616-2023</t>
        </is>
      </c>
      <c r="B10878" s="1" t="n">
        <v>45147</v>
      </c>
      <c r="C10878" s="1" t="n">
        <v>45736</v>
      </c>
      <c r="D10878" t="inlineStr">
        <is>
          <t>VÄRMLANDS LÄN</t>
        </is>
      </c>
      <c r="E10878" t="inlineStr">
        <is>
          <t>KARLSTAD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35629-2023</t>
        </is>
      </c>
      <c r="B10879" s="1" t="n">
        <v>45147</v>
      </c>
      <c r="C10879" s="1" t="n">
        <v>45736</v>
      </c>
      <c r="D10879" t="inlineStr">
        <is>
          <t>VÄRMLANDS LÄN</t>
        </is>
      </c>
      <c r="E10879" t="inlineStr">
        <is>
          <t>TORSBY</t>
        </is>
      </c>
      <c r="G10879" t="n">
        <v>10.3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35674-2023</t>
        </is>
      </c>
      <c r="B10880" s="1" t="n">
        <v>45147</v>
      </c>
      <c r="C10880" s="1" t="n">
        <v>45736</v>
      </c>
      <c r="D10880" t="inlineStr">
        <is>
          <t>VÄRMLANDS LÄN</t>
        </is>
      </c>
      <c r="E10880" t="inlineStr">
        <is>
          <t>TORSBY</t>
        </is>
      </c>
      <c r="G10880" t="n">
        <v>25.4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35528-2023</t>
        </is>
      </c>
      <c r="B10881" s="1" t="n">
        <v>45147</v>
      </c>
      <c r="C10881" s="1" t="n">
        <v>45736</v>
      </c>
      <c r="D10881" t="inlineStr">
        <is>
          <t>VÄRMLANDS LÄN</t>
        </is>
      </c>
      <c r="E10881" t="inlineStr">
        <is>
          <t>ARVIKA</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35553-2023</t>
        </is>
      </c>
      <c r="B10882" s="1" t="n">
        <v>45147</v>
      </c>
      <c r="C10882" s="1" t="n">
        <v>45736</v>
      </c>
      <c r="D10882" t="inlineStr">
        <is>
          <t>VÄRMLANDS LÄN</t>
        </is>
      </c>
      <c r="E10882" t="inlineStr">
        <is>
          <t>TORSBY</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35574-2023</t>
        </is>
      </c>
      <c r="B10883" s="1" t="n">
        <v>45147</v>
      </c>
      <c r="C10883" s="1" t="n">
        <v>45736</v>
      </c>
      <c r="D10883" t="inlineStr">
        <is>
          <t>VÄRMLANDS LÄN</t>
        </is>
      </c>
      <c r="E10883" t="inlineStr">
        <is>
          <t>ARVIKA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35579-2023</t>
        </is>
      </c>
      <c r="B10884" s="1" t="n">
        <v>45147</v>
      </c>
      <c r="C10884" s="1" t="n">
        <v>45736</v>
      </c>
      <c r="D10884" t="inlineStr">
        <is>
          <t>VÄRMLANDS LÄN</t>
        </is>
      </c>
      <c r="E10884" t="inlineStr">
        <is>
          <t>ARVIKA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35571-2023</t>
        </is>
      </c>
      <c r="B10885" s="1" t="n">
        <v>45147</v>
      </c>
      <c r="C10885" s="1" t="n">
        <v>45736</v>
      </c>
      <c r="D10885" t="inlineStr">
        <is>
          <t>VÄRMLANDS LÄN</t>
        </is>
      </c>
      <c r="E10885" t="inlineStr">
        <is>
          <t>ARVIKA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35664-2023</t>
        </is>
      </c>
      <c r="B10886" s="1" t="n">
        <v>45147</v>
      </c>
      <c r="C10886" s="1" t="n">
        <v>45736</v>
      </c>
      <c r="D10886" t="inlineStr">
        <is>
          <t>VÄRMLANDS LÄN</t>
        </is>
      </c>
      <c r="E10886" t="inlineStr">
        <is>
          <t>HAGFORS</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35668-2023</t>
        </is>
      </c>
      <c r="B10887" s="1" t="n">
        <v>45147</v>
      </c>
      <c r="C10887" s="1" t="n">
        <v>45736</v>
      </c>
      <c r="D10887" t="inlineStr">
        <is>
          <t>VÄRMLANDS LÄN</t>
        </is>
      </c>
      <c r="E10887" t="inlineStr">
        <is>
          <t>HAGFORS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35562-2023</t>
        </is>
      </c>
      <c r="B10888" s="1" t="n">
        <v>45147</v>
      </c>
      <c r="C10888" s="1" t="n">
        <v>45736</v>
      </c>
      <c r="D10888" t="inlineStr">
        <is>
          <t>VÄRMLANDS LÄN</t>
        </is>
      </c>
      <c r="E10888" t="inlineStr">
        <is>
          <t>SUNNE</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35572-2023</t>
        </is>
      </c>
      <c r="B10889" s="1" t="n">
        <v>45147</v>
      </c>
      <c r="C10889" s="1" t="n">
        <v>45736</v>
      </c>
      <c r="D10889" t="inlineStr">
        <is>
          <t>VÄRMLANDS LÄN</t>
        </is>
      </c>
      <c r="E10889" t="inlineStr">
        <is>
          <t>FORSHAGA</t>
        </is>
      </c>
      <c r="F10889" t="inlineStr">
        <is>
          <t>Kommuner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35657-2023</t>
        </is>
      </c>
      <c r="B10890" s="1" t="n">
        <v>45147</v>
      </c>
      <c r="C10890" s="1" t="n">
        <v>45736</v>
      </c>
      <c r="D10890" t="inlineStr">
        <is>
          <t>VÄRMLANDS LÄN</t>
        </is>
      </c>
      <c r="E10890" t="inlineStr">
        <is>
          <t>HAGFORS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35677-2023</t>
        </is>
      </c>
      <c r="B10891" s="1" t="n">
        <v>45147</v>
      </c>
      <c r="C10891" s="1" t="n">
        <v>45736</v>
      </c>
      <c r="D10891" t="inlineStr">
        <is>
          <t>VÄRMLANDS LÄN</t>
        </is>
      </c>
      <c r="E10891" t="inlineStr">
        <is>
          <t>SUNNE</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35709-2023</t>
        </is>
      </c>
      <c r="B10892" s="1" t="n">
        <v>45147</v>
      </c>
      <c r="C10892" s="1" t="n">
        <v>45736</v>
      </c>
      <c r="D10892" t="inlineStr">
        <is>
          <t>VÄRMLANDS LÄN</t>
        </is>
      </c>
      <c r="E10892" t="inlineStr">
        <is>
          <t>SÄFFLE</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35729-2023</t>
        </is>
      </c>
      <c r="B10893" s="1" t="n">
        <v>45147</v>
      </c>
      <c r="C10893" s="1" t="n">
        <v>45736</v>
      </c>
      <c r="D10893" t="inlineStr">
        <is>
          <t>VÄRMLANDS LÄN</t>
        </is>
      </c>
      <c r="E10893" t="inlineStr">
        <is>
          <t>SÄFFLE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35775-2023</t>
        </is>
      </c>
      <c r="B10894" s="1" t="n">
        <v>45148</v>
      </c>
      <c r="C10894" s="1" t="n">
        <v>45736</v>
      </c>
      <c r="D10894" t="inlineStr">
        <is>
          <t>VÄRMLANDS LÄN</t>
        </is>
      </c>
      <c r="E10894" t="inlineStr">
        <is>
          <t>EDA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35834-2023</t>
        </is>
      </c>
      <c r="B10895" s="1" t="n">
        <v>45148</v>
      </c>
      <c r="C10895" s="1" t="n">
        <v>45736</v>
      </c>
      <c r="D10895" t="inlineStr">
        <is>
          <t>VÄRMLANDS LÄN</t>
        </is>
      </c>
      <c r="E10895" t="inlineStr">
        <is>
          <t>FORSHAGA</t>
        </is>
      </c>
      <c r="F10895" t="inlineStr">
        <is>
          <t>Kommuner</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35831-2023</t>
        </is>
      </c>
      <c r="B10896" s="1" t="n">
        <v>45148</v>
      </c>
      <c r="C10896" s="1" t="n">
        <v>45736</v>
      </c>
      <c r="D10896" t="inlineStr">
        <is>
          <t>VÄRMLANDS LÄN</t>
        </is>
      </c>
      <c r="E10896" t="inlineStr">
        <is>
          <t>FORSHAGA</t>
        </is>
      </c>
      <c r="F10896" t="inlineStr">
        <is>
          <t>Kommuner</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35878-2023</t>
        </is>
      </c>
      <c r="B10897" s="1" t="n">
        <v>45148</v>
      </c>
      <c r="C10897" s="1" t="n">
        <v>45736</v>
      </c>
      <c r="D10897" t="inlineStr">
        <is>
          <t>VÄRMLANDS LÄN</t>
        </is>
      </c>
      <c r="E10897" t="inlineStr">
        <is>
          <t>SÄFFLE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35882-2023</t>
        </is>
      </c>
      <c r="B10898" s="1" t="n">
        <v>45148</v>
      </c>
      <c r="C10898" s="1" t="n">
        <v>45736</v>
      </c>
      <c r="D10898" t="inlineStr">
        <is>
          <t>VÄRMLANDS LÄN</t>
        </is>
      </c>
      <c r="E10898" t="inlineStr">
        <is>
          <t>KARLSTAD</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35886-2023</t>
        </is>
      </c>
      <c r="B10899" s="1" t="n">
        <v>45148</v>
      </c>
      <c r="C10899" s="1" t="n">
        <v>45736</v>
      </c>
      <c r="D10899" t="inlineStr">
        <is>
          <t>VÄRMLANDS LÄN</t>
        </is>
      </c>
      <c r="E10899" t="inlineStr">
        <is>
          <t>HAGFORS</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35850-2023</t>
        </is>
      </c>
      <c r="B10900" s="1" t="n">
        <v>45148</v>
      </c>
      <c r="C10900" s="1" t="n">
        <v>45736</v>
      </c>
      <c r="D10900" t="inlineStr">
        <is>
          <t>VÄRMLANDS LÄN</t>
        </is>
      </c>
      <c r="E10900" t="inlineStr">
        <is>
          <t>FORSHAGA</t>
        </is>
      </c>
      <c r="F10900" t="inlineStr">
        <is>
          <t>Kommuner</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35855-2023</t>
        </is>
      </c>
      <c r="B10901" s="1" t="n">
        <v>45148</v>
      </c>
      <c r="C10901" s="1" t="n">
        <v>45736</v>
      </c>
      <c r="D10901" t="inlineStr">
        <is>
          <t>VÄRMLANDS LÄN</t>
        </is>
      </c>
      <c r="E10901" t="inlineStr">
        <is>
          <t>FORSHAGA</t>
        </is>
      </c>
      <c r="F10901" t="inlineStr">
        <is>
          <t>Kommuner</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35860-2023</t>
        </is>
      </c>
      <c r="B10902" s="1" t="n">
        <v>45148</v>
      </c>
      <c r="C10902" s="1" t="n">
        <v>45736</v>
      </c>
      <c r="D10902" t="inlineStr">
        <is>
          <t>VÄRMLANDS LÄN</t>
        </is>
      </c>
      <c r="E10902" t="inlineStr">
        <is>
          <t>FORSHAGA</t>
        </is>
      </c>
      <c r="F10902" t="inlineStr">
        <is>
          <t>Kommuner</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35879-2023</t>
        </is>
      </c>
      <c r="B10903" s="1" t="n">
        <v>45148</v>
      </c>
      <c r="C10903" s="1" t="n">
        <v>45736</v>
      </c>
      <c r="D10903" t="inlineStr">
        <is>
          <t>VÄRMLANDS LÄN</t>
        </is>
      </c>
      <c r="E10903" t="inlineStr">
        <is>
          <t>KARLSTAD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35883-2023</t>
        </is>
      </c>
      <c r="B10904" s="1" t="n">
        <v>45148</v>
      </c>
      <c r="C10904" s="1" t="n">
        <v>45736</v>
      </c>
      <c r="D10904" t="inlineStr">
        <is>
          <t>VÄRMLANDS LÄN</t>
        </is>
      </c>
      <c r="E10904" t="inlineStr">
        <is>
          <t>HAGFORS</t>
        </is>
      </c>
      <c r="G10904" t="n">
        <v>11.3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35888-2023</t>
        </is>
      </c>
      <c r="B10905" s="1" t="n">
        <v>45148</v>
      </c>
      <c r="C10905" s="1" t="n">
        <v>45736</v>
      </c>
      <c r="D10905" t="inlineStr">
        <is>
          <t>VÄRMLANDS LÄN</t>
        </is>
      </c>
      <c r="E10905" t="inlineStr">
        <is>
          <t>HAGFORS</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35843-2023</t>
        </is>
      </c>
      <c r="B10906" s="1" t="n">
        <v>45148</v>
      </c>
      <c r="C10906" s="1" t="n">
        <v>45736</v>
      </c>
      <c r="D10906" t="inlineStr">
        <is>
          <t>VÄRMLANDS LÄN</t>
        </is>
      </c>
      <c r="E10906" t="inlineStr">
        <is>
          <t>SUNNE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35851-2023</t>
        </is>
      </c>
      <c r="B10907" s="1" t="n">
        <v>45148</v>
      </c>
      <c r="C10907" s="1" t="n">
        <v>45736</v>
      </c>
      <c r="D10907" t="inlineStr">
        <is>
          <t>VÄRMLANDS LÄN</t>
        </is>
      </c>
      <c r="E10907" t="inlineStr">
        <is>
          <t>FORSHAGA</t>
        </is>
      </c>
      <c r="F10907" t="inlineStr">
        <is>
          <t>Kommuner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35863-2023</t>
        </is>
      </c>
      <c r="B10908" s="1" t="n">
        <v>45148</v>
      </c>
      <c r="C10908" s="1" t="n">
        <v>45736</v>
      </c>
      <c r="D10908" t="inlineStr">
        <is>
          <t>VÄRMLANDS LÄN</t>
        </is>
      </c>
      <c r="E10908" t="inlineStr">
        <is>
          <t>FORSHAGA</t>
        </is>
      </c>
      <c r="F10908" t="inlineStr">
        <is>
          <t>Kommuner</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35956-2023</t>
        </is>
      </c>
      <c r="B10909" s="1" t="n">
        <v>45148</v>
      </c>
      <c r="C10909" s="1" t="n">
        <v>45736</v>
      </c>
      <c r="D10909" t="inlineStr">
        <is>
          <t>VÄRMLANDS LÄN</t>
        </is>
      </c>
      <c r="E10909" t="inlineStr">
        <is>
          <t>ÅRJÄNG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35934-2023</t>
        </is>
      </c>
      <c r="B10910" s="1" t="n">
        <v>45148</v>
      </c>
      <c r="C10910" s="1" t="n">
        <v>45736</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35938-2023</t>
        </is>
      </c>
      <c r="B10911" s="1" t="n">
        <v>45148</v>
      </c>
      <c r="C10911" s="1" t="n">
        <v>45736</v>
      </c>
      <c r="D10911" t="inlineStr">
        <is>
          <t>VÄRMLANDS LÄN</t>
        </is>
      </c>
      <c r="E10911" t="inlineStr">
        <is>
          <t>TORSBY</t>
        </is>
      </c>
      <c r="F10911" t="inlineStr">
        <is>
          <t>Bergvik skog väst AB</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36043-2023</t>
        </is>
      </c>
      <c r="B10912" s="1" t="n">
        <v>45148</v>
      </c>
      <c r="C10912" s="1" t="n">
        <v>45736</v>
      </c>
      <c r="D10912" t="inlineStr">
        <is>
          <t>VÄRMLANDS LÄN</t>
        </is>
      </c>
      <c r="E10912" t="inlineStr">
        <is>
          <t>TORSBY</t>
        </is>
      </c>
      <c r="G10912" t="n">
        <v>10.5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36030-2023</t>
        </is>
      </c>
      <c r="B10913" s="1" t="n">
        <v>45149</v>
      </c>
      <c r="C10913" s="1" t="n">
        <v>45736</v>
      </c>
      <c r="D10913" t="inlineStr">
        <is>
          <t>VÄRMLANDS LÄN</t>
        </is>
      </c>
      <c r="E10913" t="inlineStr">
        <is>
          <t>HAGFORS</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36050-2023</t>
        </is>
      </c>
      <c r="B10914" s="1" t="n">
        <v>45149</v>
      </c>
      <c r="C10914" s="1" t="n">
        <v>45736</v>
      </c>
      <c r="D10914" t="inlineStr">
        <is>
          <t>VÄRMLANDS LÄN</t>
        </is>
      </c>
      <c r="E10914" t="inlineStr">
        <is>
          <t>TORSBY</t>
        </is>
      </c>
      <c r="F10914" t="inlineStr">
        <is>
          <t>Kommuner</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36067-2023</t>
        </is>
      </c>
      <c r="B10915" s="1" t="n">
        <v>45149</v>
      </c>
      <c r="C10915" s="1" t="n">
        <v>45736</v>
      </c>
      <c r="D10915" t="inlineStr">
        <is>
          <t>VÄRMLANDS LÄN</t>
        </is>
      </c>
      <c r="E10915" t="inlineStr">
        <is>
          <t>FORSHAGA</t>
        </is>
      </c>
      <c r="F10915" t="inlineStr">
        <is>
          <t>Bergvik skog väst AB</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36001-2023</t>
        </is>
      </c>
      <c r="B10916" s="1" t="n">
        <v>45149</v>
      </c>
      <c r="C10916" s="1" t="n">
        <v>45736</v>
      </c>
      <c r="D10916" t="inlineStr">
        <is>
          <t>VÄRMLANDS LÄN</t>
        </is>
      </c>
      <c r="E10916" t="inlineStr">
        <is>
          <t>SÄFFLE</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36012-2023</t>
        </is>
      </c>
      <c r="B10917" s="1" t="n">
        <v>45149</v>
      </c>
      <c r="C10917" s="1" t="n">
        <v>45736</v>
      </c>
      <c r="D10917" t="inlineStr">
        <is>
          <t>VÄRMLANDS LÄN</t>
        </is>
      </c>
      <c r="E10917" t="inlineStr">
        <is>
          <t>SÄFFLE</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36023-2023</t>
        </is>
      </c>
      <c r="B10918" s="1" t="n">
        <v>45149</v>
      </c>
      <c r="C10918" s="1" t="n">
        <v>45736</v>
      </c>
      <c r="D10918" t="inlineStr">
        <is>
          <t>VÄRMLANDS LÄN</t>
        </is>
      </c>
      <c r="E10918" t="inlineStr">
        <is>
          <t>HAGFORS</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35992-2023</t>
        </is>
      </c>
      <c r="B10919" s="1" t="n">
        <v>45149</v>
      </c>
      <c r="C10919" s="1" t="n">
        <v>45736</v>
      </c>
      <c r="D10919" t="inlineStr">
        <is>
          <t>VÄRMLANDS LÄN</t>
        </is>
      </c>
      <c r="E10919" t="inlineStr">
        <is>
          <t>ARVIKA</t>
        </is>
      </c>
      <c r="F10919" t="inlineStr">
        <is>
          <t>Kyrkan</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36008-2023</t>
        </is>
      </c>
      <c r="B10920" s="1" t="n">
        <v>45149</v>
      </c>
      <c r="C10920" s="1" t="n">
        <v>45736</v>
      </c>
      <c r="D10920" t="inlineStr">
        <is>
          <t>VÄRMLANDS LÄN</t>
        </is>
      </c>
      <c r="E10920" t="inlineStr">
        <is>
          <t>SÄFFLE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36013-2023</t>
        </is>
      </c>
      <c r="B10921" s="1" t="n">
        <v>45149</v>
      </c>
      <c r="C10921" s="1" t="n">
        <v>45736</v>
      </c>
      <c r="D10921" t="inlineStr">
        <is>
          <t>VÄRMLANDS LÄN</t>
        </is>
      </c>
      <c r="E10921" t="inlineStr">
        <is>
          <t>HAGFORS</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36062-2023</t>
        </is>
      </c>
      <c r="B10922" s="1" t="n">
        <v>45149</v>
      </c>
      <c r="C10922" s="1" t="n">
        <v>45736</v>
      </c>
      <c r="D10922" t="inlineStr">
        <is>
          <t>VÄRMLANDS LÄN</t>
        </is>
      </c>
      <c r="E10922" t="inlineStr">
        <is>
          <t>TORSBY</t>
        </is>
      </c>
      <c r="F10922" t="inlineStr">
        <is>
          <t>Bergvik skog väst AB</t>
        </is>
      </c>
      <c r="G10922" t="n">
        <v>21.3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36066-2023</t>
        </is>
      </c>
      <c r="B10923" s="1" t="n">
        <v>45149</v>
      </c>
      <c r="C10923" s="1" t="n">
        <v>45736</v>
      </c>
      <c r="D10923" t="inlineStr">
        <is>
          <t>VÄRMLANDS LÄN</t>
        </is>
      </c>
      <c r="E10923" t="inlineStr">
        <is>
          <t>ÅRJÄNG</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36122-2023</t>
        </is>
      </c>
      <c r="B10924" s="1" t="n">
        <v>45149</v>
      </c>
      <c r="C10924" s="1" t="n">
        <v>45736</v>
      </c>
      <c r="D10924" t="inlineStr">
        <is>
          <t>VÄRMLANDS LÄN</t>
        </is>
      </c>
      <c r="E10924" t="inlineStr">
        <is>
          <t>KARLSTAD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36103-2023</t>
        </is>
      </c>
      <c r="B10925" s="1" t="n">
        <v>45149</v>
      </c>
      <c r="C10925" s="1" t="n">
        <v>45736</v>
      </c>
      <c r="D10925" t="inlineStr">
        <is>
          <t>VÄRMLANDS LÄN</t>
        </is>
      </c>
      <c r="E10925" t="inlineStr">
        <is>
          <t>SUNNE</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36152-2023</t>
        </is>
      </c>
      <c r="B10926" s="1" t="n">
        <v>45149</v>
      </c>
      <c r="C10926" s="1" t="n">
        <v>45736</v>
      </c>
      <c r="D10926" t="inlineStr">
        <is>
          <t>VÄRMLANDS LÄN</t>
        </is>
      </c>
      <c r="E10926" t="inlineStr">
        <is>
          <t>HAGFORS</t>
        </is>
      </c>
      <c r="F10926" t="inlineStr">
        <is>
          <t>Bergvik skog väst AB</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36157-2023</t>
        </is>
      </c>
      <c r="B10927" s="1" t="n">
        <v>45149</v>
      </c>
      <c r="C10927" s="1" t="n">
        <v>45736</v>
      </c>
      <c r="D10927" t="inlineStr">
        <is>
          <t>VÄRMLANDS LÄN</t>
        </is>
      </c>
      <c r="E10927" t="inlineStr">
        <is>
          <t>EDA</t>
        </is>
      </c>
      <c r="F10927" t="inlineStr">
        <is>
          <t>Kommuner</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36177-2023</t>
        </is>
      </c>
      <c r="B10928" s="1" t="n">
        <v>45149</v>
      </c>
      <c r="C10928" s="1" t="n">
        <v>45736</v>
      </c>
      <c r="D10928" t="inlineStr">
        <is>
          <t>VÄRMLANDS LÄN</t>
        </is>
      </c>
      <c r="E10928" t="inlineStr">
        <is>
          <t>SUNNE</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36195-2023</t>
        </is>
      </c>
      <c r="B10929" s="1" t="n">
        <v>45149</v>
      </c>
      <c r="C10929" s="1" t="n">
        <v>45736</v>
      </c>
      <c r="D10929" t="inlineStr">
        <is>
          <t>VÄRMLANDS LÄN</t>
        </is>
      </c>
      <c r="E10929" t="inlineStr">
        <is>
          <t>ÅRJÄNG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36399-2023</t>
        </is>
      </c>
      <c r="B10930" s="1" t="n">
        <v>45149</v>
      </c>
      <c r="C10930" s="1" t="n">
        <v>45736</v>
      </c>
      <c r="D10930" t="inlineStr">
        <is>
          <t>VÄRMLANDS LÄN</t>
        </is>
      </c>
      <c r="E10930" t="inlineStr">
        <is>
          <t>KARLSTAD</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36239-2023</t>
        </is>
      </c>
      <c r="B10931" s="1" t="n">
        <v>45150</v>
      </c>
      <c r="C10931" s="1" t="n">
        <v>45736</v>
      </c>
      <c r="D10931" t="inlineStr">
        <is>
          <t>VÄRMLANDS LÄN</t>
        </is>
      </c>
      <c r="E10931" t="inlineStr">
        <is>
          <t>TORSBY</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36377-2023</t>
        </is>
      </c>
      <c r="B10932" s="1" t="n">
        <v>45152</v>
      </c>
      <c r="C10932" s="1" t="n">
        <v>45736</v>
      </c>
      <c r="D10932" t="inlineStr">
        <is>
          <t>VÄRMLANDS LÄN</t>
        </is>
      </c>
      <c r="E10932" t="inlineStr">
        <is>
          <t>FILIPSTAD</t>
        </is>
      </c>
      <c r="F10932" t="inlineStr">
        <is>
          <t>Bergvik skog väst AB</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36277-2023</t>
        </is>
      </c>
      <c r="B10933" s="1" t="n">
        <v>45152</v>
      </c>
      <c r="C10933" s="1" t="n">
        <v>45736</v>
      </c>
      <c r="D10933" t="inlineStr">
        <is>
          <t>VÄRMLANDS LÄN</t>
        </is>
      </c>
      <c r="E10933" t="inlineStr">
        <is>
          <t>SUNNE</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36287-2023</t>
        </is>
      </c>
      <c r="B10934" s="1" t="n">
        <v>45152</v>
      </c>
      <c r="C10934" s="1" t="n">
        <v>45736</v>
      </c>
      <c r="D10934" t="inlineStr">
        <is>
          <t>VÄRMLANDS LÄN</t>
        </is>
      </c>
      <c r="E10934" t="inlineStr">
        <is>
          <t>EDA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36291-2023</t>
        </is>
      </c>
      <c r="B10935" s="1" t="n">
        <v>45152</v>
      </c>
      <c r="C10935" s="1" t="n">
        <v>45736</v>
      </c>
      <c r="D10935" t="inlineStr">
        <is>
          <t>VÄRMLANDS LÄN</t>
        </is>
      </c>
      <c r="E10935" t="inlineStr">
        <is>
          <t>FILIPSTAD</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36295-2023</t>
        </is>
      </c>
      <c r="B10936" s="1" t="n">
        <v>45152</v>
      </c>
      <c r="C10936" s="1" t="n">
        <v>45736</v>
      </c>
      <c r="D10936" t="inlineStr">
        <is>
          <t>VÄRMLANDS LÄN</t>
        </is>
      </c>
      <c r="E10936" t="inlineStr">
        <is>
          <t>EDA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36298-2023</t>
        </is>
      </c>
      <c r="B10937" s="1" t="n">
        <v>45152</v>
      </c>
      <c r="C10937" s="1" t="n">
        <v>45736</v>
      </c>
      <c r="D10937" t="inlineStr">
        <is>
          <t>VÄRMLANDS LÄN</t>
        </is>
      </c>
      <c r="E10937" t="inlineStr">
        <is>
          <t>EDA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36344-2023</t>
        </is>
      </c>
      <c r="B10938" s="1" t="n">
        <v>45152</v>
      </c>
      <c r="C10938" s="1" t="n">
        <v>45736</v>
      </c>
      <c r="D10938" t="inlineStr">
        <is>
          <t>VÄRMLANDS LÄN</t>
        </is>
      </c>
      <c r="E10938" t="inlineStr">
        <is>
          <t>ÅRJÄNG</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36293-2023</t>
        </is>
      </c>
      <c r="B10939" s="1" t="n">
        <v>45152</v>
      </c>
      <c r="C10939" s="1" t="n">
        <v>45736</v>
      </c>
      <c r="D10939" t="inlineStr">
        <is>
          <t>VÄRMLANDS LÄN</t>
        </is>
      </c>
      <c r="E10939" t="inlineStr">
        <is>
          <t>HAGFORS</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36384-2023</t>
        </is>
      </c>
      <c r="B10940" s="1" t="n">
        <v>45152</v>
      </c>
      <c r="C10940" s="1" t="n">
        <v>45736</v>
      </c>
      <c r="D10940" t="inlineStr">
        <is>
          <t>VÄRMLANDS LÄN</t>
        </is>
      </c>
      <c r="E10940" t="inlineStr">
        <is>
          <t>GRUMS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36420-2023</t>
        </is>
      </c>
      <c r="B10941" s="1" t="n">
        <v>45152</v>
      </c>
      <c r="C10941" s="1" t="n">
        <v>45736</v>
      </c>
      <c r="D10941" t="inlineStr">
        <is>
          <t>VÄRMLANDS LÄN</t>
        </is>
      </c>
      <c r="E10941" t="inlineStr">
        <is>
          <t>GRUMS</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36309-2023</t>
        </is>
      </c>
      <c r="B10942" s="1" t="n">
        <v>45152</v>
      </c>
      <c r="C10942" s="1" t="n">
        <v>45736</v>
      </c>
      <c r="D10942" t="inlineStr">
        <is>
          <t>VÄRMLANDS LÄN</t>
        </is>
      </c>
      <c r="E10942" t="inlineStr">
        <is>
          <t>SUNNE</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36317-2023</t>
        </is>
      </c>
      <c r="B10943" s="1" t="n">
        <v>45152</v>
      </c>
      <c r="C10943" s="1" t="n">
        <v>45736</v>
      </c>
      <c r="D10943" t="inlineStr">
        <is>
          <t>VÄRMLANDS LÄN</t>
        </is>
      </c>
      <c r="E10943" t="inlineStr">
        <is>
          <t>FILIPSTAD</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36462-2023</t>
        </is>
      </c>
      <c r="B10944" s="1" t="n">
        <v>45152</v>
      </c>
      <c r="C10944" s="1" t="n">
        <v>45736</v>
      </c>
      <c r="D10944" t="inlineStr">
        <is>
          <t>VÄRMLANDS LÄN</t>
        </is>
      </c>
      <c r="E10944" t="inlineStr">
        <is>
          <t>TORSBY</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36360-2023</t>
        </is>
      </c>
      <c r="B10945" s="1" t="n">
        <v>45152</v>
      </c>
      <c r="C10945" s="1" t="n">
        <v>45736</v>
      </c>
      <c r="D10945" t="inlineStr">
        <is>
          <t>VÄRMLANDS LÄN</t>
        </is>
      </c>
      <c r="E10945" t="inlineStr">
        <is>
          <t>HAGFORS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36382-2023</t>
        </is>
      </c>
      <c r="B10946" s="1" t="n">
        <v>45152</v>
      </c>
      <c r="C10946" s="1" t="n">
        <v>45736</v>
      </c>
      <c r="D10946" t="inlineStr">
        <is>
          <t>VÄRMLANDS LÄN</t>
        </is>
      </c>
      <c r="E10946" t="inlineStr">
        <is>
          <t>GRUMS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36421-2023</t>
        </is>
      </c>
      <c r="B10947" s="1" t="n">
        <v>45152</v>
      </c>
      <c r="C10947" s="1" t="n">
        <v>45736</v>
      </c>
      <c r="D10947" t="inlineStr">
        <is>
          <t>VÄRMLANDS LÄN</t>
        </is>
      </c>
      <c r="E10947" t="inlineStr">
        <is>
          <t>GRUMS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36446-2023</t>
        </is>
      </c>
      <c r="B10948" s="1" t="n">
        <v>45152</v>
      </c>
      <c r="C10948" s="1" t="n">
        <v>45736</v>
      </c>
      <c r="D10948" t="inlineStr">
        <is>
          <t>VÄRMLANDS LÄN</t>
        </is>
      </c>
      <c r="E10948" t="inlineStr">
        <is>
          <t>KRISTINEHAMN</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36454-2023</t>
        </is>
      </c>
      <c r="B10949" s="1" t="n">
        <v>45152</v>
      </c>
      <c r="C10949" s="1" t="n">
        <v>45736</v>
      </c>
      <c r="D10949" t="inlineStr">
        <is>
          <t>VÄRMLANDS LÄN</t>
        </is>
      </c>
      <c r="E10949" t="inlineStr">
        <is>
          <t>HAGFORS</t>
        </is>
      </c>
      <c r="F10949" t="inlineStr">
        <is>
          <t>Bergvik skog väst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36468-2023</t>
        </is>
      </c>
      <c r="B10950" s="1" t="n">
        <v>45152</v>
      </c>
      <c r="C10950" s="1" t="n">
        <v>45736</v>
      </c>
      <c r="D10950" t="inlineStr">
        <is>
          <t>VÄRMLANDS LÄN</t>
        </is>
      </c>
      <c r="E10950" t="inlineStr">
        <is>
          <t>SUNNE</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36455-2023</t>
        </is>
      </c>
      <c r="B10951" s="1" t="n">
        <v>45152</v>
      </c>
      <c r="C10951" s="1" t="n">
        <v>45736</v>
      </c>
      <c r="D10951" t="inlineStr">
        <is>
          <t>VÄRMLANDS LÄN</t>
        </is>
      </c>
      <c r="E10951" t="inlineStr">
        <is>
          <t>ÅRJÄNG</t>
        </is>
      </c>
      <c r="G10951" t="n">
        <v>10.2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36460-2023</t>
        </is>
      </c>
      <c r="B10952" s="1" t="n">
        <v>45152</v>
      </c>
      <c r="C10952" s="1" t="n">
        <v>45736</v>
      </c>
      <c r="D10952" t="inlineStr">
        <is>
          <t>VÄRMLANDS LÄN</t>
        </is>
      </c>
      <c r="E10952" t="inlineStr">
        <is>
          <t>KARLSTAD</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36465-2023</t>
        </is>
      </c>
      <c r="B10953" s="1" t="n">
        <v>45152</v>
      </c>
      <c r="C10953" s="1" t="n">
        <v>45736</v>
      </c>
      <c r="D10953" t="inlineStr">
        <is>
          <t>VÄRMLANDS LÄN</t>
        </is>
      </c>
      <c r="E10953" t="inlineStr">
        <is>
          <t>SUNNE</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36578-2023</t>
        </is>
      </c>
      <c r="B10954" s="1" t="n">
        <v>45153</v>
      </c>
      <c r="C10954" s="1" t="n">
        <v>45736</v>
      </c>
      <c r="D10954" t="inlineStr">
        <is>
          <t>VÄRMLANDS LÄN</t>
        </is>
      </c>
      <c r="E10954" t="inlineStr">
        <is>
          <t>SUNNE</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36582-2023</t>
        </is>
      </c>
      <c r="B10955" s="1" t="n">
        <v>45153</v>
      </c>
      <c r="C10955" s="1" t="n">
        <v>45736</v>
      </c>
      <c r="D10955" t="inlineStr">
        <is>
          <t>VÄRMLANDS LÄN</t>
        </is>
      </c>
      <c r="E10955" t="inlineStr">
        <is>
          <t>TORSBY</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36644-2023</t>
        </is>
      </c>
      <c r="B10956" s="1" t="n">
        <v>45153</v>
      </c>
      <c r="C10956" s="1" t="n">
        <v>45736</v>
      </c>
      <c r="D10956" t="inlineStr">
        <is>
          <t>VÄRMLANDS LÄN</t>
        </is>
      </c>
      <c r="E10956" t="inlineStr">
        <is>
          <t>GRUMS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36697-2023</t>
        </is>
      </c>
      <c r="B10957" s="1" t="n">
        <v>45153</v>
      </c>
      <c r="C10957" s="1" t="n">
        <v>45736</v>
      </c>
      <c r="D10957" t="inlineStr">
        <is>
          <t>VÄRMLANDS LÄN</t>
        </is>
      </c>
      <c r="E10957" t="inlineStr">
        <is>
          <t>STORFORS</t>
        </is>
      </c>
      <c r="F10957" t="inlineStr">
        <is>
          <t>Kyrkan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36718-2023</t>
        </is>
      </c>
      <c r="B10958" s="1" t="n">
        <v>45153</v>
      </c>
      <c r="C10958" s="1" t="n">
        <v>45736</v>
      </c>
      <c r="D10958" t="inlineStr">
        <is>
          <t>VÄRMLANDS LÄN</t>
        </is>
      </c>
      <c r="E10958" t="inlineStr">
        <is>
          <t>EDA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36598-2023</t>
        </is>
      </c>
      <c r="B10959" s="1" t="n">
        <v>45153</v>
      </c>
      <c r="C10959" s="1" t="n">
        <v>45736</v>
      </c>
      <c r="D10959" t="inlineStr">
        <is>
          <t>VÄRMLANDS LÄN</t>
        </is>
      </c>
      <c r="E10959" t="inlineStr">
        <is>
          <t>TORSBY</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36552-2023</t>
        </is>
      </c>
      <c r="B10960" s="1" t="n">
        <v>45153</v>
      </c>
      <c r="C10960" s="1" t="n">
        <v>45736</v>
      </c>
      <c r="D10960" t="inlineStr">
        <is>
          <t>VÄRMLANDS LÄN</t>
        </is>
      </c>
      <c r="E10960" t="inlineStr">
        <is>
          <t>TORSBY</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36518-2023</t>
        </is>
      </c>
      <c r="B10961" s="1" t="n">
        <v>45153</v>
      </c>
      <c r="C10961" s="1" t="n">
        <v>45736</v>
      </c>
      <c r="D10961" t="inlineStr">
        <is>
          <t>VÄRMLANDS LÄN</t>
        </is>
      </c>
      <c r="E10961" t="inlineStr">
        <is>
          <t>KARLSTAD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36550-2023</t>
        </is>
      </c>
      <c r="B10962" s="1" t="n">
        <v>45153</v>
      </c>
      <c r="C10962" s="1" t="n">
        <v>45736</v>
      </c>
      <c r="D10962" t="inlineStr">
        <is>
          <t>VÄRMLANDS LÄN</t>
        </is>
      </c>
      <c r="E10962" t="inlineStr">
        <is>
          <t>SUNNE</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36646-2023</t>
        </is>
      </c>
      <c r="B10963" s="1" t="n">
        <v>45153</v>
      </c>
      <c r="C10963" s="1" t="n">
        <v>45736</v>
      </c>
      <c r="D10963" t="inlineStr">
        <is>
          <t>VÄRMLANDS LÄN</t>
        </is>
      </c>
      <c r="E10963" t="inlineStr">
        <is>
          <t>GRUMS</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36637-2023</t>
        </is>
      </c>
      <c r="B10964" s="1" t="n">
        <v>45153</v>
      </c>
      <c r="C10964" s="1" t="n">
        <v>45736</v>
      </c>
      <c r="D10964" t="inlineStr">
        <is>
          <t>VÄRMLANDS LÄN</t>
        </is>
      </c>
      <c r="E10964" t="inlineStr">
        <is>
          <t>FILIPSTAD</t>
        </is>
      </c>
      <c r="F10964" t="inlineStr">
        <is>
          <t>Bergvik skog väst AB</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36716-2023</t>
        </is>
      </c>
      <c r="B10965" s="1" t="n">
        <v>45153</v>
      </c>
      <c r="C10965" s="1" t="n">
        <v>45736</v>
      </c>
      <c r="D10965" t="inlineStr">
        <is>
          <t>VÄRMLANDS LÄN</t>
        </is>
      </c>
      <c r="E10965" t="inlineStr">
        <is>
          <t>EDA</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36674-2023</t>
        </is>
      </c>
      <c r="B10966" s="1" t="n">
        <v>45153</v>
      </c>
      <c r="C10966" s="1" t="n">
        <v>45736</v>
      </c>
      <c r="D10966" t="inlineStr">
        <is>
          <t>VÄRMLANDS LÄN</t>
        </is>
      </c>
      <c r="E10966" t="inlineStr">
        <is>
          <t>TORSBY</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36680-2023</t>
        </is>
      </c>
      <c r="B10967" s="1" t="n">
        <v>45153</v>
      </c>
      <c r="C10967" s="1" t="n">
        <v>45736</v>
      </c>
      <c r="D10967" t="inlineStr">
        <is>
          <t>VÄRMLANDS LÄN</t>
        </is>
      </c>
      <c r="E10967" t="inlineStr">
        <is>
          <t>FILIPSTAD</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36736-2023</t>
        </is>
      </c>
      <c r="B10968" s="1" t="n">
        <v>45153</v>
      </c>
      <c r="C10968" s="1" t="n">
        <v>45736</v>
      </c>
      <c r="D10968" t="inlineStr">
        <is>
          <t>VÄRMLANDS LÄN</t>
        </is>
      </c>
      <c r="E10968" t="inlineStr">
        <is>
          <t>TORSBY</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36690-2023</t>
        </is>
      </c>
      <c r="B10969" s="1" t="n">
        <v>45153</v>
      </c>
      <c r="C10969" s="1" t="n">
        <v>45736</v>
      </c>
      <c r="D10969" t="inlineStr">
        <is>
          <t>VÄRMLANDS LÄN</t>
        </is>
      </c>
      <c r="E10969" t="inlineStr">
        <is>
          <t>ARVIKA</t>
        </is>
      </c>
      <c r="F10969" t="inlineStr">
        <is>
          <t>Bergvik skog väst AB</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36696-2023</t>
        </is>
      </c>
      <c r="B10970" s="1" t="n">
        <v>45153</v>
      </c>
      <c r="C10970" s="1" t="n">
        <v>45736</v>
      </c>
      <c r="D10970" t="inlineStr">
        <is>
          <t>VÄRMLANDS LÄN</t>
        </is>
      </c>
      <c r="E10970" t="inlineStr">
        <is>
          <t>EDA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36717-2023</t>
        </is>
      </c>
      <c r="B10971" s="1" t="n">
        <v>45153</v>
      </c>
      <c r="C10971" s="1" t="n">
        <v>45736</v>
      </c>
      <c r="D10971" t="inlineStr">
        <is>
          <t>VÄRMLANDS LÄN</t>
        </is>
      </c>
      <c r="E10971" t="inlineStr">
        <is>
          <t>ARVIKA</t>
        </is>
      </c>
      <c r="F10971" t="inlineStr">
        <is>
          <t>Bergvik skog väst AB</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36729-2023</t>
        </is>
      </c>
      <c r="B10972" s="1" t="n">
        <v>45153</v>
      </c>
      <c r="C10972" s="1" t="n">
        <v>45736</v>
      </c>
      <c r="D10972" t="inlineStr">
        <is>
          <t>VÄRMLANDS LÄN</t>
        </is>
      </c>
      <c r="E10972" t="inlineStr">
        <is>
          <t>TORSBY</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36792-2023</t>
        </is>
      </c>
      <c r="B10973" s="1" t="n">
        <v>45154</v>
      </c>
      <c r="C10973" s="1" t="n">
        <v>45736</v>
      </c>
      <c r="D10973" t="inlineStr">
        <is>
          <t>VÄRMLANDS LÄN</t>
        </is>
      </c>
      <c r="E10973" t="inlineStr">
        <is>
          <t>KRISTINEHAMN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36807-2023</t>
        </is>
      </c>
      <c r="B10974" s="1" t="n">
        <v>45154</v>
      </c>
      <c r="C10974" s="1" t="n">
        <v>45736</v>
      </c>
      <c r="D10974" t="inlineStr">
        <is>
          <t>VÄRMLANDS LÄN</t>
        </is>
      </c>
      <c r="E10974" t="inlineStr">
        <is>
          <t>SÄFFLE</t>
        </is>
      </c>
      <c r="F10974" t="inlineStr">
        <is>
          <t>Kyrkan</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36827-2023</t>
        </is>
      </c>
      <c r="B10975" s="1" t="n">
        <v>45154</v>
      </c>
      <c r="C10975" s="1" t="n">
        <v>45736</v>
      </c>
      <c r="D10975" t="inlineStr">
        <is>
          <t>VÄRMLANDS LÄN</t>
        </is>
      </c>
      <c r="E10975" t="inlineStr">
        <is>
          <t>TORSBY</t>
        </is>
      </c>
      <c r="F10975" t="inlineStr">
        <is>
          <t>Bergvik skog väst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36789-2023</t>
        </is>
      </c>
      <c r="B10976" s="1" t="n">
        <v>45154</v>
      </c>
      <c r="C10976" s="1" t="n">
        <v>45736</v>
      </c>
      <c r="D10976" t="inlineStr">
        <is>
          <t>VÄRMLANDS LÄN</t>
        </is>
      </c>
      <c r="E10976" t="inlineStr">
        <is>
          <t>EDA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36872-2023</t>
        </is>
      </c>
      <c r="B10977" s="1" t="n">
        <v>45154</v>
      </c>
      <c r="C10977" s="1" t="n">
        <v>45736</v>
      </c>
      <c r="D10977" t="inlineStr">
        <is>
          <t>VÄRMLANDS LÄN</t>
        </is>
      </c>
      <c r="E10977" t="inlineStr">
        <is>
          <t>HAGFORS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36917-2023</t>
        </is>
      </c>
      <c r="B10978" s="1" t="n">
        <v>45154</v>
      </c>
      <c r="C10978" s="1" t="n">
        <v>45736</v>
      </c>
      <c r="D10978" t="inlineStr">
        <is>
          <t>VÄRMLANDS LÄN</t>
        </is>
      </c>
      <c r="E10978" t="inlineStr">
        <is>
          <t>KARLSTAD</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36829-2023</t>
        </is>
      </c>
      <c r="B10979" s="1" t="n">
        <v>45154</v>
      </c>
      <c r="C10979" s="1" t="n">
        <v>45736</v>
      </c>
      <c r="D10979" t="inlineStr">
        <is>
          <t>VÄRMLANDS LÄN</t>
        </is>
      </c>
      <c r="E10979" t="inlineStr">
        <is>
          <t>ARVIKA</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36897-2023</t>
        </is>
      </c>
      <c r="B10980" s="1" t="n">
        <v>45154</v>
      </c>
      <c r="C10980" s="1" t="n">
        <v>45736</v>
      </c>
      <c r="D10980" t="inlineStr">
        <is>
          <t>VÄRMLANDS LÄN</t>
        </is>
      </c>
      <c r="E10980" t="inlineStr">
        <is>
          <t>TORSBY</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36924-2023</t>
        </is>
      </c>
      <c r="B10981" s="1" t="n">
        <v>45154</v>
      </c>
      <c r="C10981" s="1" t="n">
        <v>45736</v>
      </c>
      <c r="D10981" t="inlineStr">
        <is>
          <t>VÄRMLANDS LÄN</t>
        </is>
      </c>
      <c r="E10981" t="inlineStr">
        <is>
          <t>SUNNE</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37191-2023</t>
        </is>
      </c>
      <c r="B10982" s="1" t="n">
        <v>45154</v>
      </c>
      <c r="C10982" s="1" t="n">
        <v>45736</v>
      </c>
      <c r="D10982" t="inlineStr">
        <is>
          <t>VÄRMLANDS LÄN</t>
        </is>
      </c>
      <c r="E10982" t="inlineStr">
        <is>
          <t>ÅRJÄNG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36821-2023</t>
        </is>
      </c>
      <c r="B10983" s="1" t="n">
        <v>45154</v>
      </c>
      <c r="C10983" s="1" t="n">
        <v>45736</v>
      </c>
      <c r="D10983" t="inlineStr">
        <is>
          <t>VÄRMLANDS LÄN</t>
        </is>
      </c>
      <c r="E10983" t="inlineStr">
        <is>
          <t>HAGFORS</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37076-2023</t>
        </is>
      </c>
      <c r="B10984" s="1" t="n">
        <v>45154</v>
      </c>
      <c r="C10984" s="1" t="n">
        <v>45736</v>
      </c>
      <c r="D10984" t="inlineStr">
        <is>
          <t>VÄRMLANDS LÄN</t>
        </is>
      </c>
      <c r="E10984" t="inlineStr">
        <is>
          <t>KARLSTAD</t>
        </is>
      </c>
      <c r="F10984" t="inlineStr">
        <is>
          <t>Övriga statliga verk och myndigheter</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36947-2023</t>
        </is>
      </c>
      <c r="B10985" s="1" t="n">
        <v>45154</v>
      </c>
      <c r="C10985" s="1" t="n">
        <v>45736</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37061-2023</t>
        </is>
      </c>
      <c r="B10986" s="1" t="n">
        <v>45155</v>
      </c>
      <c r="C10986" s="1" t="n">
        <v>45736</v>
      </c>
      <c r="D10986" t="inlineStr">
        <is>
          <t>VÄRMLANDS LÄN</t>
        </is>
      </c>
      <c r="E10986" t="inlineStr">
        <is>
          <t>ÅRJÄNG</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37029-2023</t>
        </is>
      </c>
      <c r="B10987" s="1" t="n">
        <v>45155</v>
      </c>
      <c r="C10987" s="1" t="n">
        <v>45736</v>
      </c>
      <c r="D10987" t="inlineStr">
        <is>
          <t>VÄRMLANDS LÄN</t>
        </is>
      </c>
      <c r="E10987" t="inlineStr">
        <is>
          <t>ARVIKA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37033-2023</t>
        </is>
      </c>
      <c r="B10988" s="1" t="n">
        <v>45155</v>
      </c>
      <c r="C10988" s="1" t="n">
        <v>45736</v>
      </c>
      <c r="D10988" t="inlineStr">
        <is>
          <t>VÄRMLANDS LÄN</t>
        </is>
      </c>
      <c r="E10988" t="inlineStr">
        <is>
          <t>ARVIKA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37085-2023</t>
        </is>
      </c>
      <c r="B10989" s="1" t="n">
        <v>45155</v>
      </c>
      <c r="C10989" s="1" t="n">
        <v>45736</v>
      </c>
      <c r="D10989" t="inlineStr">
        <is>
          <t>VÄRMLANDS LÄN</t>
        </is>
      </c>
      <c r="E10989" t="inlineStr">
        <is>
          <t>HAGFORS</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37094-2023</t>
        </is>
      </c>
      <c r="B10990" s="1" t="n">
        <v>45155</v>
      </c>
      <c r="C10990" s="1" t="n">
        <v>45736</v>
      </c>
      <c r="D10990" t="inlineStr">
        <is>
          <t>VÄRMLANDS LÄN</t>
        </is>
      </c>
      <c r="E10990" t="inlineStr">
        <is>
          <t>ÅRJÄNG</t>
        </is>
      </c>
      <c r="F10990" t="inlineStr">
        <is>
          <t>Kyrkan</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37135-2023</t>
        </is>
      </c>
      <c r="B10991" s="1" t="n">
        <v>45155</v>
      </c>
      <c r="C10991" s="1" t="n">
        <v>45736</v>
      </c>
      <c r="D10991" t="inlineStr">
        <is>
          <t>VÄRMLANDS LÄN</t>
        </is>
      </c>
      <c r="E10991" t="inlineStr">
        <is>
          <t>HAGFORS</t>
        </is>
      </c>
      <c r="F10991" t="inlineStr">
        <is>
          <t>Bergvik skog väst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37048-2023</t>
        </is>
      </c>
      <c r="B10992" s="1" t="n">
        <v>45155</v>
      </c>
      <c r="C10992" s="1" t="n">
        <v>45736</v>
      </c>
      <c r="D10992" t="inlineStr">
        <is>
          <t>VÄRMLANDS LÄN</t>
        </is>
      </c>
      <c r="E10992" t="inlineStr">
        <is>
          <t>EDA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37081-2023</t>
        </is>
      </c>
      <c r="B10993" s="1" t="n">
        <v>45155</v>
      </c>
      <c r="C10993" s="1" t="n">
        <v>45736</v>
      </c>
      <c r="D10993" t="inlineStr">
        <is>
          <t>VÄRMLANDS LÄN</t>
        </is>
      </c>
      <c r="E10993" t="inlineStr">
        <is>
          <t>TORSBY</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37108-2023</t>
        </is>
      </c>
      <c r="B10994" s="1" t="n">
        <v>45155</v>
      </c>
      <c r="C10994" s="1" t="n">
        <v>45736</v>
      </c>
      <c r="D10994" t="inlineStr">
        <is>
          <t>VÄRMLANDS LÄN</t>
        </is>
      </c>
      <c r="E10994" t="inlineStr">
        <is>
          <t>HAGFORS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37119-2023</t>
        </is>
      </c>
      <c r="B10995" s="1" t="n">
        <v>45155</v>
      </c>
      <c r="C10995" s="1" t="n">
        <v>45736</v>
      </c>
      <c r="D10995" t="inlineStr">
        <is>
          <t>VÄRMLANDS LÄN</t>
        </is>
      </c>
      <c r="E10995" t="inlineStr">
        <is>
          <t>ÅRJÄNG</t>
        </is>
      </c>
      <c r="F10995" t="inlineStr">
        <is>
          <t>Kyrkan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37180-2023</t>
        </is>
      </c>
      <c r="B10996" s="1" t="n">
        <v>45155</v>
      </c>
      <c r="C10996" s="1" t="n">
        <v>45736</v>
      </c>
      <c r="D10996" t="inlineStr">
        <is>
          <t>VÄRMLANDS LÄN</t>
        </is>
      </c>
      <c r="E10996" t="inlineStr">
        <is>
          <t>SUNNE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37152-2023</t>
        </is>
      </c>
      <c r="B10997" s="1" t="n">
        <v>45155</v>
      </c>
      <c r="C10997" s="1" t="n">
        <v>45736</v>
      </c>
      <c r="D10997" t="inlineStr">
        <is>
          <t>VÄRMLANDS LÄN</t>
        </is>
      </c>
      <c r="E10997" t="inlineStr">
        <is>
          <t>HAGFORS</t>
        </is>
      </c>
      <c r="F10997" t="inlineStr">
        <is>
          <t>Bergvik skog väst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37188-2023</t>
        </is>
      </c>
      <c r="B10998" s="1" t="n">
        <v>45155</v>
      </c>
      <c r="C10998" s="1" t="n">
        <v>45736</v>
      </c>
      <c r="D10998" t="inlineStr">
        <is>
          <t>VÄRMLANDS LÄN</t>
        </is>
      </c>
      <c r="E10998" t="inlineStr">
        <is>
          <t>TORSBY</t>
        </is>
      </c>
      <c r="F10998" t="inlineStr">
        <is>
          <t>Bergvik skog väst AB</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37298-2023</t>
        </is>
      </c>
      <c r="B10999" s="1" t="n">
        <v>45156</v>
      </c>
      <c r="C10999" s="1" t="n">
        <v>45736</v>
      </c>
      <c r="D10999" t="inlineStr">
        <is>
          <t>VÄRMLANDS LÄN</t>
        </is>
      </c>
      <c r="E10999" t="inlineStr">
        <is>
          <t>EDA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37306-2023</t>
        </is>
      </c>
      <c r="B11000" s="1" t="n">
        <v>45156</v>
      </c>
      <c r="C11000" s="1" t="n">
        <v>45736</v>
      </c>
      <c r="D11000" t="inlineStr">
        <is>
          <t>VÄRMLANDS LÄN</t>
        </is>
      </c>
      <c r="E11000" t="inlineStr">
        <is>
          <t>SÄFFLE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37334-2023</t>
        </is>
      </c>
      <c r="B11001" s="1" t="n">
        <v>45156</v>
      </c>
      <c r="C11001" s="1" t="n">
        <v>45736</v>
      </c>
      <c r="D11001" t="inlineStr">
        <is>
          <t>VÄRMLANDS LÄN</t>
        </is>
      </c>
      <c r="E11001" t="inlineStr">
        <is>
          <t>EDA</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37420-2023</t>
        </is>
      </c>
      <c r="B11002" s="1" t="n">
        <v>45156</v>
      </c>
      <c r="C11002" s="1" t="n">
        <v>45736</v>
      </c>
      <c r="D11002" t="inlineStr">
        <is>
          <t>VÄRMLANDS LÄN</t>
        </is>
      </c>
      <c r="E11002" t="inlineStr">
        <is>
          <t>SÄFFLE</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37346-2023</t>
        </is>
      </c>
      <c r="B11003" s="1" t="n">
        <v>45156</v>
      </c>
      <c r="C11003" s="1" t="n">
        <v>45736</v>
      </c>
      <c r="D11003" t="inlineStr">
        <is>
          <t>VÄRMLANDS LÄN</t>
        </is>
      </c>
      <c r="E11003" t="inlineStr">
        <is>
          <t>TORSBY</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37357-2023</t>
        </is>
      </c>
      <c r="B11004" s="1" t="n">
        <v>45156</v>
      </c>
      <c r="C11004" s="1" t="n">
        <v>45736</v>
      </c>
      <c r="D11004" t="inlineStr">
        <is>
          <t>VÄRMLANDS LÄN</t>
        </is>
      </c>
      <c r="E11004" t="inlineStr">
        <is>
          <t>TORSBY</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37398-2023</t>
        </is>
      </c>
      <c r="B11005" s="1" t="n">
        <v>45156</v>
      </c>
      <c r="C11005" s="1" t="n">
        <v>45736</v>
      </c>
      <c r="D11005" t="inlineStr">
        <is>
          <t>VÄRMLANDS LÄN</t>
        </is>
      </c>
      <c r="E11005" t="inlineStr">
        <is>
          <t>ARVIKA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37422-2023</t>
        </is>
      </c>
      <c r="B11006" s="1" t="n">
        <v>45156</v>
      </c>
      <c r="C11006" s="1" t="n">
        <v>45736</v>
      </c>
      <c r="D11006" t="inlineStr">
        <is>
          <t>VÄRMLANDS LÄN</t>
        </is>
      </c>
      <c r="E11006" t="inlineStr">
        <is>
          <t>SÄFFLE</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37305-2023</t>
        </is>
      </c>
      <c r="B11007" s="1" t="n">
        <v>45156</v>
      </c>
      <c r="C11007" s="1" t="n">
        <v>45736</v>
      </c>
      <c r="D11007" t="inlineStr">
        <is>
          <t>VÄRMLANDS LÄN</t>
        </is>
      </c>
      <c r="E11007" t="inlineStr">
        <is>
          <t>TORSBY</t>
        </is>
      </c>
      <c r="F11007" t="inlineStr">
        <is>
          <t>Bergvik skog väst AB</t>
        </is>
      </c>
      <c r="G11007" t="n">
        <v>28.8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37314-2023</t>
        </is>
      </c>
      <c r="B11008" s="1" t="n">
        <v>45156</v>
      </c>
      <c r="C11008" s="1" t="n">
        <v>45736</v>
      </c>
      <c r="D11008" t="inlineStr">
        <is>
          <t>VÄRMLANDS LÄN</t>
        </is>
      </c>
      <c r="E11008" t="inlineStr">
        <is>
          <t>TORSBY</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37359-2023</t>
        </is>
      </c>
      <c r="B11009" s="1" t="n">
        <v>45156</v>
      </c>
      <c r="C11009" s="1" t="n">
        <v>45736</v>
      </c>
      <c r="D11009" t="inlineStr">
        <is>
          <t>VÄRMLANDS LÄN</t>
        </is>
      </c>
      <c r="E11009" t="inlineStr">
        <is>
          <t>TORSBY</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37857-2023</t>
        </is>
      </c>
      <c r="B11010" s="1" t="n">
        <v>45158</v>
      </c>
      <c r="C11010" s="1" t="n">
        <v>45736</v>
      </c>
      <c r="D11010" t="inlineStr">
        <is>
          <t>VÄRMLANDS LÄN</t>
        </is>
      </c>
      <c r="E11010" t="inlineStr">
        <is>
          <t>ARVIKA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37852-2023</t>
        </is>
      </c>
      <c r="B11011" s="1" t="n">
        <v>45158</v>
      </c>
      <c r="C11011" s="1" t="n">
        <v>45736</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37854-2023</t>
        </is>
      </c>
      <c r="B11012" s="1" t="n">
        <v>45158</v>
      </c>
      <c r="C11012" s="1" t="n">
        <v>45736</v>
      </c>
      <c r="D11012" t="inlineStr">
        <is>
          <t>VÄRMLANDS LÄN</t>
        </is>
      </c>
      <c r="E11012" t="inlineStr">
        <is>
          <t>ARVIKA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37676-2023</t>
        </is>
      </c>
      <c r="B11013" s="1" t="n">
        <v>45159</v>
      </c>
      <c r="C11013" s="1" t="n">
        <v>45736</v>
      </c>
      <c r="D11013" t="inlineStr">
        <is>
          <t>VÄRMLANDS LÄN</t>
        </is>
      </c>
      <c r="E11013" t="inlineStr">
        <is>
          <t>GRUMS</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37705-2023</t>
        </is>
      </c>
      <c r="B11014" s="1" t="n">
        <v>45159</v>
      </c>
      <c r="C11014" s="1" t="n">
        <v>45736</v>
      </c>
      <c r="D11014" t="inlineStr">
        <is>
          <t>VÄRMLANDS LÄN</t>
        </is>
      </c>
      <c r="E11014" t="inlineStr">
        <is>
          <t>TORSBY</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37744-2023</t>
        </is>
      </c>
      <c r="B11015" s="1" t="n">
        <v>45159</v>
      </c>
      <c r="C11015" s="1" t="n">
        <v>45736</v>
      </c>
      <c r="D11015" t="inlineStr">
        <is>
          <t>VÄRMLANDS LÄN</t>
        </is>
      </c>
      <c r="E11015" t="inlineStr">
        <is>
          <t>SÄFFLE</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37768-2023</t>
        </is>
      </c>
      <c r="B11016" s="1" t="n">
        <v>45159</v>
      </c>
      <c r="C11016" s="1" t="n">
        <v>45736</v>
      </c>
      <c r="D11016" t="inlineStr">
        <is>
          <t>VÄRMLANDS LÄN</t>
        </is>
      </c>
      <c r="E11016" t="inlineStr">
        <is>
          <t>ÅRJÄNG</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37772-2023</t>
        </is>
      </c>
      <c r="B11017" s="1" t="n">
        <v>45159</v>
      </c>
      <c r="C11017" s="1" t="n">
        <v>45736</v>
      </c>
      <c r="D11017" t="inlineStr">
        <is>
          <t>VÄRMLANDS LÄN</t>
        </is>
      </c>
      <c r="E11017" t="inlineStr">
        <is>
          <t>ÅRJÄNG</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37622-2023</t>
        </is>
      </c>
      <c r="B11018" s="1" t="n">
        <v>45159</v>
      </c>
      <c r="C11018" s="1" t="n">
        <v>45736</v>
      </c>
      <c r="D11018" t="inlineStr">
        <is>
          <t>VÄRMLANDS LÄN</t>
        </is>
      </c>
      <c r="E11018" t="inlineStr">
        <is>
          <t>KRISTINEHAMN</t>
        </is>
      </c>
      <c r="F11018" t="inlineStr">
        <is>
          <t>Sveaskog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37652-2023</t>
        </is>
      </c>
      <c r="B11019" s="1" t="n">
        <v>45159</v>
      </c>
      <c r="C11019" s="1" t="n">
        <v>45736</v>
      </c>
      <c r="D11019" t="inlineStr">
        <is>
          <t>VÄRMLANDS LÄN</t>
        </is>
      </c>
      <c r="E11019" t="inlineStr">
        <is>
          <t>ARVIKA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37559-2023</t>
        </is>
      </c>
      <c r="B11020" s="1" t="n">
        <v>45159</v>
      </c>
      <c r="C11020" s="1" t="n">
        <v>45736</v>
      </c>
      <c r="D11020" t="inlineStr">
        <is>
          <t>VÄRMLANDS LÄN</t>
        </is>
      </c>
      <c r="E11020" t="inlineStr">
        <is>
          <t>EDA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37765-2023</t>
        </is>
      </c>
      <c r="B11021" s="1" t="n">
        <v>45159</v>
      </c>
      <c r="C11021" s="1" t="n">
        <v>45736</v>
      </c>
      <c r="D11021" t="inlineStr">
        <is>
          <t>VÄRMLANDS LÄN</t>
        </is>
      </c>
      <c r="E11021" t="inlineStr">
        <is>
          <t>ÅRJÄNG</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37577-2023</t>
        </is>
      </c>
      <c r="B11022" s="1" t="n">
        <v>45159</v>
      </c>
      <c r="C11022" s="1" t="n">
        <v>45736</v>
      </c>
      <c r="D11022" t="inlineStr">
        <is>
          <t>VÄRMLANDS LÄN</t>
        </is>
      </c>
      <c r="E11022" t="inlineStr">
        <is>
          <t>FILIPSTAD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37604-2023</t>
        </is>
      </c>
      <c r="B11023" s="1" t="n">
        <v>45159</v>
      </c>
      <c r="C11023" s="1" t="n">
        <v>45736</v>
      </c>
      <c r="D11023" t="inlineStr">
        <is>
          <t>VÄRMLANDS LÄN</t>
        </is>
      </c>
      <c r="E11023" t="inlineStr">
        <is>
          <t>TORSBY</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37658-2023</t>
        </is>
      </c>
      <c r="B11024" s="1" t="n">
        <v>45159</v>
      </c>
      <c r="C11024" s="1" t="n">
        <v>45736</v>
      </c>
      <c r="D11024" t="inlineStr">
        <is>
          <t>VÄRMLANDS LÄN</t>
        </is>
      </c>
      <c r="E11024" t="inlineStr">
        <is>
          <t>ARVIKA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37623-2023</t>
        </is>
      </c>
      <c r="B11025" s="1" t="n">
        <v>45159</v>
      </c>
      <c r="C11025" s="1" t="n">
        <v>45736</v>
      </c>
      <c r="D11025" t="inlineStr">
        <is>
          <t>VÄRMLANDS LÄN</t>
        </is>
      </c>
      <c r="E11025" t="inlineStr">
        <is>
          <t>TORSBY</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37666-2023</t>
        </is>
      </c>
      <c r="B11026" s="1" t="n">
        <v>45159</v>
      </c>
      <c r="C11026" s="1" t="n">
        <v>45736</v>
      </c>
      <c r="D11026" t="inlineStr">
        <is>
          <t>VÄRMLANDS LÄN</t>
        </is>
      </c>
      <c r="E11026" t="inlineStr">
        <is>
          <t>SUNNE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37648-2023</t>
        </is>
      </c>
      <c r="B11027" s="1" t="n">
        <v>45159</v>
      </c>
      <c r="C11027" s="1" t="n">
        <v>45736</v>
      </c>
      <c r="D11027" t="inlineStr">
        <is>
          <t>VÄRMLANDS LÄN</t>
        </is>
      </c>
      <c r="E11027" t="inlineStr">
        <is>
          <t>ARVIKA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37742-2023</t>
        </is>
      </c>
      <c r="B11028" s="1" t="n">
        <v>45159</v>
      </c>
      <c r="C11028" s="1" t="n">
        <v>45736</v>
      </c>
      <c r="D11028" t="inlineStr">
        <is>
          <t>VÄRMLANDS LÄN</t>
        </is>
      </c>
      <c r="E11028" t="inlineStr">
        <is>
          <t>KRISTINEHAMN</t>
        </is>
      </c>
      <c r="F11028" t="inlineStr">
        <is>
          <t>Sveaskog</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37797-2023</t>
        </is>
      </c>
      <c r="B11029" s="1" t="n">
        <v>45159</v>
      </c>
      <c r="C11029" s="1" t="n">
        <v>45736</v>
      </c>
      <c r="D11029" t="inlineStr">
        <is>
          <t>VÄRMLANDS LÄN</t>
        </is>
      </c>
      <c r="E11029" t="inlineStr">
        <is>
          <t>SUNNE</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37798-2023</t>
        </is>
      </c>
      <c r="B11030" s="1" t="n">
        <v>45160</v>
      </c>
      <c r="C11030" s="1" t="n">
        <v>45736</v>
      </c>
      <c r="D11030" t="inlineStr">
        <is>
          <t>VÄRMLANDS LÄN</t>
        </is>
      </c>
      <c r="E11030" t="inlineStr">
        <is>
          <t>SUNNE</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37879-2023</t>
        </is>
      </c>
      <c r="B11031" s="1" t="n">
        <v>45160</v>
      </c>
      <c r="C11031" s="1" t="n">
        <v>45736</v>
      </c>
      <c r="D11031" t="inlineStr">
        <is>
          <t>VÄRMLANDS LÄN</t>
        </is>
      </c>
      <c r="E11031" t="inlineStr">
        <is>
          <t>ARVIKA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37869-2023</t>
        </is>
      </c>
      <c r="B11032" s="1" t="n">
        <v>45160</v>
      </c>
      <c r="C11032" s="1" t="n">
        <v>45736</v>
      </c>
      <c r="D11032" t="inlineStr">
        <is>
          <t>VÄRMLANDS LÄN</t>
        </is>
      </c>
      <c r="E11032" t="inlineStr">
        <is>
          <t>ARVIKA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38020-2023</t>
        </is>
      </c>
      <c r="B11033" s="1" t="n">
        <v>45160</v>
      </c>
      <c r="C11033" s="1" t="n">
        <v>45736</v>
      </c>
      <c r="D11033" t="inlineStr">
        <is>
          <t>VÄRMLANDS LÄN</t>
        </is>
      </c>
      <c r="E11033" t="inlineStr">
        <is>
          <t>KARLSTAD</t>
        </is>
      </c>
      <c r="G11033" t="n">
        <v>7.2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37822-2023</t>
        </is>
      </c>
      <c r="B11034" s="1" t="n">
        <v>45160</v>
      </c>
      <c r="C11034" s="1" t="n">
        <v>45736</v>
      </c>
      <c r="D11034" t="inlineStr">
        <is>
          <t>VÄRMLANDS LÄN</t>
        </is>
      </c>
      <c r="E11034" t="inlineStr">
        <is>
          <t>TORSBY</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37911-2023</t>
        </is>
      </c>
      <c r="B11035" s="1" t="n">
        <v>45160</v>
      </c>
      <c r="C11035" s="1" t="n">
        <v>45736</v>
      </c>
      <c r="D11035" t="inlineStr">
        <is>
          <t>VÄRMLANDS LÄN</t>
        </is>
      </c>
      <c r="E11035" t="inlineStr">
        <is>
          <t>SUNNE</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38023-2023</t>
        </is>
      </c>
      <c r="B11036" s="1" t="n">
        <v>45160</v>
      </c>
      <c r="C11036" s="1" t="n">
        <v>45736</v>
      </c>
      <c r="D11036" t="inlineStr">
        <is>
          <t>VÄRMLANDS LÄN</t>
        </is>
      </c>
      <c r="E11036" t="inlineStr">
        <is>
          <t>KARLSTAD</t>
        </is>
      </c>
      <c r="G11036" t="n">
        <v>7.3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38038-2023</t>
        </is>
      </c>
      <c r="B11037" s="1" t="n">
        <v>45160</v>
      </c>
      <c r="C11037" s="1" t="n">
        <v>45736</v>
      </c>
      <c r="D11037" t="inlineStr">
        <is>
          <t>VÄRMLANDS LÄN</t>
        </is>
      </c>
      <c r="E11037" t="inlineStr">
        <is>
          <t>SUNNE</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38085-2023</t>
        </is>
      </c>
      <c r="B11038" s="1" t="n">
        <v>45160</v>
      </c>
      <c r="C11038" s="1" t="n">
        <v>45736</v>
      </c>
      <c r="D11038" t="inlineStr">
        <is>
          <t>VÄRMLANDS LÄN</t>
        </is>
      </c>
      <c r="E11038" t="inlineStr">
        <is>
          <t>TORSBY</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37936-2023</t>
        </is>
      </c>
      <c r="B11039" s="1" t="n">
        <v>45160</v>
      </c>
      <c r="C11039" s="1" t="n">
        <v>45736</v>
      </c>
      <c r="D11039" t="inlineStr">
        <is>
          <t>VÄRMLANDS LÄN</t>
        </is>
      </c>
      <c r="E11039" t="inlineStr">
        <is>
          <t>TORSBY</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38025-2023</t>
        </is>
      </c>
      <c r="B11040" s="1" t="n">
        <v>45160</v>
      </c>
      <c r="C11040" s="1" t="n">
        <v>45736</v>
      </c>
      <c r="D11040" t="inlineStr">
        <is>
          <t>VÄRMLANDS LÄN</t>
        </is>
      </c>
      <c r="E11040" t="inlineStr">
        <is>
          <t>KARLSTAD</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38066-2023</t>
        </is>
      </c>
      <c r="B11041" s="1" t="n">
        <v>45160</v>
      </c>
      <c r="C11041" s="1" t="n">
        <v>45736</v>
      </c>
      <c r="D11041" t="inlineStr">
        <is>
          <t>VÄRMLANDS LÄN</t>
        </is>
      </c>
      <c r="E11041" t="inlineStr">
        <is>
          <t>SUNNE</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38084-2023</t>
        </is>
      </c>
      <c r="B11042" s="1" t="n">
        <v>45160</v>
      </c>
      <c r="C11042" s="1" t="n">
        <v>45736</v>
      </c>
      <c r="D11042" t="inlineStr">
        <is>
          <t>VÄRMLANDS LÄN</t>
        </is>
      </c>
      <c r="E11042" t="inlineStr">
        <is>
          <t>TORSBY</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38044-2023</t>
        </is>
      </c>
      <c r="B11043" s="1" t="n">
        <v>45160</v>
      </c>
      <c r="C11043" s="1" t="n">
        <v>45736</v>
      </c>
      <c r="D11043" t="inlineStr">
        <is>
          <t>VÄRMLANDS LÄN</t>
        </is>
      </c>
      <c r="E11043" t="inlineStr">
        <is>
          <t>TORSBY</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38086-2023</t>
        </is>
      </c>
      <c r="B11044" s="1" t="n">
        <v>45160</v>
      </c>
      <c r="C11044" s="1" t="n">
        <v>45736</v>
      </c>
      <c r="D11044" t="inlineStr">
        <is>
          <t>VÄRMLANDS LÄN</t>
        </is>
      </c>
      <c r="E11044" t="inlineStr">
        <is>
          <t>TORSBY</t>
        </is>
      </c>
      <c r="G11044" t="n">
        <v>6.2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38559-2023</t>
        </is>
      </c>
      <c r="B11045" s="1" t="n">
        <v>45160</v>
      </c>
      <c r="C11045" s="1" t="n">
        <v>45736</v>
      </c>
      <c r="D11045" t="inlineStr">
        <is>
          <t>VÄRMLANDS LÄN</t>
        </is>
      </c>
      <c r="E11045" t="inlineStr">
        <is>
          <t>KRISTINEHAMN</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38107-2023</t>
        </is>
      </c>
      <c r="B11046" s="1" t="n">
        <v>45161</v>
      </c>
      <c r="C11046" s="1" t="n">
        <v>45736</v>
      </c>
      <c r="D11046" t="inlineStr">
        <is>
          <t>VÄRMLANDS LÄN</t>
        </is>
      </c>
      <c r="E11046" t="inlineStr">
        <is>
          <t>ARVIKA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38158-2023</t>
        </is>
      </c>
      <c r="B11047" s="1" t="n">
        <v>45161</v>
      </c>
      <c r="C11047" s="1" t="n">
        <v>45736</v>
      </c>
      <c r="D11047" t="inlineStr">
        <is>
          <t>VÄRMLANDS LÄN</t>
        </is>
      </c>
      <c r="E11047" t="inlineStr">
        <is>
          <t>ÅRJÄNG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38104-2023</t>
        </is>
      </c>
      <c r="B11048" s="1" t="n">
        <v>45161</v>
      </c>
      <c r="C11048" s="1" t="n">
        <v>45736</v>
      </c>
      <c r="D11048" t="inlineStr">
        <is>
          <t>VÄRMLANDS LÄN</t>
        </is>
      </c>
      <c r="E11048" t="inlineStr">
        <is>
          <t>EDA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38108-2023</t>
        </is>
      </c>
      <c r="B11049" s="1" t="n">
        <v>45161</v>
      </c>
      <c r="C11049" s="1" t="n">
        <v>45736</v>
      </c>
      <c r="D11049" t="inlineStr">
        <is>
          <t>VÄRMLANDS LÄN</t>
        </is>
      </c>
      <c r="E11049" t="inlineStr">
        <is>
          <t>EDA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38163-2023</t>
        </is>
      </c>
      <c r="B11050" s="1" t="n">
        <v>45161</v>
      </c>
      <c r="C11050" s="1" t="n">
        <v>45736</v>
      </c>
      <c r="D11050" t="inlineStr">
        <is>
          <t>VÄRMLANDS LÄN</t>
        </is>
      </c>
      <c r="E11050" t="inlineStr">
        <is>
          <t>SUNNE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38252-2023</t>
        </is>
      </c>
      <c r="B11051" s="1" t="n">
        <v>45161</v>
      </c>
      <c r="C11051" s="1" t="n">
        <v>45736</v>
      </c>
      <c r="D11051" t="inlineStr">
        <is>
          <t>VÄRMLANDS LÄN</t>
        </is>
      </c>
      <c r="E11051" t="inlineStr">
        <is>
          <t>TORSBY</t>
        </is>
      </c>
      <c r="G11051" t="n">
        <v>9.6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38232-2023</t>
        </is>
      </c>
      <c r="B11052" s="1" t="n">
        <v>45161</v>
      </c>
      <c r="C11052" s="1" t="n">
        <v>45736</v>
      </c>
      <c r="D11052" t="inlineStr">
        <is>
          <t>VÄRMLANDS LÄN</t>
        </is>
      </c>
      <c r="E11052" t="inlineStr">
        <is>
          <t>TORSBY</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38257-2023</t>
        </is>
      </c>
      <c r="B11053" s="1" t="n">
        <v>45161</v>
      </c>
      <c r="C11053" s="1" t="n">
        <v>45736</v>
      </c>
      <c r="D11053" t="inlineStr">
        <is>
          <t>VÄRMLANDS LÄN</t>
        </is>
      </c>
      <c r="E11053" t="inlineStr">
        <is>
          <t>TORSBY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38318-2023</t>
        </is>
      </c>
      <c r="B11054" s="1" t="n">
        <v>45161</v>
      </c>
      <c r="C11054" s="1" t="n">
        <v>45736</v>
      </c>
      <c r="D11054" t="inlineStr">
        <is>
          <t>VÄRMLANDS LÄN</t>
        </is>
      </c>
      <c r="E11054" t="inlineStr">
        <is>
          <t>KRISTINEHAMN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38317-2023</t>
        </is>
      </c>
      <c r="B11055" s="1" t="n">
        <v>45161</v>
      </c>
      <c r="C11055" s="1" t="n">
        <v>45736</v>
      </c>
      <c r="D11055" t="inlineStr">
        <is>
          <t>VÄRMLANDS LÄN</t>
        </is>
      </c>
      <c r="E11055" t="inlineStr">
        <is>
          <t>KARLSTAD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38106-2023</t>
        </is>
      </c>
      <c r="B11056" s="1" t="n">
        <v>45161</v>
      </c>
      <c r="C11056" s="1" t="n">
        <v>45736</v>
      </c>
      <c r="D11056" t="inlineStr">
        <is>
          <t>VÄRMLANDS LÄN</t>
        </is>
      </c>
      <c r="E11056" t="inlineStr">
        <is>
          <t>ARVIKA</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38110-2023</t>
        </is>
      </c>
      <c r="B11057" s="1" t="n">
        <v>45161</v>
      </c>
      <c r="C11057" s="1" t="n">
        <v>45736</v>
      </c>
      <c r="D11057" t="inlineStr">
        <is>
          <t>VÄRMLANDS LÄN</t>
        </is>
      </c>
      <c r="E11057" t="inlineStr">
        <is>
          <t>EDA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38169-2023</t>
        </is>
      </c>
      <c r="B11058" s="1" t="n">
        <v>45161</v>
      </c>
      <c r="C11058" s="1" t="n">
        <v>45736</v>
      </c>
      <c r="D11058" t="inlineStr">
        <is>
          <t>VÄRMLANDS LÄN</t>
        </is>
      </c>
      <c r="E11058" t="inlineStr">
        <is>
          <t>SUNNE</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38210-2023</t>
        </is>
      </c>
      <c r="B11059" s="1" t="n">
        <v>45161</v>
      </c>
      <c r="C11059" s="1" t="n">
        <v>45736</v>
      </c>
      <c r="D11059" t="inlineStr">
        <is>
          <t>VÄRMLANDS LÄN</t>
        </is>
      </c>
      <c r="E11059" t="inlineStr">
        <is>
          <t>EDA</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38218-2023</t>
        </is>
      </c>
      <c r="B11060" s="1" t="n">
        <v>45161</v>
      </c>
      <c r="C11060" s="1" t="n">
        <v>45736</v>
      </c>
      <c r="D11060" t="inlineStr">
        <is>
          <t>VÄRMLANDS LÄN</t>
        </is>
      </c>
      <c r="E11060" t="inlineStr">
        <is>
          <t>SÄFFLE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38263-2023</t>
        </is>
      </c>
      <c r="B11061" s="1" t="n">
        <v>45161</v>
      </c>
      <c r="C11061" s="1" t="n">
        <v>45736</v>
      </c>
      <c r="D11061" t="inlineStr">
        <is>
          <t>VÄRMLANDS LÄN</t>
        </is>
      </c>
      <c r="E11061" t="inlineStr">
        <is>
          <t>TORSBY</t>
        </is>
      </c>
      <c r="F11061" t="inlineStr">
        <is>
          <t>Kyrkan</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38316-2023</t>
        </is>
      </c>
      <c r="B11062" s="1" t="n">
        <v>45161</v>
      </c>
      <c r="C11062" s="1" t="n">
        <v>45736</v>
      </c>
      <c r="D11062" t="inlineStr">
        <is>
          <t>VÄRMLANDS LÄN</t>
        </is>
      </c>
      <c r="E11062" t="inlineStr">
        <is>
          <t>KARLSTAD</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38125-2023</t>
        </is>
      </c>
      <c r="B11063" s="1" t="n">
        <v>45161</v>
      </c>
      <c r="C11063" s="1" t="n">
        <v>45736</v>
      </c>
      <c r="D11063" t="inlineStr">
        <is>
          <t>VÄRMLANDS LÄN</t>
        </is>
      </c>
      <c r="E11063" t="inlineStr">
        <is>
          <t>EDA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38160-2023</t>
        </is>
      </c>
      <c r="B11064" s="1" t="n">
        <v>45161</v>
      </c>
      <c r="C11064" s="1" t="n">
        <v>45736</v>
      </c>
      <c r="D11064" t="inlineStr">
        <is>
          <t>VÄRMLANDS LÄN</t>
        </is>
      </c>
      <c r="E11064" t="inlineStr">
        <is>
          <t>ÅRJÄNG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38205-2023</t>
        </is>
      </c>
      <c r="B11065" s="1" t="n">
        <v>45161</v>
      </c>
      <c r="C11065" s="1" t="n">
        <v>45736</v>
      </c>
      <c r="D11065" t="inlineStr">
        <is>
          <t>VÄRMLANDS LÄN</t>
        </is>
      </c>
      <c r="E11065" t="inlineStr">
        <is>
          <t>HAGFORS</t>
        </is>
      </c>
      <c r="F11065" t="inlineStr">
        <is>
          <t>Bergvik skog väst AB</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38213-2023</t>
        </is>
      </c>
      <c r="B11066" s="1" t="n">
        <v>45161</v>
      </c>
      <c r="C11066" s="1" t="n">
        <v>45736</v>
      </c>
      <c r="D11066" t="inlineStr">
        <is>
          <t>VÄRMLANDS LÄN</t>
        </is>
      </c>
      <c r="E11066" t="inlineStr">
        <is>
          <t>SÄFFLE</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38286-2023</t>
        </is>
      </c>
      <c r="B11067" s="1" t="n">
        <v>45161</v>
      </c>
      <c r="C11067" s="1" t="n">
        <v>45736</v>
      </c>
      <c r="D11067" t="inlineStr">
        <is>
          <t>VÄRMLANDS LÄN</t>
        </is>
      </c>
      <c r="E11067" t="inlineStr">
        <is>
          <t>TORSBY</t>
        </is>
      </c>
      <c r="F11067" t="inlineStr">
        <is>
          <t>Kyrkan</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38319-2023</t>
        </is>
      </c>
      <c r="B11068" s="1" t="n">
        <v>45161</v>
      </c>
      <c r="C11068" s="1" t="n">
        <v>45736</v>
      </c>
      <c r="D11068" t="inlineStr">
        <is>
          <t>VÄRMLANDS LÄN</t>
        </is>
      </c>
      <c r="E11068" t="inlineStr">
        <is>
          <t>KARLSTAD</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38567-2023</t>
        </is>
      </c>
      <c r="B11069" s="1" t="n">
        <v>45161</v>
      </c>
      <c r="C11069" s="1" t="n">
        <v>45736</v>
      </c>
      <c r="D11069" t="inlineStr">
        <is>
          <t>VÄRMLANDS LÄN</t>
        </is>
      </c>
      <c r="E11069" t="inlineStr">
        <is>
          <t>ARVIKA</t>
        </is>
      </c>
      <c r="G11069" t="n">
        <v>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38435-2023</t>
        </is>
      </c>
      <c r="B11070" s="1" t="n">
        <v>45162</v>
      </c>
      <c r="C11070" s="1" t="n">
        <v>45736</v>
      </c>
      <c r="D11070" t="inlineStr">
        <is>
          <t>VÄRMLANDS LÄN</t>
        </is>
      </c>
      <c r="E11070" t="inlineStr">
        <is>
          <t>SUNNE</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39008-2023</t>
        </is>
      </c>
      <c r="B11071" s="1" t="n">
        <v>45162</v>
      </c>
      <c r="C11071" s="1" t="n">
        <v>45736</v>
      </c>
      <c r="D11071" t="inlineStr">
        <is>
          <t>VÄRMLANDS LÄN</t>
        </is>
      </c>
      <c r="E11071" t="inlineStr">
        <is>
          <t>ÅRJÄNG</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38575-2023</t>
        </is>
      </c>
      <c r="B11072" s="1" t="n">
        <v>45162</v>
      </c>
      <c r="C11072" s="1" t="n">
        <v>45736</v>
      </c>
      <c r="D11072" t="inlineStr">
        <is>
          <t>VÄRMLANDS LÄN</t>
        </is>
      </c>
      <c r="E11072" t="inlineStr">
        <is>
          <t>FORSHAGA</t>
        </is>
      </c>
      <c r="F11072" t="inlineStr">
        <is>
          <t>Kommuner</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38463-2023</t>
        </is>
      </c>
      <c r="B11073" s="1" t="n">
        <v>45162</v>
      </c>
      <c r="C11073" s="1" t="n">
        <v>45736</v>
      </c>
      <c r="D11073" t="inlineStr">
        <is>
          <t>VÄRMLANDS LÄN</t>
        </is>
      </c>
      <c r="E11073" t="inlineStr">
        <is>
          <t>FILIPSTAD</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38478-2023</t>
        </is>
      </c>
      <c r="B11074" s="1" t="n">
        <v>45162</v>
      </c>
      <c r="C11074" s="1" t="n">
        <v>45736</v>
      </c>
      <c r="D11074" t="inlineStr">
        <is>
          <t>VÄRMLANDS LÄN</t>
        </is>
      </c>
      <c r="E11074" t="inlineStr">
        <is>
          <t>ARVIKA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38405-2023</t>
        </is>
      </c>
      <c r="B11075" s="1" t="n">
        <v>45162</v>
      </c>
      <c r="C11075" s="1" t="n">
        <v>45736</v>
      </c>
      <c r="D11075" t="inlineStr">
        <is>
          <t>VÄRMLANDS LÄN</t>
        </is>
      </c>
      <c r="E11075" t="inlineStr">
        <is>
          <t>EDA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38416-2023</t>
        </is>
      </c>
      <c r="B11076" s="1" t="n">
        <v>45162</v>
      </c>
      <c r="C11076" s="1" t="n">
        <v>45736</v>
      </c>
      <c r="D11076" t="inlineStr">
        <is>
          <t>VÄRMLANDS LÄN</t>
        </is>
      </c>
      <c r="E11076" t="inlineStr">
        <is>
          <t>KRISTINEHAMN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38523-2023</t>
        </is>
      </c>
      <c r="B11077" s="1" t="n">
        <v>45162</v>
      </c>
      <c r="C11077" s="1" t="n">
        <v>45736</v>
      </c>
      <c r="D11077" t="inlineStr">
        <is>
          <t>VÄRMLANDS LÄN</t>
        </is>
      </c>
      <c r="E11077" t="inlineStr">
        <is>
          <t>GRUMS</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38536-2023</t>
        </is>
      </c>
      <c r="B11078" s="1" t="n">
        <v>45162</v>
      </c>
      <c r="C11078" s="1" t="n">
        <v>45736</v>
      </c>
      <c r="D11078" t="inlineStr">
        <is>
          <t>VÄRMLANDS LÄN</t>
        </is>
      </c>
      <c r="E11078" t="inlineStr">
        <is>
          <t>ARVIKA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38541-2023</t>
        </is>
      </c>
      <c r="B11079" s="1" t="n">
        <v>45162</v>
      </c>
      <c r="C11079" s="1" t="n">
        <v>45736</v>
      </c>
      <c r="D11079" t="inlineStr">
        <is>
          <t>VÄRMLANDS LÄN</t>
        </is>
      </c>
      <c r="E11079" t="inlineStr">
        <is>
          <t>TORSBY</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38531-2023</t>
        </is>
      </c>
      <c r="B11080" s="1" t="n">
        <v>45162</v>
      </c>
      <c r="C11080" s="1" t="n">
        <v>45736</v>
      </c>
      <c r="D11080" t="inlineStr">
        <is>
          <t>VÄRMLANDS LÄN</t>
        </is>
      </c>
      <c r="E11080" t="inlineStr">
        <is>
          <t>ARVIKA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38555-2023</t>
        </is>
      </c>
      <c r="B11081" s="1" t="n">
        <v>45162</v>
      </c>
      <c r="C11081" s="1" t="n">
        <v>45736</v>
      </c>
      <c r="D11081" t="inlineStr">
        <is>
          <t>VÄRMLANDS LÄN</t>
        </is>
      </c>
      <c r="E11081" t="inlineStr">
        <is>
          <t>HAGFORS</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38612-2023</t>
        </is>
      </c>
      <c r="B11082" s="1" t="n">
        <v>45162</v>
      </c>
      <c r="C11082" s="1" t="n">
        <v>45736</v>
      </c>
      <c r="D11082" t="inlineStr">
        <is>
          <t>VÄRMLANDS LÄN</t>
        </is>
      </c>
      <c r="E11082" t="inlineStr">
        <is>
          <t>HAGFORS</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38622-2023</t>
        </is>
      </c>
      <c r="B11083" s="1" t="n">
        <v>45162</v>
      </c>
      <c r="C11083" s="1" t="n">
        <v>45736</v>
      </c>
      <c r="D11083" t="inlineStr">
        <is>
          <t>VÄRMLANDS LÄN</t>
        </is>
      </c>
      <c r="E11083" t="inlineStr">
        <is>
          <t>EDA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38641-2023</t>
        </is>
      </c>
      <c r="B11084" s="1" t="n">
        <v>45162</v>
      </c>
      <c r="C11084" s="1" t="n">
        <v>45736</v>
      </c>
      <c r="D11084" t="inlineStr">
        <is>
          <t>VÄRMLANDS LÄN</t>
        </is>
      </c>
      <c r="E11084" t="inlineStr">
        <is>
          <t>TORSBY</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38637-2023</t>
        </is>
      </c>
      <c r="B11085" s="1" t="n">
        <v>45162</v>
      </c>
      <c r="C11085" s="1" t="n">
        <v>45736</v>
      </c>
      <c r="D11085" t="inlineStr">
        <is>
          <t>VÄRMLANDS LÄN</t>
        </is>
      </c>
      <c r="E11085" t="inlineStr">
        <is>
          <t>TORSBY</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38668-2023</t>
        </is>
      </c>
      <c r="B11086" s="1" t="n">
        <v>45162</v>
      </c>
      <c r="C11086" s="1" t="n">
        <v>45736</v>
      </c>
      <c r="D11086" t="inlineStr">
        <is>
          <t>VÄRMLANDS LÄN</t>
        </is>
      </c>
      <c r="E11086" t="inlineStr">
        <is>
          <t>TORSBY</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38616-2023</t>
        </is>
      </c>
      <c r="B11087" s="1" t="n">
        <v>45162</v>
      </c>
      <c r="C11087" s="1" t="n">
        <v>45736</v>
      </c>
      <c r="D11087" t="inlineStr">
        <is>
          <t>VÄRMLANDS LÄN</t>
        </is>
      </c>
      <c r="E11087" t="inlineStr">
        <is>
          <t>EDA</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38621-2023</t>
        </is>
      </c>
      <c r="B11088" s="1" t="n">
        <v>45162</v>
      </c>
      <c r="C11088" s="1" t="n">
        <v>45736</v>
      </c>
      <c r="D11088" t="inlineStr">
        <is>
          <t>VÄRMLANDS LÄN</t>
        </is>
      </c>
      <c r="E11088" t="inlineStr">
        <is>
          <t>SÄFFLE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38840-2023</t>
        </is>
      </c>
      <c r="B11089" s="1" t="n">
        <v>45163</v>
      </c>
      <c r="C11089" s="1" t="n">
        <v>45736</v>
      </c>
      <c r="D11089" t="inlineStr">
        <is>
          <t>VÄRMLANDS LÄN</t>
        </is>
      </c>
      <c r="E11089" t="inlineStr">
        <is>
          <t>ÅRJÄNG</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38883-2023</t>
        </is>
      </c>
      <c r="B11090" s="1" t="n">
        <v>45163</v>
      </c>
      <c r="C11090" s="1" t="n">
        <v>45736</v>
      </c>
      <c r="D11090" t="inlineStr">
        <is>
          <t>VÄRMLANDS LÄN</t>
        </is>
      </c>
      <c r="E11090" t="inlineStr">
        <is>
          <t>KARLSTAD</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38908-2023</t>
        </is>
      </c>
      <c r="B11091" s="1" t="n">
        <v>45163</v>
      </c>
      <c r="C11091" s="1" t="n">
        <v>45736</v>
      </c>
      <c r="D11091" t="inlineStr">
        <is>
          <t>VÄRMLANDS LÄN</t>
        </is>
      </c>
      <c r="E11091" t="inlineStr">
        <is>
          <t>ARVIKA</t>
        </is>
      </c>
      <c r="F11091" t="inlineStr">
        <is>
          <t>Bergvik skog väst AB</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38926-2023</t>
        </is>
      </c>
      <c r="B11092" s="1" t="n">
        <v>45163</v>
      </c>
      <c r="C11092" s="1" t="n">
        <v>45736</v>
      </c>
      <c r="D11092" t="inlineStr">
        <is>
          <t>VÄRMLANDS LÄN</t>
        </is>
      </c>
      <c r="E11092" t="inlineStr">
        <is>
          <t>ÅRJÄNG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39025-2023</t>
        </is>
      </c>
      <c r="B11093" s="1" t="n">
        <v>45163</v>
      </c>
      <c r="C11093" s="1" t="n">
        <v>45736</v>
      </c>
      <c r="D11093" t="inlineStr">
        <is>
          <t>VÄRMLANDS LÄN</t>
        </is>
      </c>
      <c r="E11093" t="inlineStr">
        <is>
          <t>STORFORS</t>
        </is>
      </c>
      <c r="F11093" t="inlineStr">
        <is>
          <t>Kyrkan</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39408-2023</t>
        </is>
      </c>
      <c r="B11094" s="1" t="n">
        <v>45163</v>
      </c>
      <c r="C11094" s="1" t="n">
        <v>45736</v>
      </c>
      <c r="D11094" t="inlineStr">
        <is>
          <t>VÄRMLANDS LÄN</t>
        </is>
      </c>
      <c r="E11094" t="inlineStr">
        <is>
          <t>TORSBY</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38876-2023</t>
        </is>
      </c>
      <c r="B11095" s="1" t="n">
        <v>45163</v>
      </c>
      <c r="C11095" s="1" t="n">
        <v>45736</v>
      </c>
      <c r="D11095" t="inlineStr">
        <is>
          <t>VÄRMLANDS LÄN</t>
        </is>
      </c>
      <c r="E11095" t="inlineStr">
        <is>
          <t>HAGFORS</t>
        </is>
      </c>
      <c r="F11095" t="inlineStr">
        <is>
          <t>Bergvik skog väst AB</t>
        </is>
      </c>
      <c r="G11095" t="n">
        <v>14.6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38923-2023</t>
        </is>
      </c>
      <c r="B11096" s="1" t="n">
        <v>45163</v>
      </c>
      <c r="C11096" s="1" t="n">
        <v>45736</v>
      </c>
      <c r="D11096" t="inlineStr">
        <is>
          <t>VÄRMLANDS LÄN</t>
        </is>
      </c>
      <c r="E11096" t="inlineStr">
        <is>
          <t>HAGFORS</t>
        </is>
      </c>
      <c r="F11096" t="inlineStr">
        <is>
          <t>Bergvik skog väst AB</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38991-2023</t>
        </is>
      </c>
      <c r="B11097" s="1" t="n">
        <v>45163</v>
      </c>
      <c r="C11097" s="1" t="n">
        <v>45736</v>
      </c>
      <c r="D11097" t="inlineStr">
        <is>
          <t>VÄRMLANDS LÄN</t>
        </is>
      </c>
      <c r="E11097" t="inlineStr">
        <is>
          <t>TORSBY</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38982-2023</t>
        </is>
      </c>
      <c r="B11098" s="1" t="n">
        <v>45163</v>
      </c>
      <c r="C11098" s="1" t="n">
        <v>45736</v>
      </c>
      <c r="D11098" t="inlineStr">
        <is>
          <t>VÄRMLANDS LÄN</t>
        </is>
      </c>
      <c r="E11098" t="inlineStr">
        <is>
          <t>HAGFORS</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38722-2023</t>
        </is>
      </c>
      <c r="B11099" s="1" t="n">
        <v>45163</v>
      </c>
      <c r="C11099" s="1" t="n">
        <v>45736</v>
      </c>
      <c r="D11099" t="inlineStr">
        <is>
          <t>VÄRMLANDS LÄN</t>
        </is>
      </c>
      <c r="E11099" t="inlineStr">
        <is>
          <t>TORSBY</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38707-2023</t>
        </is>
      </c>
      <c r="B11100" s="1" t="n">
        <v>45163</v>
      </c>
      <c r="C11100" s="1" t="n">
        <v>45736</v>
      </c>
      <c r="D11100" t="inlineStr">
        <is>
          <t>VÄRMLANDS LÄN</t>
        </is>
      </c>
      <c r="E11100" t="inlineStr">
        <is>
          <t>ÅRJÄNG</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38933-2023</t>
        </is>
      </c>
      <c r="B11101" s="1" t="n">
        <v>45163</v>
      </c>
      <c r="C11101" s="1" t="n">
        <v>45736</v>
      </c>
      <c r="D11101" t="inlineStr">
        <is>
          <t>VÄRMLANDS LÄN</t>
        </is>
      </c>
      <c r="E11101" t="inlineStr">
        <is>
          <t>KARLSTAD</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38979-2023</t>
        </is>
      </c>
      <c r="B11102" s="1" t="n">
        <v>45163</v>
      </c>
      <c r="C11102" s="1" t="n">
        <v>45736</v>
      </c>
      <c r="D11102" t="inlineStr">
        <is>
          <t>VÄRMLANDS LÄN</t>
        </is>
      </c>
      <c r="E11102" t="inlineStr">
        <is>
          <t>TORSBY</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38756-2023</t>
        </is>
      </c>
      <c r="B11103" s="1" t="n">
        <v>45163</v>
      </c>
      <c r="C11103" s="1" t="n">
        <v>45736</v>
      </c>
      <c r="D11103" t="inlineStr">
        <is>
          <t>VÄRMLANDS LÄN</t>
        </is>
      </c>
      <c r="E11103" t="inlineStr">
        <is>
          <t>KIL</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38760-2023</t>
        </is>
      </c>
      <c r="B11104" s="1" t="n">
        <v>45163</v>
      </c>
      <c r="C11104" s="1" t="n">
        <v>45736</v>
      </c>
      <c r="D11104" t="inlineStr">
        <is>
          <t>VÄRMLANDS LÄN</t>
        </is>
      </c>
      <c r="E11104" t="inlineStr">
        <is>
          <t>KIL</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39597-2023</t>
        </is>
      </c>
      <c r="B11105" s="1" t="n">
        <v>45163</v>
      </c>
      <c r="C11105" s="1" t="n">
        <v>45736</v>
      </c>
      <c r="D11105" t="inlineStr">
        <is>
          <t>VÄRMLANDS LÄN</t>
        </is>
      </c>
      <c r="E11105" t="inlineStr">
        <is>
          <t>ARVIKA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39601-2023</t>
        </is>
      </c>
      <c r="B11106" s="1" t="n">
        <v>45163</v>
      </c>
      <c r="C11106" s="1" t="n">
        <v>45736</v>
      </c>
      <c r="D11106" t="inlineStr">
        <is>
          <t>VÄRMLANDS LÄN</t>
        </is>
      </c>
      <c r="E11106" t="inlineStr">
        <is>
          <t>ARVIKA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39096-2023</t>
        </is>
      </c>
      <c r="B11107" s="1" t="n">
        <v>45164</v>
      </c>
      <c r="C11107" s="1" t="n">
        <v>45736</v>
      </c>
      <c r="D11107" t="inlineStr">
        <is>
          <t>VÄRMLANDS LÄN</t>
        </is>
      </c>
      <c r="E11107" t="inlineStr">
        <is>
          <t>ÅRJÄNG</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39106-2023</t>
        </is>
      </c>
      <c r="B11108" s="1" t="n">
        <v>45164</v>
      </c>
      <c r="C11108" s="1" t="n">
        <v>45736</v>
      </c>
      <c r="D11108" t="inlineStr">
        <is>
          <t>VÄRMLANDS LÄN</t>
        </is>
      </c>
      <c r="E11108" t="inlineStr">
        <is>
          <t>KARLSTAD</t>
        </is>
      </c>
      <c r="G11108" t="n">
        <v>15.4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39086-2023</t>
        </is>
      </c>
      <c r="B11109" s="1" t="n">
        <v>45164</v>
      </c>
      <c r="C11109" s="1" t="n">
        <v>45736</v>
      </c>
      <c r="D11109" t="inlineStr">
        <is>
          <t>VÄRMLANDS LÄN</t>
        </is>
      </c>
      <c r="E11109" t="inlineStr">
        <is>
          <t>ARVIKA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39090-2023</t>
        </is>
      </c>
      <c r="B11110" s="1" t="n">
        <v>45164</v>
      </c>
      <c r="C11110" s="1" t="n">
        <v>45736</v>
      </c>
      <c r="D11110" t="inlineStr">
        <is>
          <t>VÄRMLANDS LÄN</t>
        </is>
      </c>
      <c r="E11110" t="inlineStr">
        <is>
          <t>SÄFFLE</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39098-2023</t>
        </is>
      </c>
      <c r="B11111" s="1" t="n">
        <v>45164</v>
      </c>
      <c r="C11111" s="1" t="n">
        <v>45736</v>
      </c>
      <c r="D11111" t="inlineStr">
        <is>
          <t>VÄRMLANDS LÄN</t>
        </is>
      </c>
      <c r="E11111" t="inlineStr">
        <is>
          <t>SUNNE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39128-2023</t>
        </is>
      </c>
      <c r="B11112" s="1" t="n">
        <v>45165</v>
      </c>
      <c r="C11112" s="1" t="n">
        <v>45736</v>
      </c>
      <c r="D11112" t="inlineStr">
        <is>
          <t>VÄRMLANDS LÄN</t>
        </is>
      </c>
      <c r="E11112" t="inlineStr">
        <is>
          <t>SUNNE</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39140-2023</t>
        </is>
      </c>
      <c r="B11113" s="1" t="n">
        <v>45165</v>
      </c>
      <c r="C11113" s="1" t="n">
        <v>45736</v>
      </c>
      <c r="D11113" t="inlineStr">
        <is>
          <t>VÄRMLANDS LÄN</t>
        </is>
      </c>
      <c r="E11113" t="inlineStr">
        <is>
          <t>ARVIKA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39131-2023</t>
        </is>
      </c>
      <c r="B11114" s="1" t="n">
        <v>45165</v>
      </c>
      <c r="C11114" s="1" t="n">
        <v>45736</v>
      </c>
      <c r="D11114" t="inlineStr">
        <is>
          <t>VÄRMLANDS LÄN</t>
        </is>
      </c>
      <c r="E11114" t="inlineStr">
        <is>
          <t>TORSBY</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39134-2023</t>
        </is>
      </c>
      <c r="B11115" s="1" t="n">
        <v>45165</v>
      </c>
      <c r="C11115" s="1" t="n">
        <v>45736</v>
      </c>
      <c r="D11115" t="inlineStr">
        <is>
          <t>VÄRMLANDS LÄN</t>
        </is>
      </c>
      <c r="E11115" t="inlineStr">
        <is>
          <t>TORSBY</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39203-2023</t>
        </is>
      </c>
      <c r="B11116" s="1" t="n">
        <v>45166</v>
      </c>
      <c r="C11116" s="1" t="n">
        <v>45736</v>
      </c>
      <c r="D11116" t="inlineStr">
        <is>
          <t>VÄRMLANDS LÄN</t>
        </is>
      </c>
      <c r="E11116" t="inlineStr">
        <is>
          <t>FORSHAGA</t>
        </is>
      </c>
      <c r="F11116" t="inlineStr">
        <is>
          <t>Kommuner</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39213-2023</t>
        </is>
      </c>
      <c r="B11117" s="1" t="n">
        <v>45166</v>
      </c>
      <c r="C11117" s="1" t="n">
        <v>45736</v>
      </c>
      <c r="D11117" t="inlineStr">
        <is>
          <t>VÄRMLANDS LÄN</t>
        </is>
      </c>
      <c r="E11117" t="inlineStr">
        <is>
          <t>FORSHAGA</t>
        </is>
      </c>
      <c r="F11117" t="inlineStr">
        <is>
          <t>Kommuner</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39172-2023</t>
        </is>
      </c>
      <c r="B11118" s="1" t="n">
        <v>45166</v>
      </c>
      <c r="C11118" s="1" t="n">
        <v>45736</v>
      </c>
      <c r="D11118" t="inlineStr">
        <is>
          <t>VÄRMLANDS LÄN</t>
        </is>
      </c>
      <c r="E11118" t="inlineStr">
        <is>
          <t>EDA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39201-2023</t>
        </is>
      </c>
      <c r="B11119" s="1" t="n">
        <v>45166</v>
      </c>
      <c r="C11119" s="1" t="n">
        <v>45736</v>
      </c>
      <c r="D11119" t="inlineStr">
        <is>
          <t>VÄRMLANDS LÄN</t>
        </is>
      </c>
      <c r="E11119" t="inlineStr">
        <is>
          <t>FORSHAGA</t>
        </is>
      </c>
      <c r="F11119" t="inlineStr">
        <is>
          <t>Kommuner</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39219-2023</t>
        </is>
      </c>
      <c r="B11120" s="1" t="n">
        <v>45166</v>
      </c>
      <c r="C11120" s="1" t="n">
        <v>45736</v>
      </c>
      <c r="D11120" t="inlineStr">
        <is>
          <t>VÄRMLANDS LÄN</t>
        </is>
      </c>
      <c r="E11120" t="inlineStr">
        <is>
          <t>ARVIKA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39224-2023</t>
        </is>
      </c>
      <c r="B11121" s="1" t="n">
        <v>45166</v>
      </c>
      <c r="C11121" s="1" t="n">
        <v>45736</v>
      </c>
      <c r="D11121" t="inlineStr">
        <is>
          <t>VÄRMLANDS LÄN</t>
        </is>
      </c>
      <c r="E11121" t="inlineStr">
        <is>
          <t>SUNNE</t>
        </is>
      </c>
      <c r="F11121" t="inlineStr">
        <is>
          <t>Kyrkan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39293-2023</t>
        </is>
      </c>
      <c r="B11122" s="1" t="n">
        <v>45166</v>
      </c>
      <c r="C11122" s="1" t="n">
        <v>45736</v>
      </c>
      <c r="D11122" t="inlineStr">
        <is>
          <t>VÄRMLANDS LÄN</t>
        </is>
      </c>
      <c r="E11122" t="inlineStr">
        <is>
          <t>HAGFORS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39306-2023</t>
        </is>
      </c>
      <c r="B11123" s="1" t="n">
        <v>45166</v>
      </c>
      <c r="C11123" s="1" t="n">
        <v>45736</v>
      </c>
      <c r="D11123" t="inlineStr">
        <is>
          <t>VÄRMLANDS LÄN</t>
        </is>
      </c>
      <c r="E11123" t="inlineStr">
        <is>
          <t>ARVIKA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39316-2023</t>
        </is>
      </c>
      <c r="B11124" s="1" t="n">
        <v>45166</v>
      </c>
      <c r="C11124" s="1" t="n">
        <v>45736</v>
      </c>
      <c r="D11124" t="inlineStr">
        <is>
          <t>VÄRMLANDS LÄN</t>
        </is>
      </c>
      <c r="E11124" t="inlineStr">
        <is>
          <t>SUNNE</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39178-2023</t>
        </is>
      </c>
      <c r="B11125" s="1" t="n">
        <v>45166</v>
      </c>
      <c r="C11125" s="1" t="n">
        <v>45736</v>
      </c>
      <c r="D11125" t="inlineStr">
        <is>
          <t>VÄRMLANDS LÄN</t>
        </is>
      </c>
      <c r="E11125" t="inlineStr">
        <is>
          <t>ÅRJÄNG</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39212-2023</t>
        </is>
      </c>
      <c r="B11126" s="1" t="n">
        <v>45166</v>
      </c>
      <c r="C11126" s="1" t="n">
        <v>45736</v>
      </c>
      <c r="D11126" t="inlineStr">
        <is>
          <t>VÄRMLANDS LÄN</t>
        </is>
      </c>
      <c r="E11126" t="inlineStr">
        <is>
          <t>ÅRJÄNG</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39390-2023</t>
        </is>
      </c>
      <c r="B11127" s="1" t="n">
        <v>45166</v>
      </c>
      <c r="C11127" s="1" t="n">
        <v>45736</v>
      </c>
      <c r="D11127" t="inlineStr">
        <is>
          <t>VÄRMLANDS LÄN</t>
        </is>
      </c>
      <c r="E11127" t="inlineStr">
        <is>
          <t>TORSBY</t>
        </is>
      </c>
      <c r="G11127" t="n">
        <v>9.800000000000001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39317-2023</t>
        </is>
      </c>
      <c r="B11128" s="1" t="n">
        <v>45166</v>
      </c>
      <c r="C11128" s="1" t="n">
        <v>45736</v>
      </c>
      <c r="D11128" t="inlineStr">
        <is>
          <t>VÄRMLANDS LÄN</t>
        </is>
      </c>
      <c r="E11128" t="inlineStr">
        <is>
          <t>ÅRJÄNG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39339-2023</t>
        </is>
      </c>
      <c r="B11129" s="1" t="n">
        <v>45166</v>
      </c>
      <c r="C11129" s="1" t="n">
        <v>45736</v>
      </c>
      <c r="D11129" t="inlineStr">
        <is>
          <t>VÄRMLANDS LÄN</t>
        </is>
      </c>
      <c r="E11129" t="inlineStr">
        <is>
          <t>TORSBY</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39374-2023</t>
        </is>
      </c>
      <c r="B11130" s="1" t="n">
        <v>45166</v>
      </c>
      <c r="C11130" s="1" t="n">
        <v>45736</v>
      </c>
      <c r="D11130" t="inlineStr">
        <is>
          <t>VÄRMLANDS LÄN</t>
        </is>
      </c>
      <c r="E11130" t="inlineStr">
        <is>
          <t>TORSBY</t>
        </is>
      </c>
      <c r="G11130" t="n">
        <v>7.5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39434-2023</t>
        </is>
      </c>
      <c r="B11131" s="1" t="n">
        <v>45166</v>
      </c>
      <c r="C11131" s="1" t="n">
        <v>45736</v>
      </c>
      <c r="D11131" t="inlineStr">
        <is>
          <t>VÄRMLANDS LÄN</t>
        </is>
      </c>
      <c r="E11131" t="inlineStr">
        <is>
          <t>ÅRJÄNG</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39248-2023</t>
        </is>
      </c>
      <c r="B11132" s="1" t="n">
        <v>45166</v>
      </c>
      <c r="C11132" s="1" t="n">
        <v>45736</v>
      </c>
      <c r="D11132" t="inlineStr">
        <is>
          <t>VÄRMLANDS LÄN</t>
        </is>
      </c>
      <c r="E11132" t="inlineStr">
        <is>
          <t>KARLSTAD</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39323-2023</t>
        </is>
      </c>
      <c r="B11133" s="1" t="n">
        <v>45166</v>
      </c>
      <c r="C11133" s="1" t="n">
        <v>45736</v>
      </c>
      <c r="D11133" t="inlineStr">
        <is>
          <t>VÄRMLANDS LÄN</t>
        </is>
      </c>
      <c r="E11133" t="inlineStr">
        <is>
          <t>ÅRJÄNG</t>
        </is>
      </c>
      <c r="F11133" t="inlineStr">
        <is>
          <t>Kyrkan</t>
        </is>
      </c>
      <c r="G11133" t="n">
        <v>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39331-2023</t>
        </is>
      </c>
      <c r="B11134" s="1" t="n">
        <v>45166</v>
      </c>
      <c r="C11134" s="1" t="n">
        <v>45736</v>
      </c>
      <c r="D11134" t="inlineStr">
        <is>
          <t>VÄRMLANDS LÄN</t>
        </is>
      </c>
      <c r="E11134" t="inlineStr">
        <is>
          <t>ÅRJÄNG</t>
        </is>
      </c>
      <c r="F11134" t="inlineStr">
        <is>
          <t>Kyrkan</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39340-2023</t>
        </is>
      </c>
      <c r="B11135" s="1" t="n">
        <v>45166</v>
      </c>
      <c r="C11135" s="1" t="n">
        <v>45736</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39358-2023</t>
        </is>
      </c>
      <c r="B11136" s="1" t="n">
        <v>45166</v>
      </c>
      <c r="C11136" s="1" t="n">
        <v>45736</v>
      </c>
      <c r="D11136" t="inlineStr">
        <is>
          <t>VÄRMLANDS LÄN</t>
        </is>
      </c>
      <c r="E11136" t="inlineStr">
        <is>
          <t>HAGFORS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39396-2023</t>
        </is>
      </c>
      <c r="B11137" s="1" t="n">
        <v>45166</v>
      </c>
      <c r="C11137" s="1" t="n">
        <v>45736</v>
      </c>
      <c r="D11137" t="inlineStr">
        <is>
          <t>VÄRMLANDS LÄN</t>
        </is>
      </c>
      <c r="E11137" t="inlineStr">
        <is>
          <t>HAGFORS</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39492-2023</t>
        </is>
      </c>
      <c r="B11138" s="1" t="n">
        <v>45166</v>
      </c>
      <c r="C11138" s="1" t="n">
        <v>45736</v>
      </c>
      <c r="D11138" t="inlineStr">
        <is>
          <t>VÄRMLANDS LÄN</t>
        </is>
      </c>
      <c r="E11138" t="inlineStr">
        <is>
          <t>KIL</t>
        </is>
      </c>
      <c r="F11138" t="inlineStr">
        <is>
          <t>Kyrkan</t>
        </is>
      </c>
      <c r="G11138" t="n">
        <v>24.9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39512-2023</t>
        </is>
      </c>
      <c r="B11139" s="1" t="n">
        <v>45166</v>
      </c>
      <c r="C11139" s="1" t="n">
        <v>45736</v>
      </c>
      <c r="D11139" t="inlineStr">
        <is>
          <t>VÄRMLANDS LÄN</t>
        </is>
      </c>
      <c r="E11139" t="inlineStr">
        <is>
          <t>KIL</t>
        </is>
      </c>
      <c r="F11139" t="inlineStr">
        <is>
          <t>Kyrkan</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39677-2023</t>
        </is>
      </c>
      <c r="B11140" s="1" t="n">
        <v>45166</v>
      </c>
      <c r="C11140" s="1" t="n">
        <v>45736</v>
      </c>
      <c r="D11140" t="inlineStr">
        <is>
          <t>VÄRMLANDS LÄN</t>
        </is>
      </c>
      <c r="E11140" t="inlineStr">
        <is>
          <t>TORSBY</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39535-2023</t>
        </is>
      </c>
      <c r="B11141" s="1" t="n">
        <v>45167</v>
      </c>
      <c r="C11141" s="1" t="n">
        <v>45736</v>
      </c>
      <c r="D11141" t="inlineStr">
        <is>
          <t>VÄRMLANDS LÄN</t>
        </is>
      </c>
      <c r="E11141" t="inlineStr">
        <is>
          <t>ÅRJÄNG</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39642-2023</t>
        </is>
      </c>
      <c r="B11142" s="1" t="n">
        <v>45167</v>
      </c>
      <c r="C11142" s="1" t="n">
        <v>45736</v>
      </c>
      <c r="D11142" t="inlineStr">
        <is>
          <t>VÄRMLANDS LÄN</t>
        </is>
      </c>
      <c r="E11142" t="inlineStr">
        <is>
          <t>KARLSTAD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39651-2023</t>
        </is>
      </c>
      <c r="B11143" s="1" t="n">
        <v>45167</v>
      </c>
      <c r="C11143" s="1" t="n">
        <v>45736</v>
      </c>
      <c r="D11143" t="inlineStr">
        <is>
          <t>VÄRMLANDS LÄN</t>
        </is>
      </c>
      <c r="E11143" t="inlineStr">
        <is>
          <t>FILIPSTAD</t>
        </is>
      </c>
      <c r="F11143" t="inlineStr">
        <is>
          <t>Bergvik skog väst AB</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39725-2023</t>
        </is>
      </c>
      <c r="B11144" s="1" t="n">
        <v>45167</v>
      </c>
      <c r="C11144" s="1" t="n">
        <v>45736</v>
      </c>
      <c r="D11144" t="inlineStr">
        <is>
          <t>VÄRMLANDS LÄN</t>
        </is>
      </c>
      <c r="E11144" t="inlineStr">
        <is>
          <t>FILIPSTAD</t>
        </is>
      </c>
      <c r="F11144" t="inlineStr">
        <is>
          <t>Bergvik skog väst AB</t>
        </is>
      </c>
      <c r="G11144" t="n">
        <v>17.6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39755-2023</t>
        </is>
      </c>
      <c r="B11145" s="1" t="n">
        <v>45167</v>
      </c>
      <c r="C11145" s="1" t="n">
        <v>45736</v>
      </c>
      <c r="D11145" t="inlineStr">
        <is>
          <t>VÄRMLANDS LÄN</t>
        </is>
      </c>
      <c r="E11145" t="inlineStr">
        <is>
          <t>KARLSTAD</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39779-2023</t>
        </is>
      </c>
      <c r="B11146" s="1" t="n">
        <v>45167</v>
      </c>
      <c r="C11146" s="1" t="n">
        <v>45736</v>
      </c>
      <c r="D11146" t="inlineStr">
        <is>
          <t>VÄRMLANDS LÄN</t>
        </is>
      </c>
      <c r="E11146" t="inlineStr">
        <is>
          <t>KRISTINEHAMN</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39555-2023</t>
        </is>
      </c>
      <c r="B11147" s="1" t="n">
        <v>45167</v>
      </c>
      <c r="C11147" s="1" t="n">
        <v>45736</v>
      </c>
      <c r="D11147" t="inlineStr">
        <is>
          <t>VÄRMLANDS LÄN</t>
        </is>
      </c>
      <c r="E11147" t="inlineStr">
        <is>
          <t>ÅRJÄNG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39557-2023</t>
        </is>
      </c>
      <c r="B11148" s="1" t="n">
        <v>45167</v>
      </c>
      <c r="C11148" s="1" t="n">
        <v>45736</v>
      </c>
      <c r="D11148" t="inlineStr">
        <is>
          <t>VÄRMLANDS LÄN</t>
        </is>
      </c>
      <c r="E11148" t="inlineStr">
        <is>
          <t>ÅRJÄNG</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39571-2023</t>
        </is>
      </c>
      <c r="B11149" s="1" t="n">
        <v>45167</v>
      </c>
      <c r="C11149" s="1" t="n">
        <v>45736</v>
      </c>
      <c r="D11149" t="inlineStr">
        <is>
          <t>VÄRMLANDS LÄN</t>
        </is>
      </c>
      <c r="E11149" t="inlineStr">
        <is>
          <t>EDA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39633-2023</t>
        </is>
      </c>
      <c r="B11150" s="1" t="n">
        <v>45167</v>
      </c>
      <c r="C11150" s="1" t="n">
        <v>45736</v>
      </c>
      <c r="D11150" t="inlineStr">
        <is>
          <t>VÄRMLANDS LÄN</t>
        </is>
      </c>
      <c r="E11150" t="inlineStr">
        <is>
          <t>FILIPSTAD</t>
        </is>
      </c>
      <c r="F11150" t="inlineStr">
        <is>
          <t>Bergvik skog väst AB</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39631-2023</t>
        </is>
      </c>
      <c r="B11151" s="1" t="n">
        <v>45167</v>
      </c>
      <c r="C11151" s="1" t="n">
        <v>45736</v>
      </c>
      <c r="D11151" t="inlineStr">
        <is>
          <t>VÄRMLANDS LÄN</t>
        </is>
      </c>
      <c r="E11151" t="inlineStr">
        <is>
          <t>FILIPSTAD</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39635-2023</t>
        </is>
      </c>
      <c r="B11152" s="1" t="n">
        <v>45167</v>
      </c>
      <c r="C11152" s="1" t="n">
        <v>45736</v>
      </c>
      <c r="D11152" t="inlineStr">
        <is>
          <t>VÄRMLANDS LÄN</t>
        </is>
      </c>
      <c r="E11152" t="inlineStr">
        <is>
          <t>GRUMS</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39648-2023</t>
        </is>
      </c>
      <c r="B11153" s="1" t="n">
        <v>45167</v>
      </c>
      <c r="C11153" s="1" t="n">
        <v>45736</v>
      </c>
      <c r="D11153" t="inlineStr">
        <is>
          <t>VÄRMLANDS LÄN</t>
        </is>
      </c>
      <c r="E11153" t="inlineStr">
        <is>
          <t>TORSBY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39803-2023</t>
        </is>
      </c>
      <c r="B11154" s="1" t="n">
        <v>45168</v>
      </c>
      <c r="C11154" s="1" t="n">
        <v>45736</v>
      </c>
      <c r="D11154" t="inlineStr">
        <is>
          <t>VÄRMLANDS LÄN</t>
        </is>
      </c>
      <c r="E11154" t="inlineStr">
        <is>
          <t>FILIPSTAD</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39566-2023</t>
        </is>
      </c>
      <c r="B11155" s="1" t="n">
        <v>45167</v>
      </c>
      <c r="C11155" s="1" t="n">
        <v>45736</v>
      </c>
      <c r="D11155" t="inlineStr">
        <is>
          <t>VÄRMLANDS LÄN</t>
        </is>
      </c>
      <c r="E11155" t="inlineStr">
        <is>
          <t>FILIPSTAD</t>
        </is>
      </c>
      <c r="F11155" t="inlineStr">
        <is>
          <t>Bergvik skog väst AB</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39709-2023</t>
        </is>
      </c>
      <c r="B11156" s="1" t="n">
        <v>45167</v>
      </c>
      <c r="C11156" s="1" t="n">
        <v>45736</v>
      </c>
      <c r="D11156" t="inlineStr">
        <is>
          <t>VÄRMLANDS LÄN</t>
        </is>
      </c>
      <c r="E11156" t="inlineStr">
        <is>
          <t>SÄFFLE</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39732-2023</t>
        </is>
      </c>
      <c r="B11157" s="1" t="n">
        <v>45167</v>
      </c>
      <c r="C11157" s="1" t="n">
        <v>45736</v>
      </c>
      <c r="D11157" t="inlineStr">
        <is>
          <t>VÄRMLANDS LÄN</t>
        </is>
      </c>
      <c r="E11157" t="inlineStr">
        <is>
          <t>TORSBY</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39777-2023</t>
        </is>
      </c>
      <c r="B11158" s="1" t="n">
        <v>45167</v>
      </c>
      <c r="C11158" s="1" t="n">
        <v>45736</v>
      </c>
      <c r="D11158" t="inlineStr">
        <is>
          <t>VÄRMLANDS LÄN</t>
        </is>
      </c>
      <c r="E11158" t="inlineStr">
        <is>
          <t>KRISTINEHAMN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39781-2023</t>
        </is>
      </c>
      <c r="B11159" s="1" t="n">
        <v>45167</v>
      </c>
      <c r="C11159" s="1" t="n">
        <v>45736</v>
      </c>
      <c r="D11159" t="inlineStr">
        <is>
          <t>VÄRMLANDS LÄN</t>
        </is>
      </c>
      <c r="E11159" t="inlineStr">
        <is>
          <t>KRISTINEHAMN</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39951-2023</t>
        </is>
      </c>
      <c r="B11160" s="1" t="n">
        <v>45167</v>
      </c>
      <c r="C11160" s="1" t="n">
        <v>45736</v>
      </c>
      <c r="D11160" t="inlineStr">
        <is>
          <t>VÄRMLANDS LÄN</t>
        </is>
      </c>
      <c r="E11160" t="inlineStr">
        <is>
          <t>ARVIKA</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39776-2023</t>
        </is>
      </c>
      <c r="B11161" s="1" t="n">
        <v>45167</v>
      </c>
      <c r="C11161" s="1" t="n">
        <v>45736</v>
      </c>
      <c r="D11161" t="inlineStr">
        <is>
          <t>VÄRMLANDS LÄN</t>
        </is>
      </c>
      <c r="E11161" t="inlineStr">
        <is>
          <t>KRISTINEHAMN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39690-2023</t>
        </is>
      </c>
      <c r="B11162" s="1" t="n">
        <v>45167</v>
      </c>
      <c r="C11162" s="1" t="n">
        <v>45736</v>
      </c>
      <c r="D11162" t="inlineStr">
        <is>
          <t>VÄRMLANDS LÄN</t>
        </is>
      </c>
      <c r="E11162" t="inlineStr">
        <is>
          <t>SUNNE</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39733-2023</t>
        </is>
      </c>
      <c r="B11163" s="1" t="n">
        <v>45167</v>
      </c>
      <c r="C11163" s="1" t="n">
        <v>45736</v>
      </c>
      <c r="D11163" t="inlineStr">
        <is>
          <t>VÄRMLANDS LÄN</t>
        </is>
      </c>
      <c r="E11163" t="inlineStr">
        <is>
          <t>EDA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39778-2023</t>
        </is>
      </c>
      <c r="B11164" s="1" t="n">
        <v>45167</v>
      </c>
      <c r="C11164" s="1" t="n">
        <v>45736</v>
      </c>
      <c r="D11164" t="inlineStr">
        <is>
          <t>VÄRMLANDS LÄN</t>
        </is>
      </c>
      <c r="E11164" t="inlineStr">
        <is>
          <t>KRISTINEHAMN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39844-2023</t>
        </is>
      </c>
      <c r="B11165" s="1" t="n">
        <v>45168</v>
      </c>
      <c r="C11165" s="1" t="n">
        <v>45736</v>
      </c>
      <c r="D11165" t="inlineStr">
        <is>
          <t>VÄRMLANDS LÄN</t>
        </is>
      </c>
      <c r="E11165" t="inlineStr">
        <is>
          <t>SÄFFLE</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39921-2023</t>
        </is>
      </c>
      <c r="B11166" s="1" t="n">
        <v>45168</v>
      </c>
      <c r="C11166" s="1" t="n">
        <v>45736</v>
      </c>
      <c r="D11166" t="inlineStr">
        <is>
          <t>VÄRMLANDS LÄN</t>
        </is>
      </c>
      <c r="E11166" t="inlineStr">
        <is>
          <t>TORSBY</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39949-2023</t>
        </is>
      </c>
      <c r="B11167" s="1" t="n">
        <v>45168</v>
      </c>
      <c r="C11167" s="1" t="n">
        <v>45736</v>
      </c>
      <c r="D11167" t="inlineStr">
        <is>
          <t>VÄRMLANDS LÄN</t>
        </is>
      </c>
      <c r="E11167" t="inlineStr">
        <is>
          <t>ÅRJÄNG</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39958-2023</t>
        </is>
      </c>
      <c r="B11168" s="1" t="n">
        <v>45168</v>
      </c>
      <c r="C11168" s="1" t="n">
        <v>45736</v>
      </c>
      <c r="D11168" t="inlineStr">
        <is>
          <t>VÄRMLANDS LÄN</t>
        </is>
      </c>
      <c r="E11168" t="inlineStr">
        <is>
          <t>KARLSTAD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39839-2023</t>
        </is>
      </c>
      <c r="B11169" s="1" t="n">
        <v>45168</v>
      </c>
      <c r="C11169" s="1" t="n">
        <v>45736</v>
      </c>
      <c r="D11169" t="inlineStr">
        <is>
          <t>VÄRMLANDS LÄN</t>
        </is>
      </c>
      <c r="E11169" t="inlineStr">
        <is>
          <t>SÄFFLE</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40001-2023</t>
        </is>
      </c>
      <c r="B11170" s="1" t="n">
        <v>45168</v>
      </c>
      <c r="C11170" s="1" t="n">
        <v>45736</v>
      </c>
      <c r="D11170" t="inlineStr">
        <is>
          <t>VÄRMLANDS LÄN</t>
        </is>
      </c>
      <c r="E11170" t="inlineStr">
        <is>
          <t>KARLSTAD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40028-2023</t>
        </is>
      </c>
      <c r="B11171" s="1" t="n">
        <v>45168</v>
      </c>
      <c r="C11171" s="1" t="n">
        <v>45736</v>
      </c>
      <c r="D11171" t="inlineStr">
        <is>
          <t>VÄRMLANDS LÄN</t>
        </is>
      </c>
      <c r="E11171" t="inlineStr">
        <is>
          <t>SÄFFLE</t>
        </is>
      </c>
      <c r="G11171" t="n">
        <v>6.2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40033-2023</t>
        </is>
      </c>
      <c r="B11172" s="1" t="n">
        <v>45168</v>
      </c>
      <c r="C11172" s="1" t="n">
        <v>45736</v>
      </c>
      <c r="D11172" t="inlineStr">
        <is>
          <t>VÄRMLANDS LÄN</t>
        </is>
      </c>
      <c r="E11172" t="inlineStr">
        <is>
          <t>ARVIKA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40044-2023</t>
        </is>
      </c>
      <c r="B11173" s="1" t="n">
        <v>45168</v>
      </c>
      <c r="C11173" s="1" t="n">
        <v>45736</v>
      </c>
      <c r="D11173" t="inlineStr">
        <is>
          <t>VÄRMLANDS LÄN</t>
        </is>
      </c>
      <c r="E11173" t="inlineStr">
        <is>
          <t>EDA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39929-2023</t>
        </is>
      </c>
      <c r="B11174" s="1" t="n">
        <v>45168</v>
      </c>
      <c r="C11174" s="1" t="n">
        <v>45736</v>
      </c>
      <c r="D11174" t="inlineStr">
        <is>
          <t>VÄRMLANDS LÄN</t>
        </is>
      </c>
      <c r="E11174" t="inlineStr">
        <is>
          <t>EDA</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39964-2023</t>
        </is>
      </c>
      <c r="B11175" s="1" t="n">
        <v>45168</v>
      </c>
      <c r="C11175" s="1" t="n">
        <v>45736</v>
      </c>
      <c r="D11175" t="inlineStr">
        <is>
          <t>VÄRMLANDS LÄN</t>
        </is>
      </c>
      <c r="E11175" t="inlineStr">
        <is>
          <t>KARLSTAD</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39980-2023</t>
        </is>
      </c>
      <c r="B11176" s="1" t="n">
        <v>45168</v>
      </c>
      <c r="C11176" s="1" t="n">
        <v>45736</v>
      </c>
      <c r="D11176" t="inlineStr">
        <is>
          <t>VÄRMLANDS LÄN</t>
        </is>
      </c>
      <c r="E11176" t="inlineStr">
        <is>
          <t>SUNNE</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39910-2023</t>
        </is>
      </c>
      <c r="B11177" s="1" t="n">
        <v>45168</v>
      </c>
      <c r="C11177" s="1" t="n">
        <v>45736</v>
      </c>
      <c r="D11177" t="inlineStr">
        <is>
          <t>VÄRMLANDS LÄN</t>
        </is>
      </c>
      <c r="E11177" t="inlineStr">
        <is>
          <t>TORSBY</t>
        </is>
      </c>
      <c r="F11177" t="inlineStr">
        <is>
          <t>Kyrkan</t>
        </is>
      </c>
      <c r="G11177" t="n">
        <v>11.6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39998-2023</t>
        </is>
      </c>
      <c r="B11178" s="1" t="n">
        <v>45168</v>
      </c>
      <c r="C11178" s="1" t="n">
        <v>45736</v>
      </c>
      <c r="D11178" t="inlineStr">
        <is>
          <t>VÄRMLANDS LÄN</t>
        </is>
      </c>
      <c r="E11178" t="inlineStr">
        <is>
          <t>STORFORS</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40007-2023</t>
        </is>
      </c>
      <c r="B11179" s="1" t="n">
        <v>45168</v>
      </c>
      <c r="C11179" s="1" t="n">
        <v>45736</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39955-2023</t>
        </is>
      </c>
      <c r="B11180" s="1" t="n">
        <v>45168</v>
      </c>
      <c r="C11180" s="1" t="n">
        <v>45736</v>
      </c>
      <c r="D11180" t="inlineStr">
        <is>
          <t>VÄRMLANDS LÄN</t>
        </is>
      </c>
      <c r="E11180" t="inlineStr">
        <is>
          <t>KARLSTAD</t>
        </is>
      </c>
      <c r="G11180" t="n">
        <v>6.7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39963-2023</t>
        </is>
      </c>
      <c r="B11181" s="1" t="n">
        <v>45168</v>
      </c>
      <c r="C11181" s="1" t="n">
        <v>45736</v>
      </c>
      <c r="D11181" t="inlineStr">
        <is>
          <t>VÄRMLANDS LÄN</t>
        </is>
      </c>
      <c r="E11181" t="inlineStr">
        <is>
          <t>KARLSTAD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39993-2023</t>
        </is>
      </c>
      <c r="B11182" s="1" t="n">
        <v>45168</v>
      </c>
      <c r="C11182" s="1" t="n">
        <v>45736</v>
      </c>
      <c r="D11182" t="inlineStr">
        <is>
          <t>VÄRMLANDS LÄN</t>
        </is>
      </c>
      <c r="E11182" t="inlineStr">
        <is>
          <t>ARVIKA</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40352-2023</t>
        </is>
      </c>
      <c r="B11183" s="1" t="n">
        <v>45168</v>
      </c>
      <c r="C11183" s="1" t="n">
        <v>45736</v>
      </c>
      <c r="D11183" t="inlineStr">
        <is>
          <t>VÄRMLANDS LÄN</t>
        </is>
      </c>
      <c r="E11183" t="inlineStr">
        <is>
          <t>ÅRJÄNG</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39961-2023</t>
        </is>
      </c>
      <c r="B11184" s="1" t="n">
        <v>45168</v>
      </c>
      <c r="C11184" s="1" t="n">
        <v>45736</v>
      </c>
      <c r="D11184" t="inlineStr">
        <is>
          <t>VÄRMLANDS LÄN</t>
        </is>
      </c>
      <c r="E11184" t="inlineStr">
        <is>
          <t>KARLSTAD</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39969-2023</t>
        </is>
      </c>
      <c r="B11185" s="1" t="n">
        <v>45168</v>
      </c>
      <c r="C11185" s="1" t="n">
        <v>45736</v>
      </c>
      <c r="D11185" t="inlineStr">
        <is>
          <t>VÄRMLANDS LÄN</t>
        </is>
      </c>
      <c r="E11185" t="inlineStr">
        <is>
          <t>TORSBY</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40135-2023</t>
        </is>
      </c>
      <c r="B11186" s="1" t="n">
        <v>45169</v>
      </c>
      <c r="C11186" s="1" t="n">
        <v>45736</v>
      </c>
      <c r="D11186" t="inlineStr">
        <is>
          <t>VÄRMLANDS LÄN</t>
        </is>
      </c>
      <c r="E11186" t="inlineStr">
        <is>
          <t>ARVIKA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40211-2023</t>
        </is>
      </c>
      <c r="B11187" s="1" t="n">
        <v>45169</v>
      </c>
      <c r="C11187" s="1" t="n">
        <v>45736</v>
      </c>
      <c r="D11187" t="inlineStr">
        <is>
          <t>VÄRMLANDS LÄN</t>
        </is>
      </c>
      <c r="E11187" t="inlineStr">
        <is>
          <t>SUNNE</t>
        </is>
      </c>
      <c r="F11187" t="inlineStr">
        <is>
          <t>Bergvik skog väst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40207-2023</t>
        </is>
      </c>
      <c r="B11188" s="1" t="n">
        <v>45169</v>
      </c>
      <c r="C11188" s="1" t="n">
        <v>45736</v>
      </c>
      <c r="D11188" t="inlineStr">
        <is>
          <t>VÄRMLANDS LÄN</t>
        </is>
      </c>
      <c r="E11188" t="inlineStr">
        <is>
          <t>TORSBY</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40212-2023</t>
        </is>
      </c>
      <c r="B11189" s="1" t="n">
        <v>45169</v>
      </c>
      <c r="C11189" s="1" t="n">
        <v>45736</v>
      </c>
      <c r="D11189" t="inlineStr">
        <is>
          <t>VÄRMLANDS LÄN</t>
        </is>
      </c>
      <c r="E11189" t="inlineStr">
        <is>
          <t>ÅRJÄNG</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40239-2023</t>
        </is>
      </c>
      <c r="B11190" s="1" t="n">
        <v>45169</v>
      </c>
      <c r="C11190" s="1" t="n">
        <v>45736</v>
      </c>
      <c r="D11190" t="inlineStr">
        <is>
          <t>VÄRMLANDS LÄN</t>
        </is>
      </c>
      <c r="E11190" t="inlineStr">
        <is>
          <t>FILIPSTAD</t>
        </is>
      </c>
      <c r="F11190" t="inlineStr">
        <is>
          <t>Bergvik skog väst AB</t>
        </is>
      </c>
      <c r="G11190" t="n">
        <v>17.4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40244-2023</t>
        </is>
      </c>
      <c r="B11191" s="1" t="n">
        <v>45169</v>
      </c>
      <c r="C11191" s="1" t="n">
        <v>45736</v>
      </c>
      <c r="D11191" t="inlineStr">
        <is>
          <t>VÄRMLANDS LÄN</t>
        </is>
      </c>
      <c r="E11191" t="inlineStr">
        <is>
          <t>FILIPSTAD</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40362-2023</t>
        </is>
      </c>
      <c r="B11192" s="1" t="n">
        <v>45169</v>
      </c>
      <c r="C11192" s="1" t="n">
        <v>45736</v>
      </c>
      <c r="D11192" t="inlineStr">
        <is>
          <t>VÄRMLANDS LÄN</t>
        </is>
      </c>
      <c r="E11192" t="inlineStr">
        <is>
          <t>FILIPSTAD</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40228-2023</t>
        </is>
      </c>
      <c r="B11193" s="1" t="n">
        <v>45169</v>
      </c>
      <c r="C11193" s="1" t="n">
        <v>45736</v>
      </c>
      <c r="D11193" t="inlineStr">
        <is>
          <t>VÄRMLANDS LÄN</t>
        </is>
      </c>
      <c r="E11193" t="inlineStr">
        <is>
          <t>TORSBY</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40308-2023</t>
        </is>
      </c>
      <c r="B11194" s="1" t="n">
        <v>45169</v>
      </c>
      <c r="C11194" s="1" t="n">
        <v>45736</v>
      </c>
      <c r="D11194" t="inlineStr">
        <is>
          <t>VÄRMLANDS LÄN</t>
        </is>
      </c>
      <c r="E11194" t="inlineStr">
        <is>
          <t>ARVIKA</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40322-2023</t>
        </is>
      </c>
      <c r="B11195" s="1" t="n">
        <v>45169</v>
      </c>
      <c r="C11195" s="1" t="n">
        <v>45736</v>
      </c>
      <c r="D11195" t="inlineStr">
        <is>
          <t>VÄRMLANDS LÄN</t>
        </is>
      </c>
      <c r="E11195" t="inlineStr">
        <is>
          <t>KIL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40221-2023</t>
        </is>
      </c>
      <c r="B11196" s="1" t="n">
        <v>45169</v>
      </c>
      <c r="C11196" s="1" t="n">
        <v>45736</v>
      </c>
      <c r="D11196" t="inlineStr">
        <is>
          <t>VÄRMLANDS LÄN</t>
        </is>
      </c>
      <c r="E11196" t="inlineStr">
        <is>
          <t>SÄFFLE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40246-2023</t>
        </is>
      </c>
      <c r="B11197" s="1" t="n">
        <v>45169</v>
      </c>
      <c r="C11197" s="1" t="n">
        <v>45736</v>
      </c>
      <c r="D11197" t="inlineStr">
        <is>
          <t>VÄRMLANDS LÄN</t>
        </is>
      </c>
      <c r="E11197" t="inlineStr">
        <is>
          <t>FILIPSTAD</t>
        </is>
      </c>
      <c r="F11197" t="inlineStr">
        <is>
          <t>Bergvik skog väst AB</t>
        </is>
      </c>
      <c r="G11197" t="n">
        <v>24.9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40250-2023</t>
        </is>
      </c>
      <c r="B11198" s="1" t="n">
        <v>45169</v>
      </c>
      <c r="C11198" s="1" t="n">
        <v>45736</v>
      </c>
      <c r="D11198" t="inlineStr">
        <is>
          <t>VÄRMLANDS LÄN</t>
        </is>
      </c>
      <c r="E11198" t="inlineStr">
        <is>
          <t>SUNNE</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40298-2023</t>
        </is>
      </c>
      <c r="B11199" s="1" t="n">
        <v>45169</v>
      </c>
      <c r="C11199" s="1" t="n">
        <v>45736</v>
      </c>
      <c r="D11199" t="inlineStr">
        <is>
          <t>VÄRMLANDS LÄN</t>
        </is>
      </c>
      <c r="E11199" t="inlineStr">
        <is>
          <t>ARVIKA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40332-2023</t>
        </is>
      </c>
      <c r="B11200" s="1" t="n">
        <v>45169</v>
      </c>
      <c r="C11200" s="1" t="n">
        <v>45736</v>
      </c>
      <c r="D11200" t="inlineStr">
        <is>
          <t>VÄRMLANDS LÄN</t>
        </is>
      </c>
      <c r="E11200" t="inlineStr">
        <is>
          <t>HAGFORS</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40222-2023</t>
        </is>
      </c>
      <c r="B11201" s="1" t="n">
        <v>45169</v>
      </c>
      <c r="C11201" s="1" t="n">
        <v>45736</v>
      </c>
      <c r="D11201" t="inlineStr">
        <is>
          <t>VÄRMLANDS LÄN</t>
        </is>
      </c>
      <c r="E11201" t="inlineStr">
        <is>
          <t>TORSBY</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40299-2023</t>
        </is>
      </c>
      <c r="B11202" s="1" t="n">
        <v>45169</v>
      </c>
      <c r="C11202" s="1" t="n">
        <v>45736</v>
      </c>
      <c r="D11202" t="inlineStr">
        <is>
          <t>VÄRMLANDS LÄN</t>
        </is>
      </c>
      <c r="E11202" t="inlineStr">
        <is>
          <t>ARVIKA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40311-2023</t>
        </is>
      </c>
      <c r="B11203" s="1" t="n">
        <v>45169</v>
      </c>
      <c r="C11203" s="1" t="n">
        <v>45736</v>
      </c>
      <c r="D11203" t="inlineStr">
        <is>
          <t>VÄRMLANDS LÄN</t>
        </is>
      </c>
      <c r="E11203" t="inlineStr">
        <is>
          <t>ARVIKA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40316-2023</t>
        </is>
      </c>
      <c r="B11204" s="1" t="n">
        <v>45169</v>
      </c>
      <c r="C11204" s="1" t="n">
        <v>45736</v>
      </c>
      <c r="D11204" t="inlineStr">
        <is>
          <t>VÄRMLANDS LÄN</t>
        </is>
      </c>
      <c r="E11204" t="inlineStr">
        <is>
          <t>HAGFORS</t>
        </is>
      </c>
      <c r="F11204" t="inlineStr">
        <is>
          <t>Bergvik skog väst AB</t>
        </is>
      </c>
      <c r="G11204" t="n">
        <v>9.800000000000001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40468-2023</t>
        </is>
      </c>
      <c r="B11205" s="1" t="n">
        <v>45170</v>
      </c>
      <c r="C11205" s="1" t="n">
        <v>45736</v>
      </c>
      <c r="D11205" t="inlineStr">
        <is>
          <t>VÄRMLANDS LÄN</t>
        </is>
      </c>
      <c r="E11205" t="inlineStr">
        <is>
          <t>TORSBY</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40476-2023</t>
        </is>
      </c>
      <c r="B11206" s="1" t="n">
        <v>45170</v>
      </c>
      <c r="C11206" s="1" t="n">
        <v>45736</v>
      </c>
      <c r="D11206" t="inlineStr">
        <is>
          <t>VÄRMLANDS LÄN</t>
        </is>
      </c>
      <c r="E11206" t="inlineStr">
        <is>
          <t>SUNNE</t>
        </is>
      </c>
      <c r="G11206" t="n">
        <v>8.199999999999999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40484-2023</t>
        </is>
      </c>
      <c r="B11207" s="1" t="n">
        <v>45170</v>
      </c>
      <c r="C11207" s="1" t="n">
        <v>45736</v>
      </c>
      <c r="D11207" t="inlineStr">
        <is>
          <t>VÄRMLANDS LÄN</t>
        </is>
      </c>
      <c r="E11207" t="inlineStr">
        <is>
          <t>ARVIKA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40488-2023</t>
        </is>
      </c>
      <c r="B11208" s="1" t="n">
        <v>45170</v>
      </c>
      <c r="C11208" s="1" t="n">
        <v>45736</v>
      </c>
      <c r="D11208" t="inlineStr">
        <is>
          <t>VÄRMLANDS LÄN</t>
        </is>
      </c>
      <c r="E11208" t="inlineStr">
        <is>
          <t>ARVIKA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40512-2023</t>
        </is>
      </c>
      <c r="B11209" s="1" t="n">
        <v>45170</v>
      </c>
      <c r="C11209" s="1" t="n">
        <v>45736</v>
      </c>
      <c r="D11209" t="inlineStr">
        <is>
          <t>VÄRMLANDS LÄN</t>
        </is>
      </c>
      <c r="E11209" t="inlineStr">
        <is>
          <t>TORSBY</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40458-2023</t>
        </is>
      </c>
      <c r="B11210" s="1" t="n">
        <v>45170</v>
      </c>
      <c r="C11210" s="1" t="n">
        <v>45736</v>
      </c>
      <c r="D11210" t="inlineStr">
        <is>
          <t>VÄRMLANDS LÄN</t>
        </is>
      </c>
      <c r="E11210" t="inlineStr">
        <is>
          <t>ÅRJÄNG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40470-2023</t>
        </is>
      </c>
      <c r="B11211" s="1" t="n">
        <v>45170</v>
      </c>
      <c r="C11211" s="1" t="n">
        <v>45736</v>
      </c>
      <c r="D11211" t="inlineStr">
        <is>
          <t>VÄRMLANDS LÄN</t>
        </is>
      </c>
      <c r="E11211" t="inlineStr">
        <is>
          <t>TORSBY</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40538-2023</t>
        </is>
      </c>
      <c r="B11212" s="1" t="n">
        <v>45170</v>
      </c>
      <c r="C11212" s="1" t="n">
        <v>45736</v>
      </c>
      <c r="D11212" t="inlineStr">
        <is>
          <t>VÄRMLANDS LÄN</t>
        </is>
      </c>
      <c r="E11212" t="inlineStr">
        <is>
          <t>TORSBY</t>
        </is>
      </c>
      <c r="F11212" t="inlineStr">
        <is>
          <t>Bergvik skog väst AB</t>
        </is>
      </c>
      <c r="G11212" t="n">
        <v>31.4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40602-2023</t>
        </is>
      </c>
      <c r="B11213" s="1" t="n">
        <v>45170</v>
      </c>
      <c r="C11213" s="1" t="n">
        <v>45736</v>
      </c>
      <c r="D11213" t="inlineStr">
        <is>
          <t>VÄRMLANDS LÄN</t>
        </is>
      </c>
      <c r="E11213" t="inlineStr">
        <is>
          <t>SÄFFLE</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40705-2023</t>
        </is>
      </c>
      <c r="B11214" s="1" t="n">
        <v>45170</v>
      </c>
      <c r="C11214" s="1" t="n">
        <v>45736</v>
      </c>
      <c r="D11214" t="inlineStr">
        <is>
          <t>VÄRMLANDS LÄN</t>
        </is>
      </c>
      <c r="E11214" t="inlineStr">
        <is>
          <t>ARVIKA</t>
        </is>
      </c>
      <c r="G11214" t="n">
        <v>1.9</v>
      </c>
      <c r="H11214" t="n">
        <v>0</v>
      </c>
      <c r="I11214" t="n">
        <v>0</v>
      </c>
      <c r="J11214" t="n">
        <v>0</v>
      </c>
      <c r="K11214" t="n">
        <v>0</v>
      </c>
      <c r="L11214" t="n">
        <v>0</v>
      </c>
      <c r="M11214" t="n">
        <v>0</v>
      </c>
      <c r="N11214" t="n">
        <v>0</v>
      </c>
      <c r="O11214" t="n">
        <v>0</v>
      </c>
      <c r="P11214" t="n">
        <v>0</v>
      </c>
      <c r="Q11214" t="n">
        <v>0</v>
      </c>
      <c r="R11214" s="2" t="inlineStr"/>
      <c r="U11214">
        <f>HYPERLINK("https://klasma.github.io/Logging_1784/knärot/A 40705-2023 karta knärot.png", "A 40705-2023")</f>
        <v/>
      </c>
      <c r="V11214">
        <f>HYPERLINK("https://klasma.github.io/Logging_1784/klagomål/A 40705-2023 FSC-klagomål.docx", "A 40705-2023")</f>
        <v/>
      </c>
      <c r="W11214">
        <f>HYPERLINK("https://klasma.github.io/Logging_1784/klagomålsmail/A 40705-2023 FSC-klagomål mail.docx", "A 40705-2023")</f>
        <v/>
      </c>
      <c r="X11214">
        <f>HYPERLINK("https://klasma.github.io/Logging_1784/tillsyn/A 40705-2023 tillsynsbegäran.docx", "A 40705-2023")</f>
        <v/>
      </c>
      <c r="Y11214">
        <f>HYPERLINK("https://klasma.github.io/Logging_1784/tillsynsmail/A 40705-2023 tillsynsbegäran mail.docx", "A 40705-2023")</f>
        <v/>
      </c>
    </row>
    <row r="11215" ht="15" customHeight="1">
      <c r="A11215" t="inlineStr">
        <is>
          <t>A 40715-2023</t>
        </is>
      </c>
      <c r="B11215" s="1" t="n">
        <v>45170</v>
      </c>
      <c r="C11215" s="1" t="n">
        <v>45736</v>
      </c>
      <c r="D11215" t="inlineStr">
        <is>
          <t>VÄRMLANDS LÄN</t>
        </is>
      </c>
      <c r="E11215" t="inlineStr">
        <is>
          <t>SÄFFLE</t>
        </is>
      </c>
      <c r="F11215" t="inlineStr">
        <is>
          <t>Bergvik skog väst AB</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40465-2023</t>
        </is>
      </c>
      <c r="B11216" s="1" t="n">
        <v>45170</v>
      </c>
      <c r="C11216" s="1" t="n">
        <v>45736</v>
      </c>
      <c r="D11216" t="inlineStr">
        <is>
          <t>VÄRMLANDS LÄN</t>
        </is>
      </c>
      <c r="E11216" t="inlineStr">
        <is>
          <t>ÅRJÄNG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40612-2023</t>
        </is>
      </c>
      <c r="B11217" s="1" t="n">
        <v>45170</v>
      </c>
      <c r="C11217" s="1" t="n">
        <v>45736</v>
      </c>
      <c r="D11217" t="inlineStr">
        <is>
          <t>VÄRMLANDS LÄN</t>
        </is>
      </c>
      <c r="E11217" t="inlineStr">
        <is>
          <t>SUNNE</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40537-2023</t>
        </is>
      </c>
      <c r="B11218" s="1" t="n">
        <v>45170</v>
      </c>
      <c r="C11218" s="1" t="n">
        <v>45736</v>
      </c>
      <c r="D11218" t="inlineStr">
        <is>
          <t>VÄRMLANDS LÄN</t>
        </is>
      </c>
      <c r="E11218" t="inlineStr">
        <is>
          <t>HAGFORS</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40605-2023</t>
        </is>
      </c>
      <c r="B11219" s="1" t="n">
        <v>45170</v>
      </c>
      <c r="C11219" s="1" t="n">
        <v>45736</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40611-2023</t>
        </is>
      </c>
      <c r="B11220" s="1" t="n">
        <v>45170</v>
      </c>
      <c r="C11220" s="1" t="n">
        <v>45736</v>
      </c>
      <c r="D11220" t="inlineStr">
        <is>
          <t>VÄRMLANDS LÄN</t>
        </is>
      </c>
      <c r="E11220" t="inlineStr">
        <is>
          <t>SUNNE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40632-2023</t>
        </is>
      </c>
      <c r="B11221" s="1" t="n">
        <v>45170</v>
      </c>
      <c r="C11221" s="1" t="n">
        <v>45736</v>
      </c>
      <c r="D11221" t="inlineStr">
        <is>
          <t>VÄRMLANDS LÄN</t>
        </is>
      </c>
      <c r="E11221" t="inlineStr">
        <is>
          <t>SÄFFLE</t>
        </is>
      </c>
      <c r="F11221" t="inlineStr">
        <is>
          <t>Bergvik skog väst AB</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40713-2023</t>
        </is>
      </c>
      <c r="B11222" s="1" t="n">
        <v>45170</v>
      </c>
      <c r="C11222" s="1" t="n">
        <v>45736</v>
      </c>
      <c r="D11222" t="inlineStr">
        <is>
          <t>VÄRMLANDS LÄN</t>
        </is>
      </c>
      <c r="E11222" t="inlineStr">
        <is>
          <t>SÄFFLE</t>
        </is>
      </c>
      <c r="F11222" t="inlineStr">
        <is>
          <t>Bergvik skog väst AB</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40723-2023</t>
        </is>
      </c>
      <c r="B11223" s="1" t="n">
        <v>45170</v>
      </c>
      <c r="C11223" s="1" t="n">
        <v>45736</v>
      </c>
      <c r="D11223" t="inlineStr">
        <is>
          <t>VÄRMLANDS LÄN</t>
        </is>
      </c>
      <c r="E11223" t="inlineStr">
        <is>
          <t>SUNNE</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40727-2023</t>
        </is>
      </c>
      <c r="B11224" s="1" t="n">
        <v>45170</v>
      </c>
      <c r="C11224" s="1" t="n">
        <v>45736</v>
      </c>
      <c r="D11224" t="inlineStr">
        <is>
          <t>VÄRMLANDS LÄN</t>
        </is>
      </c>
      <c r="E11224" t="inlineStr">
        <is>
          <t>SUNNE</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41469-2023</t>
        </is>
      </c>
      <c r="B11225" s="1" t="n">
        <v>45170</v>
      </c>
      <c r="C11225" s="1" t="n">
        <v>45736</v>
      </c>
      <c r="D11225" t="inlineStr">
        <is>
          <t>VÄRMLANDS LÄN</t>
        </is>
      </c>
      <c r="E11225" t="inlineStr">
        <is>
          <t>TORSBY</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40808-2023</t>
        </is>
      </c>
      <c r="B11226" s="1" t="n">
        <v>45171</v>
      </c>
      <c r="C11226" s="1" t="n">
        <v>45736</v>
      </c>
      <c r="D11226" t="inlineStr">
        <is>
          <t>VÄRMLANDS LÄN</t>
        </is>
      </c>
      <c r="E11226" t="inlineStr">
        <is>
          <t>SÄFFLE</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40807-2023</t>
        </is>
      </c>
      <c r="B11227" s="1" t="n">
        <v>45171</v>
      </c>
      <c r="C11227" s="1" t="n">
        <v>45736</v>
      </c>
      <c r="D11227" t="inlineStr">
        <is>
          <t>VÄRMLANDS LÄN</t>
        </is>
      </c>
      <c r="E11227" t="inlineStr">
        <is>
          <t>SÄFFLE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40835-2023</t>
        </is>
      </c>
      <c r="B11228" s="1" t="n">
        <v>45172</v>
      </c>
      <c r="C11228" s="1" t="n">
        <v>45736</v>
      </c>
      <c r="D11228" t="inlineStr">
        <is>
          <t>VÄRMLANDS LÄN</t>
        </is>
      </c>
      <c r="E11228" t="inlineStr">
        <is>
          <t>HAGFORS</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40838-2023</t>
        </is>
      </c>
      <c r="B11229" s="1" t="n">
        <v>45172</v>
      </c>
      <c r="C11229" s="1" t="n">
        <v>45736</v>
      </c>
      <c r="D11229" t="inlineStr">
        <is>
          <t>VÄRMLANDS LÄN</t>
        </is>
      </c>
      <c r="E11229" t="inlineStr">
        <is>
          <t>SUNNE</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40858-2023</t>
        </is>
      </c>
      <c r="B11230" s="1" t="n">
        <v>45173</v>
      </c>
      <c r="C11230" s="1" t="n">
        <v>45736</v>
      </c>
      <c r="D11230" t="inlineStr">
        <is>
          <t>VÄRMLANDS LÄN</t>
        </is>
      </c>
      <c r="E11230" t="inlineStr">
        <is>
          <t>TORSBY</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40853-2023</t>
        </is>
      </c>
      <c r="B11231" s="1" t="n">
        <v>45173</v>
      </c>
      <c r="C11231" s="1" t="n">
        <v>45736</v>
      </c>
      <c r="D11231" t="inlineStr">
        <is>
          <t>VÄRMLANDS LÄN</t>
        </is>
      </c>
      <c r="E11231" t="inlineStr">
        <is>
          <t>SÄFFLE</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40920-2023</t>
        </is>
      </c>
      <c r="B11232" s="1" t="n">
        <v>45173</v>
      </c>
      <c r="C11232" s="1" t="n">
        <v>45736</v>
      </c>
      <c r="D11232" t="inlineStr">
        <is>
          <t>VÄRMLANDS LÄN</t>
        </is>
      </c>
      <c r="E11232" t="inlineStr">
        <is>
          <t>EDA</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40971-2023</t>
        </is>
      </c>
      <c r="B11233" s="1" t="n">
        <v>45173</v>
      </c>
      <c r="C11233" s="1" t="n">
        <v>45736</v>
      </c>
      <c r="D11233" t="inlineStr">
        <is>
          <t>VÄRMLANDS LÄN</t>
        </is>
      </c>
      <c r="E11233" t="inlineStr">
        <is>
          <t>TORSBY</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40859-2023</t>
        </is>
      </c>
      <c r="B11234" s="1" t="n">
        <v>45173</v>
      </c>
      <c r="C11234" s="1" t="n">
        <v>45736</v>
      </c>
      <c r="D11234" t="inlineStr">
        <is>
          <t>VÄRMLANDS LÄN</t>
        </is>
      </c>
      <c r="E11234" t="inlineStr">
        <is>
          <t>SÄFFLE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40863-2023</t>
        </is>
      </c>
      <c r="B11235" s="1" t="n">
        <v>45173</v>
      </c>
      <c r="C11235" s="1" t="n">
        <v>45736</v>
      </c>
      <c r="D11235" t="inlineStr">
        <is>
          <t>VÄRMLANDS LÄN</t>
        </is>
      </c>
      <c r="E11235" t="inlineStr">
        <is>
          <t>SÄFFLE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40856-2023</t>
        </is>
      </c>
      <c r="B11236" s="1" t="n">
        <v>45173</v>
      </c>
      <c r="C11236" s="1" t="n">
        <v>45736</v>
      </c>
      <c r="D11236" t="inlineStr">
        <is>
          <t>VÄRMLANDS LÄN</t>
        </is>
      </c>
      <c r="E11236" t="inlineStr">
        <is>
          <t>SÄFFLE</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40868-2023</t>
        </is>
      </c>
      <c r="B11237" s="1" t="n">
        <v>45173</v>
      </c>
      <c r="C11237" s="1" t="n">
        <v>45736</v>
      </c>
      <c r="D11237" t="inlineStr">
        <is>
          <t>VÄRMLANDS LÄN</t>
        </is>
      </c>
      <c r="E11237" t="inlineStr">
        <is>
          <t>EDA</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41096-2023</t>
        </is>
      </c>
      <c r="B11238" s="1" t="n">
        <v>45173</v>
      </c>
      <c r="C11238" s="1" t="n">
        <v>45736</v>
      </c>
      <c r="D11238" t="inlineStr">
        <is>
          <t>VÄRMLANDS LÄN</t>
        </is>
      </c>
      <c r="E11238" t="inlineStr">
        <is>
          <t>TORSBY</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40959-2023</t>
        </is>
      </c>
      <c r="B11239" s="1" t="n">
        <v>45173</v>
      </c>
      <c r="C11239" s="1" t="n">
        <v>45736</v>
      </c>
      <c r="D11239" t="inlineStr">
        <is>
          <t>VÄRMLANDS LÄN</t>
        </is>
      </c>
      <c r="E11239" t="inlineStr">
        <is>
          <t>EDA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41047-2023</t>
        </is>
      </c>
      <c r="B11240" s="1" t="n">
        <v>45173</v>
      </c>
      <c r="C11240" s="1" t="n">
        <v>45736</v>
      </c>
      <c r="D11240" t="inlineStr">
        <is>
          <t>VÄRMLANDS LÄN</t>
        </is>
      </c>
      <c r="E11240" t="inlineStr">
        <is>
          <t>EDA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41051-2023</t>
        </is>
      </c>
      <c r="B11241" s="1" t="n">
        <v>45173</v>
      </c>
      <c r="C11241" s="1" t="n">
        <v>45736</v>
      </c>
      <c r="D11241" t="inlineStr">
        <is>
          <t>VÄRMLANDS LÄN</t>
        </is>
      </c>
      <c r="E11241" t="inlineStr">
        <is>
          <t>EDA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41056-2023</t>
        </is>
      </c>
      <c r="B11242" s="1" t="n">
        <v>45173</v>
      </c>
      <c r="C11242" s="1" t="n">
        <v>45736</v>
      </c>
      <c r="D11242" t="inlineStr">
        <is>
          <t>VÄRMLANDS LÄN</t>
        </is>
      </c>
      <c r="E11242" t="inlineStr">
        <is>
          <t>TORSBY</t>
        </is>
      </c>
      <c r="F11242" t="inlineStr">
        <is>
          <t>Bergvik skog väst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41075-2023</t>
        </is>
      </c>
      <c r="B11243" s="1" t="n">
        <v>45173</v>
      </c>
      <c r="C11243" s="1" t="n">
        <v>45736</v>
      </c>
      <c r="D11243" t="inlineStr">
        <is>
          <t>VÄRMLANDS LÄN</t>
        </is>
      </c>
      <c r="E11243" t="inlineStr">
        <is>
          <t>FILIPSTAD</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41608-2023</t>
        </is>
      </c>
      <c r="B11244" s="1" t="n">
        <v>45173</v>
      </c>
      <c r="C11244" s="1" t="n">
        <v>45736</v>
      </c>
      <c r="D11244" t="inlineStr">
        <is>
          <t>VÄRMLANDS LÄN</t>
        </is>
      </c>
      <c r="E11244" t="inlineStr">
        <is>
          <t>HAGFORS</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40896-2023</t>
        </is>
      </c>
      <c r="B11245" s="1" t="n">
        <v>45173</v>
      </c>
      <c r="C11245" s="1" t="n">
        <v>45736</v>
      </c>
      <c r="D11245" t="inlineStr">
        <is>
          <t>VÄRMLANDS LÄN</t>
        </is>
      </c>
      <c r="E11245" t="inlineStr">
        <is>
          <t>ARVIKA</t>
        </is>
      </c>
      <c r="G11245" t="n">
        <v>6.6</v>
      </c>
      <c r="H11245" t="n">
        <v>0</v>
      </c>
      <c r="I11245" t="n">
        <v>0</v>
      </c>
      <c r="J11245" t="n">
        <v>0</v>
      </c>
      <c r="K11245" t="n">
        <v>0</v>
      </c>
      <c r="L11245" t="n">
        <v>0</v>
      </c>
      <c r="M11245" t="n">
        <v>0</v>
      </c>
      <c r="N11245" t="n">
        <v>0</v>
      </c>
      <c r="O11245" t="n">
        <v>0</v>
      </c>
      <c r="P11245" t="n">
        <v>0</v>
      </c>
      <c r="Q11245" t="n">
        <v>0</v>
      </c>
      <c r="R11245" s="2" t="inlineStr"/>
      <c r="U11245">
        <f>HYPERLINK("https://klasma.github.io/Logging_1784/knärot/A 40896-2023 karta knärot.png", "A 40896-2023")</f>
        <v/>
      </c>
      <c r="V11245">
        <f>HYPERLINK("https://klasma.github.io/Logging_1784/klagomål/A 40896-2023 FSC-klagomål.docx", "A 40896-2023")</f>
        <v/>
      </c>
      <c r="W11245">
        <f>HYPERLINK("https://klasma.github.io/Logging_1784/klagomålsmail/A 40896-2023 FSC-klagomål mail.docx", "A 40896-2023")</f>
        <v/>
      </c>
      <c r="X11245">
        <f>HYPERLINK("https://klasma.github.io/Logging_1784/tillsyn/A 40896-2023 tillsynsbegäran.docx", "A 40896-2023")</f>
        <v/>
      </c>
      <c r="Y11245">
        <f>HYPERLINK("https://klasma.github.io/Logging_1784/tillsynsmail/A 40896-2023 tillsynsbegäran mail.docx", "A 40896-2023")</f>
        <v/>
      </c>
    </row>
    <row r="11246" ht="15" customHeight="1">
      <c r="A11246" t="inlineStr">
        <is>
          <t>A 41008-2023</t>
        </is>
      </c>
      <c r="B11246" s="1" t="n">
        <v>45173</v>
      </c>
      <c r="C11246" s="1" t="n">
        <v>45736</v>
      </c>
      <c r="D11246" t="inlineStr">
        <is>
          <t>VÄRMLANDS LÄN</t>
        </is>
      </c>
      <c r="E11246" t="inlineStr">
        <is>
          <t>SUNNE</t>
        </is>
      </c>
      <c r="F11246" t="inlineStr">
        <is>
          <t>Övriga Aktiebolag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41022-2023</t>
        </is>
      </c>
      <c r="B11247" s="1" t="n">
        <v>45173</v>
      </c>
      <c r="C11247" s="1" t="n">
        <v>45736</v>
      </c>
      <c r="D11247" t="inlineStr">
        <is>
          <t>VÄRMLANDS LÄN</t>
        </is>
      </c>
      <c r="E11247" t="inlineStr">
        <is>
          <t>TORSBY</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41033-2023</t>
        </is>
      </c>
      <c r="B11248" s="1" t="n">
        <v>45173</v>
      </c>
      <c r="C11248" s="1" t="n">
        <v>45736</v>
      </c>
      <c r="D11248" t="inlineStr">
        <is>
          <t>VÄRMLANDS LÄN</t>
        </is>
      </c>
      <c r="E11248" t="inlineStr">
        <is>
          <t>EDA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41050-2023</t>
        </is>
      </c>
      <c r="B11249" s="1" t="n">
        <v>45173</v>
      </c>
      <c r="C11249" s="1" t="n">
        <v>45736</v>
      </c>
      <c r="D11249" t="inlineStr">
        <is>
          <t>VÄRMLANDS LÄN</t>
        </is>
      </c>
      <c r="E11249" t="inlineStr">
        <is>
          <t>TORSBY</t>
        </is>
      </c>
      <c r="F11249" t="inlineStr">
        <is>
          <t>Bergvik skog väst AB</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41059-2023</t>
        </is>
      </c>
      <c r="B11250" s="1" t="n">
        <v>45173</v>
      </c>
      <c r="C11250" s="1" t="n">
        <v>45736</v>
      </c>
      <c r="D11250" t="inlineStr">
        <is>
          <t>VÄRMLANDS LÄN</t>
        </is>
      </c>
      <c r="E11250" t="inlineStr">
        <is>
          <t>TORSBY</t>
        </is>
      </c>
      <c r="F11250" t="inlineStr">
        <is>
          <t>Bergvik skog väst AB</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41189-2023</t>
        </is>
      </c>
      <c r="B11251" s="1" t="n">
        <v>45174</v>
      </c>
      <c r="C11251" s="1" t="n">
        <v>45736</v>
      </c>
      <c r="D11251" t="inlineStr">
        <is>
          <t>VÄRMLANDS LÄN</t>
        </is>
      </c>
      <c r="E11251" t="inlineStr">
        <is>
          <t>HAGFORS</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41230-2023</t>
        </is>
      </c>
      <c r="B11252" s="1" t="n">
        <v>45174</v>
      </c>
      <c r="C11252" s="1" t="n">
        <v>45736</v>
      </c>
      <c r="D11252" t="inlineStr">
        <is>
          <t>VÄRMLANDS LÄN</t>
        </is>
      </c>
      <c r="E11252" t="inlineStr">
        <is>
          <t>KARLSTAD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41247-2023</t>
        </is>
      </c>
      <c r="B11253" s="1" t="n">
        <v>45174</v>
      </c>
      <c r="C11253" s="1" t="n">
        <v>45736</v>
      </c>
      <c r="D11253" t="inlineStr">
        <is>
          <t>VÄRMLANDS LÄN</t>
        </is>
      </c>
      <c r="E11253" t="inlineStr">
        <is>
          <t>ARVIKA</t>
        </is>
      </c>
      <c r="F11253" t="inlineStr">
        <is>
          <t>Bergvik skog väst AB</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41303-2023</t>
        </is>
      </c>
      <c r="B11254" s="1" t="n">
        <v>45174</v>
      </c>
      <c r="C11254" s="1" t="n">
        <v>45736</v>
      </c>
      <c r="D11254" t="inlineStr">
        <is>
          <t>VÄRMLANDS LÄN</t>
        </is>
      </c>
      <c r="E11254" t="inlineStr">
        <is>
          <t>STORFORS</t>
        </is>
      </c>
      <c r="F11254" t="inlineStr">
        <is>
          <t>Bergvik skog väst AB</t>
        </is>
      </c>
      <c r="G11254" t="n">
        <v>20.3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41321-2023</t>
        </is>
      </c>
      <c r="B11255" s="1" t="n">
        <v>45174</v>
      </c>
      <c r="C11255" s="1" t="n">
        <v>45736</v>
      </c>
      <c r="D11255" t="inlineStr">
        <is>
          <t>VÄRMLANDS LÄN</t>
        </is>
      </c>
      <c r="E11255" t="inlineStr">
        <is>
          <t>KARLSTAD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41325-2023</t>
        </is>
      </c>
      <c r="B11256" s="1" t="n">
        <v>45174</v>
      </c>
      <c r="C11256" s="1" t="n">
        <v>45736</v>
      </c>
      <c r="D11256" t="inlineStr">
        <is>
          <t>VÄRMLANDS LÄN</t>
        </is>
      </c>
      <c r="E11256" t="inlineStr">
        <is>
          <t>STORFORS</t>
        </is>
      </c>
      <c r="F11256" t="inlineStr">
        <is>
          <t>Bergvik skog väst AB</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41214-2023</t>
        </is>
      </c>
      <c r="B11257" s="1" t="n">
        <v>45174</v>
      </c>
      <c r="C11257" s="1" t="n">
        <v>45736</v>
      </c>
      <c r="D11257" t="inlineStr">
        <is>
          <t>VÄRMLANDS LÄN</t>
        </is>
      </c>
      <c r="E11257" t="inlineStr">
        <is>
          <t>STORFORS</t>
        </is>
      </c>
      <c r="F11257" t="inlineStr">
        <is>
          <t>Bergvik skog väst AB</t>
        </is>
      </c>
      <c r="G11257" t="n">
        <v>51.6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41304-2023</t>
        </is>
      </c>
      <c r="B11258" s="1" t="n">
        <v>45174</v>
      </c>
      <c r="C11258" s="1" t="n">
        <v>45736</v>
      </c>
      <c r="D11258" t="inlineStr">
        <is>
          <t>VÄRMLANDS LÄN</t>
        </is>
      </c>
      <c r="E11258" t="inlineStr">
        <is>
          <t>FILIPSTAD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41338-2023</t>
        </is>
      </c>
      <c r="B11259" s="1" t="n">
        <v>45174</v>
      </c>
      <c r="C11259" s="1" t="n">
        <v>45736</v>
      </c>
      <c r="D11259" t="inlineStr">
        <is>
          <t>VÄRMLANDS LÄN</t>
        </is>
      </c>
      <c r="E11259" t="inlineStr">
        <is>
          <t>KRISTINEHAMN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41156-2023</t>
        </is>
      </c>
      <c r="B11260" s="1" t="n">
        <v>45174</v>
      </c>
      <c r="C11260" s="1" t="n">
        <v>45736</v>
      </c>
      <c r="D11260" t="inlineStr">
        <is>
          <t>VÄRMLANDS LÄN</t>
        </is>
      </c>
      <c r="E11260" t="inlineStr">
        <is>
          <t>TORSBY</t>
        </is>
      </c>
      <c r="F11260" t="inlineStr">
        <is>
          <t>Kyrkan</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41160-2023</t>
        </is>
      </c>
      <c r="B11261" s="1" t="n">
        <v>45174</v>
      </c>
      <c r="C11261" s="1" t="n">
        <v>45736</v>
      </c>
      <c r="D11261" t="inlineStr">
        <is>
          <t>VÄRMLANDS LÄN</t>
        </is>
      </c>
      <c r="E11261" t="inlineStr">
        <is>
          <t>TORSBY</t>
        </is>
      </c>
      <c r="F11261" t="inlineStr">
        <is>
          <t>Kyrkan</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41208-2023</t>
        </is>
      </c>
      <c r="B11262" s="1" t="n">
        <v>45174</v>
      </c>
      <c r="C11262" s="1" t="n">
        <v>45736</v>
      </c>
      <c r="D11262" t="inlineStr">
        <is>
          <t>VÄRMLANDS LÄN</t>
        </is>
      </c>
      <c r="E11262" t="inlineStr">
        <is>
          <t>SUNNE</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41246-2023</t>
        </is>
      </c>
      <c r="B11263" s="1" t="n">
        <v>45174</v>
      </c>
      <c r="C11263" s="1" t="n">
        <v>45736</v>
      </c>
      <c r="D11263" t="inlineStr">
        <is>
          <t>VÄRMLANDS LÄN</t>
        </is>
      </c>
      <c r="E11263" t="inlineStr">
        <is>
          <t>TORSBY</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41270-2023</t>
        </is>
      </c>
      <c r="B11264" s="1" t="n">
        <v>45174</v>
      </c>
      <c r="C11264" s="1" t="n">
        <v>45736</v>
      </c>
      <c r="D11264" t="inlineStr">
        <is>
          <t>VÄRMLANDS LÄN</t>
        </is>
      </c>
      <c r="E11264" t="inlineStr">
        <is>
          <t>TORSBY</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41310-2023</t>
        </is>
      </c>
      <c r="B11265" s="1" t="n">
        <v>45174</v>
      </c>
      <c r="C11265" s="1" t="n">
        <v>45736</v>
      </c>
      <c r="D11265" t="inlineStr">
        <is>
          <t>VÄRMLANDS LÄN</t>
        </is>
      </c>
      <c r="E11265" t="inlineStr">
        <is>
          <t>ARVIKA</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41265-2023</t>
        </is>
      </c>
      <c r="B11266" s="1" t="n">
        <v>45174</v>
      </c>
      <c r="C11266" s="1" t="n">
        <v>45736</v>
      </c>
      <c r="D11266" t="inlineStr">
        <is>
          <t>VÄRMLANDS LÄN</t>
        </is>
      </c>
      <c r="E11266" t="inlineStr">
        <is>
          <t>STORFORS</t>
        </is>
      </c>
      <c r="F11266" t="inlineStr">
        <is>
          <t>Bergvik skog väst AB</t>
        </is>
      </c>
      <c r="G11266" t="n">
        <v>29.7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41269-2023</t>
        </is>
      </c>
      <c r="B11267" s="1" t="n">
        <v>45174</v>
      </c>
      <c r="C11267" s="1" t="n">
        <v>45736</v>
      </c>
      <c r="D11267" t="inlineStr">
        <is>
          <t>VÄRMLANDS LÄN</t>
        </is>
      </c>
      <c r="E11267" t="inlineStr">
        <is>
          <t>ÅRJÄNG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41283-2023</t>
        </is>
      </c>
      <c r="B11268" s="1" t="n">
        <v>45174</v>
      </c>
      <c r="C11268" s="1" t="n">
        <v>45736</v>
      </c>
      <c r="D11268" t="inlineStr">
        <is>
          <t>VÄRMLANDS LÄN</t>
        </is>
      </c>
      <c r="E11268" t="inlineStr">
        <is>
          <t>ÅRJÄNG</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41319-2023</t>
        </is>
      </c>
      <c r="B11269" s="1" t="n">
        <v>45174</v>
      </c>
      <c r="C11269" s="1" t="n">
        <v>45736</v>
      </c>
      <c r="D11269" t="inlineStr">
        <is>
          <t>VÄRMLANDS LÄN</t>
        </is>
      </c>
      <c r="E11269" t="inlineStr">
        <is>
          <t>EDA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41323-2023</t>
        </is>
      </c>
      <c r="B11270" s="1" t="n">
        <v>45174</v>
      </c>
      <c r="C11270" s="1" t="n">
        <v>45736</v>
      </c>
      <c r="D11270" t="inlineStr">
        <is>
          <t>VÄRMLANDS LÄN</t>
        </is>
      </c>
      <c r="E11270" t="inlineStr">
        <is>
          <t>EDA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41379-2023</t>
        </is>
      </c>
      <c r="B11271" s="1" t="n">
        <v>45174</v>
      </c>
      <c r="C11271" s="1" t="n">
        <v>45736</v>
      </c>
      <c r="D11271" t="inlineStr">
        <is>
          <t>VÄRMLANDS LÄN</t>
        </is>
      </c>
      <c r="E11271" t="inlineStr">
        <is>
          <t>SUNNE</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41709-2023</t>
        </is>
      </c>
      <c r="B11272" s="1" t="n">
        <v>45174</v>
      </c>
      <c r="C11272" s="1" t="n">
        <v>45736</v>
      </c>
      <c r="D11272" t="inlineStr">
        <is>
          <t>VÄRMLANDS LÄN</t>
        </is>
      </c>
      <c r="E11272" t="inlineStr">
        <is>
          <t>EDA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42069-2023</t>
        </is>
      </c>
      <c r="B11273" s="1" t="n">
        <v>45174</v>
      </c>
      <c r="C11273" s="1" t="n">
        <v>45736</v>
      </c>
      <c r="D11273" t="inlineStr">
        <is>
          <t>VÄRMLANDS LÄN</t>
        </is>
      </c>
      <c r="E11273" t="inlineStr">
        <is>
          <t>TORSBY</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42060-2023</t>
        </is>
      </c>
      <c r="B11274" s="1" t="n">
        <v>45174</v>
      </c>
      <c r="C11274" s="1" t="n">
        <v>45736</v>
      </c>
      <c r="D11274" t="inlineStr">
        <is>
          <t>VÄRMLANDS LÄN</t>
        </is>
      </c>
      <c r="E11274" t="inlineStr">
        <is>
          <t>TORSBY</t>
        </is>
      </c>
      <c r="G11274" t="n">
        <v>9.6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41417-2023</t>
        </is>
      </c>
      <c r="B11275" s="1" t="n">
        <v>45175</v>
      </c>
      <c r="C11275" s="1" t="n">
        <v>45736</v>
      </c>
      <c r="D11275" t="inlineStr">
        <is>
          <t>VÄRMLANDS LÄN</t>
        </is>
      </c>
      <c r="E11275" t="inlineStr">
        <is>
          <t>EDA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41429-2023</t>
        </is>
      </c>
      <c r="B11276" s="1" t="n">
        <v>45175</v>
      </c>
      <c r="C11276" s="1" t="n">
        <v>45736</v>
      </c>
      <c r="D11276" t="inlineStr">
        <is>
          <t>VÄRMLANDS LÄN</t>
        </is>
      </c>
      <c r="E11276" t="inlineStr">
        <is>
          <t>GRUMS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41488-2023</t>
        </is>
      </c>
      <c r="B11277" s="1" t="n">
        <v>45175</v>
      </c>
      <c r="C11277" s="1" t="n">
        <v>45736</v>
      </c>
      <c r="D11277" t="inlineStr">
        <is>
          <t>VÄRMLANDS LÄN</t>
        </is>
      </c>
      <c r="E11277" t="inlineStr">
        <is>
          <t>TORSBY</t>
        </is>
      </c>
      <c r="F11277" t="inlineStr">
        <is>
          <t>Kyrkan</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41427-2023</t>
        </is>
      </c>
      <c r="B11278" s="1" t="n">
        <v>45175</v>
      </c>
      <c r="C11278" s="1" t="n">
        <v>45736</v>
      </c>
      <c r="D11278" t="inlineStr">
        <is>
          <t>VÄRMLANDS LÄN</t>
        </is>
      </c>
      <c r="E11278" t="inlineStr">
        <is>
          <t>GRUMS</t>
        </is>
      </c>
      <c r="G11278" t="n">
        <v>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41468-2023</t>
        </is>
      </c>
      <c r="B11279" s="1" t="n">
        <v>45175</v>
      </c>
      <c r="C11279" s="1" t="n">
        <v>45736</v>
      </c>
      <c r="D11279" t="inlineStr">
        <is>
          <t>VÄRMLANDS LÄN</t>
        </is>
      </c>
      <c r="E11279" t="inlineStr">
        <is>
          <t>KIL</t>
        </is>
      </c>
      <c r="F11279" t="inlineStr">
        <is>
          <t>Kommuner</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41438-2023</t>
        </is>
      </c>
      <c r="B11280" s="1" t="n">
        <v>45175</v>
      </c>
      <c r="C11280" s="1" t="n">
        <v>45736</v>
      </c>
      <c r="D11280" t="inlineStr">
        <is>
          <t>VÄRMLANDS LÄN</t>
        </is>
      </c>
      <c r="E11280" t="inlineStr">
        <is>
          <t>TORSBY</t>
        </is>
      </c>
      <c r="F11280" t="inlineStr">
        <is>
          <t>Kyrkan</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41505-2023</t>
        </is>
      </c>
      <c r="B11281" s="1" t="n">
        <v>45175</v>
      </c>
      <c r="C11281" s="1" t="n">
        <v>45736</v>
      </c>
      <c r="D11281" t="inlineStr">
        <is>
          <t>VÄRMLANDS LÄN</t>
        </is>
      </c>
      <c r="E11281" t="inlineStr">
        <is>
          <t>EDA</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41510-2023</t>
        </is>
      </c>
      <c r="B11282" s="1" t="n">
        <v>45175</v>
      </c>
      <c r="C11282" s="1" t="n">
        <v>45736</v>
      </c>
      <c r="D11282" t="inlineStr">
        <is>
          <t>VÄRMLANDS LÄN</t>
        </is>
      </c>
      <c r="E11282" t="inlineStr">
        <is>
          <t>KARLSTAD</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41514-2023</t>
        </is>
      </c>
      <c r="B11283" s="1" t="n">
        <v>45175</v>
      </c>
      <c r="C11283" s="1" t="n">
        <v>45736</v>
      </c>
      <c r="D11283" t="inlineStr">
        <is>
          <t>VÄRMLANDS LÄN</t>
        </is>
      </c>
      <c r="E11283" t="inlineStr">
        <is>
          <t>EDA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41534-2023</t>
        </is>
      </c>
      <c r="B11284" s="1" t="n">
        <v>45175</v>
      </c>
      <c r="C11284" s="1" t="n">
        <v>45736</v>
      </c>
      <c r="D11284" t="inlineStr">
        <is>
          <t>VÄRMLANDS LÄN</t>
        </is>
      </c>
      <c r="E11284" t="inlineStr">
        <is>
          <t>KARLSTAD</t>
        </is>
      </c>
      <c r="F11284" t="inlineStr">
        <is>
          <t>Övriga Aktiebolag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41554-2023</t>
        </is>
      </c>
      <c r="B11285" s="1" t="n">
        <v>45175</v>
      </c>
      <c r="C11285" s="1" t="n">
        <v>45736</v>
      </c>
      <c r="D11285" t="inlineStr">
        <is>
          <t>VÄRMLANDS LÄN</t>
        </is>
      </c>
      <c r="E11285" t="inlineStr">
        <is>
          <t>STORFORS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41508-2023</t>
        </is>
      </c>
      <c r="B11286" s="1" t="n">
        <v>45175</v>
      </c>
      <c r="C11286" s="1" t="n">
        <v>45736</v>
      </c>
      <c r="D11286" t="inlineStr">
        <is>
          <t>VÄRMLANDS LÄN</t>
        </is>
      </c>
      <c r="E11286" t="inlineStr">
        <is>
          <t>KARLSTAD</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41431-2023</t>
        </is>
      </c>
      <c r="B11287" s="1" t="n">
        <v>45175</v>
      </c>
      <c r="C11287" s="1" t="n">
        <v>45736</v>
      </c>
      <c r="D11287" t="inlineStr">
        <is>
          <t>VÄRMLANDS LÄN</t>
        </is>
      </c>
      <c r="E11287" t="inlineStr">
        <is>
          <t>TORSBY</t>
        </is>
      </c>
      <c r="F11287" t="inlineStr">
        <is>
          <t>Bergvik skog väst AB</t>
        </is>
      </c>
      <c r="G11287" t="n">
        <v>14.7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41551-2023</t>
        </is>
      </c>
      <c r="B11288" s="1" t="n">
        <v>45175</v>
      </c>
      <c r="C11288" s="1" t="n">
        <v>45736</v>
      </c>
      <c r="D11288" t="inlineStr">
        <is>
          <t>VÄRMLANDS LÄN</t>
        </is>
      </c>
      <c r="E11288" t="inlineStr">
        <is>
          <t>STORFORS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41565-2023</t>
        </is>
      </c>
      <c r="B11289" s="1" t="n">
        <v>45175</v>
      </c>
      <c r="C11289" s="1" t="n">
        <v>45736</v>
      </c>
      <c r="D11289" t="inlineStr">
        <is>
          <t>VÄRMLANDS LÄN</t>
        </is>
      </c>
      <c r="E11289" t="inlineStr">
        <is>
          <t>KARLSTAD</t>
        </is>
      </c>
      <c r="F11289" t="inlineStr">
        <is>
          <t>Övriga Aktiebolag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41563-2023</t>
        </is>
      </c>
      <c r="B11290" s="1" t="n">
        <v>45175</v>
      </c>
      <c r="C11290" s="1" t="n">
        <v>45736</v>
      </c>
      <c r="D11290" t="inlineStr">
        <is>
          <t>VÄRMLANDS LÄN</t>
        </is>
      </c>
      <c r="E11290" t="inlineStr">
        <is>
          <t>KARLSTAD</t>
        </is>
      </c>
      <c r="F11290" t="inlineStr">
        <is>
          <t>Övriga Aktiebolag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41568-2023</t>
        </is>
      </c>
      <c r="B11291" s="1" t="n">
        <v>45175</v>
      </c>
      <c r="C11291" s="1" t="n">
        <v>45736</v>
      </c>
      <c r="D11291" t="inlineStr">
        <is>
          <t>VÄRMLANDS LÄN</t>
        </is>
      </c>
      <c r="E11291" t="inlineStr">
        <is>
          <t>KARLSTAD</t>
        </is>
      </c>
      <c r="F11291" t="inlineStr">
        <is>
          <t>Övriga Aktiebolag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41603-2023</t>
        </is>
      </c>
      <c r="B11292" s="1" t="n">
        <v>45175</v>
      </c>
      <c r="C11292" s="1" t="n">
        <v>45736</v>
      </c>
      <c r="D11292" t="inlineStr">
        <is>
          <t>VÄRMLANDS LÄN</t>
        </is>
      </c>
      <c r="E11292" t="inlineStr">
        <is>
          <t>HAGFORS</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41607-2023</t>
        </is>
      </c>
      <c r="B11293" s="1" t="n">
        <v>45175</v>
      </c>
      <c r="C11293" s="1" t="n">
        <v>45736</v>
      </c>
      <c r="D11293" t="inlineStr">
        <is>
          <t>VÄRMLANDS LÄN</t>
        </is>
      </c>
      <c r="E11293" t="inlineStr">
        <is>
          <t>ARVIKA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42349-2023</t>
        </is>
      </c>
      <c r="B11294" s="1" t="n">
        <v>45175</v>
      </c>
      <c r="C11294" s="1" t="n">
        <v>45736</v>
      </c>
      <c r="D11294" t="inlineStr">
        <is>
          <t>VÄRMLANDS LÄN</t>
        </is>
      </c>
      <c r="E11294" t="inlineStr">
        <is>
          <t>SUNNE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41830-2023</t>
        </is>
      </c>
      <c r="B11295" s="1" t="n">
        <v>45176</v>
      </c>
      <c r="C11295" s="1" t="n">
        <v>45736</v>
      </c>
      <c r="D11295" t="inlineStr">
        <is>
          <t>VÄRMLANDS LÄN</t>
        </is>
      </c>
      <c r="E11295" t="inlineStr">
        <is>
          <t>SÄFFLE</t>
        </is>
      </c>
      <c r="F11295" t="inlineStr">
        <is>
          <t>Kyrkan</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41867-2023</t>
        </is>
      </c>
      <c r="B11296" s="1" t="n">
        <v>45176</v>
      </c>
      <c r="C11296" s="1" t="n">
        <v>45736</v>
      </c>
      <c r="D11296" t="inlineStr">
        <is>
          <t>VÄRMLANDS LÄN</t>
        </is>
      </c>
      <c r="E11296" t="inlineStr">
        <is>
          <t>TORSBY</t>
        </is>
      </c>
      <c r="F11296" t="inlineStr">
        <is>
          <t>Bergvik skog väst AB</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41717-2023</t>
        </is>
      </c>
      <c r="B11297" s="1" t="n">
        <v>45176</v>
      </c>
      <c r="C11297" s="1" t="n">
        <v>45736</v>
      </c>
      <c r="D11297" t="inlineStr">
        <is>
          <t>VÄRMLANDS LÄN</t>
        </is>
      </c>
      <c r="E11297" t="inlineStr">
        <is>
          <t>SUNNE</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41692-2023</t>
        </is>
      </c>
      <c r="B11298" s="1" t="n">
        <v>45176</v>
      </c>
      <c r="C11298" s="1" t="n">
        <v>45736</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41705-2023</t>
        </is>
      </c>
      <c r="B11299" s="1" t="n">
        <v>45176</v>
      </c>
      <c r="C11299" s="1" t="n">
        <v>45736</v>
      </c>
      <c r="D11299" t="inlineStr">
        <is>
          <t>VÄRMLANDS LÄN</t>
        </is>
      </c>
      <c r="E11299" t="inlineStr">
        <is>
          <t>EDA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41687-2023</t>
        </is>
      </c>
      <c r="B11300" s="1" t="n">
        <v>45176</v>
      </c>
      <c r="C11300" s="1" t="n">
        <v>45736</v>
      </c>
      <c r="D11300" t="inlineStr">
        <is>
          <t>VÄRMLANDS LÄN</t>
        </is>
      </c>
      <c r="E11300" t="inlineStr">
        <is>
          <t>EDA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41743-2023</t>
        </is>
      </c>
      <c r="B11301" s="1" t="n">
        <v>45176</v>
      </c>
      <c r="C11301" s="1" t="n">
        <v>45736</v>
      </c>
      <c r="D11301" t="inlineStr">
        <is>
          <t>VÄRMLANDS LÄN</t>
        </is>
      </c>
      <c r="E11301" t="inlineStr">
        <is>
          <t>EDA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41804-2023</t>
        </is>
      </c>
      <c r="B11302" s="1" t="n">
        <v>45176</v>
      </c>
      <c r="C11302" s="1" t="n">
        <v>45736</v>
      </c>
      <c r="D11302" t="inlineStr">
        <is>
          <t>VÄRMLANDS LÄN</t>
        </is>
      </c>
      <c r="E11302" t="inlineStr">
        <is>
          <t>SÄFFLE</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41833-2023</t>
        </is>
      </c>
      <c r="B11303" s="1" t="n">
        <v>45176</v>
      </c>
      <c r="C11303" s="1" t="n">
        <v>45736</v>
      </c>
      <c r="D11303" t="inlineStr">
        <is>
          <t>VÄRMLANDS LÄN</t>
        </is>
      </c>
      <c r="E11303" t="inlineStr">
        <is>
          <t>TORSBY</t>
        </is>
      </c>
      <c r="F11303" t="inlineStr">
        <is>
          <t>Bergvik skog väst AB</t>
        </is>
      </c>
      <c r="G11303" t="n">
        <v>21.7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41841-2023</t>
        </is>
      </c>
      <c r="B11304" s="1" t="n">
        <v>45176</v>
      </c>
      <c r="C11304" s="1" t="n">
        <v>45736</v>
      </c>
      <c r="D11304" t="inlineStr">
        <is>
          <t>VÄRMLANDS LÄN</t>
        </is>
      </c>
      <c r="E11304" t="inlineStr">
        <is>
          <t>TORSBY</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41846-2023</t>
        </is>
      </c>
      <c r="B11305" s="1" t="n">
        <v>45176</v>
      </c>
      <c r="C11305" s="1" t="n">
        <v>45736</v>
      </c>
      <c r="D11305" t="inlineStr">
        <is>
          <t>VÄRMLANDS LÄN</t>
        </is>
      </c>
      <c r="E11305" t="inlineStr">
        <is>
          <t>EDA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41857-2023</t>
        </is>
      </c>
      <c r="B11306" s="1" t="n">
        <v>45176</v>
      </c>
      <c r="C11306" s="1" t="n">
        <v>45736</v>
      </c>
      <c r="D11306" t="inlineStr">
        <is>
          <t>VÄRMLANDS LÄN</t>
        </is>
      </c>
      <c r="E11306" t="inlineStr">
        <is>
          <t>KRISTINEHAMN</t>
        </is>
      </c>
      <c r="F11306" t="inlineStr">
        <is>
          <t>Naturvårdsverket</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41875-2023</t>
        </is>
      </c>
      <c r="B11307" s="1" t="n">
        <v>45176</v>
      </c>
      <c r="C11307" s="1" t="n">
        <v>45736</v>
      </c>
      <c r="D11307" t="inlineStr">
        <is>
          <t>VÄRMLANDS LÄN</t>
        </is>
      </c>
      <c r="E11307" t="inlineStr">
        <is>
          <t>STORFORS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41885-2023</t>
        </is>
      </c>
      <c r="B11308" s="1" t="n">
        <v>45176</v>
      </c>
      <c r="C11308" s="1" t="n">
        <v>45736</v>
      </c>
      <c r="D11308" t="inlineStr">
        <is>
          <t>VÄRMLANDS LÄN</t>
        </is>
      </c>
      <c r="E11308" t="inlineStr">
        <is>
          <t>TORSBY</t>
        </is>
      </c>
      <c r="F11308" t="inlineStr">
        <is>
          <t>Bergvik skog väst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41897-2023</t>
        </is>
      </c>
      <c r="B11309" s="1" t="n">
        <v>45176</v>
      </c>
      <c r="C11309" s="1" t="n">
        <v>45736</v>
      </c>
      <c r="D11309" t="inlineStr">
        <is>
          <t>VÄRMLANDS LÄN</t>
        </is>
      </c>
      <c r="E11309" t="inlineStr">
        <is>
          <t>HAMMARÖ</t>
        </is>
      </c>
      <c r="F11309" t="inlineStr">
        <is>
          <t>Övriga Aktiebolag</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41742-2023</t>
        </is>
      </c>
      <c r="B11310" s="1" t="n">
        <v>45176</v>
      </c>
      <c r="C11310" s="1" t="n">
        <v>45736</v>
      </c>
      <c r="D11310" t="inlineStr">
        <is>
          <t>VÄRMLANDS LÄN</t>
        </is>
      </c>
      <c r="E11310" t="inlineStr">
        <is>
          <t>EDA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41779-2023</t>
        </is>
      </c>
      <c r="B11311" s="1" t="n">
        <v>45176</v>
      </c>
      <c r="C11311" s="1" t="n">
        <v>45736</v>
      </c>
      <c r="D11311" t="inlineStr">
        <is>
          <t>VÄRMLANDS LÄN</t>
        </is>
      </c>
      <c r="E11311" t="inlineStr">
        <is>
          <t>EDA</t>
        </is>
      </c>
      <c r="G11311" t="n">
        <v>9.199999999999999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41836-2023</t>
        </is>
      </c>
      <c r="B11312" s="1" t="n">
        <v>45176</v>
      </c>
      <c r="C11312" s="1" t="n">
        <v>45736</v>
      </c>
      <c r="D11312" t="inlineStr">
        <is>
          <t>VÄRMLANDS LÄN</t>
        </is>
      </c>
      <c r="E11312" t="inlineStr">
        <is>
          <t>EDA</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41892-2023</t>
        </is>
      </c>
      <c r="B11313" s="1" t="n">
        <v>45176</v>
      </c>
      <c r="C11313" s="1" t="n">
        <v>45736</v>
      </c>
      <c r="D11313" t="inlineStr">
        <is>
          <t>VÄRMLANDS LÄN</t>
        </is>
      </c>
      <c r="E11313" t="inlineStr">
        <is>
          <t>HAMMARÖ</t>
        </is>
      </c>
      <c r="F11313" t="inlineStr">
        <is>
          <t>Övriga Aktiebolag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41831-2023</t>
        </is>
      </c>
      <c r="B11314" s="1" t="n">
        <v>45176</v>
      </c>
      <c r="C11314" s="1" t="n">
        <v>45736</v>
      </c>
      <c r="D11314" t="inlineStr">
        <is>
          <t>VÄRMLANDS LÄN</t>
        </is>
      </c>
      <c r="E11314" t="inlineStr">
        <is>
          <t>SUNNE</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41843-2023</t>
        </is>
      </c>
      <c r="B11315" s="1" t="n">
        <v>45176</v>
      </c>
      <c r="C11315" s="1" t="n">
        <v>45736</v>
      </c>
      <c r="D11315" t="inlineStr">
        <is>
          <t>VÄRMLANDS LÄN</t>
        </is>
      </c>
      <c r="E11315" t="inlineStr">
        <is>
          <t>TORSBY</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41868-2023</t>
        </is>
      </c>
      <c r="B11316" s="1" t="n">
        <v>45176</v>
      </c>
      <c r="C11316" s="1" t="n">
        <v>45736</v>
      </c>
      <c r="D11316" t="inlineStr">
        <is>
          <t>VÄRMLANDS LÄN</t>
        </is>
      </c>
      <c r="E11316" t="inlineStr">
        <is>
          <t>TORSBY</t>
        </is>
      </c>
      <c r="F11316" t="inlineStr">
        <is>
          <t>Bergvik skog väst AB</t>
        </is>
      </c>
      <c r="G11316" t="n">
        <v>11.6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41878-2023</t>
        </is>
      </c>
      <c r="B11317" s="1" t="n">
        <v>45176</v>
      </c>
      <c r="C11317" s="1" t="n">
        <v>45736</v>
      </c>
      <c r="D11317" t="inlineStr">
        <is>
          <t>VÄRMLANDS LÄN</t>
        </is>
      </c>
      <c r="E11317" t="inlineStr">
        <is>
          <t>ARVIKA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41891-2023</t>
        </is>
      </c>
      <c r="B11318" s="1" t="n">
        <v>45176</v>
      </c>
      <c r="C11318" s="1" t="n">
        <v>45736</v>
      </c>
      <c r="D11318" t="inlineStr">
        <is>
          <t>VÄRMLANDS LÄN</t>
        </is>
      </c>
      <c r="E11318" t="inlineStr">
        <is>
          <t>HAMMARÖ</t>
        </is>
      </c>
      <c r="F11318" t="inlineStr">
        <is>
          <t>Övriga Aktiebolag</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41895-2023</t>
        </is>
      </c>
      <c r="B11319" s="1" t="n">
        <v>45176</v>
      </c>
      <c r="C11319" s="1" t="n">
        <v>45736</v>
      </c>
      <c r="D11319" t="inlineStr">
        <is>
          <t>VÄRMLANDS LÄN</t>
        </is>
      </c>
      <c r="E11319" t="inlineStr">
        <is>
          <t>HAMMARÖ</t>
        </is>
      </c>
      <c r="F11319" t="inlineStr">
        <is>
          <t>Övriga Aktiebolag</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41899-2023</t>
        </is>
      </c>
      <c r="B11320" s="1" t="n">
        <v>45176</v>
      </c>
      <c r="C11320" s="1" t="n">
        <v>45736</v>
      </c>
      <c r="D11320" t="inlineStr">
        <is>
          <t>VÄRMLANDS LÄN</t>
        </is>
      </c>
      <c r="E11320" t="inlineStr">
        <is>
          <t>HAMMARÖ</t>
        </is>
      </c>
      <c r="F11320" t="inlineStr">
        <is>
          <t>Övriga Aktiebolag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42667-2023</t>
        </is>
      </c>
      <c r="B11321" s="1" t="n">
        <v>45176</v>
      </c>
      <c r="C11321" s="1" t="n">
        <v>45736</v>
      </c>
      <c r="D11321" t="inlineStr">
        <is>
          <t>VÄRMLANDS LÄN</t>
        </is>
      </c>
      <c r="E11321" t="inlineStr">
        <is>
          <t>ÅRJÄNG</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41943-2023</t>
        </is>
      </c>
      <c r="B11322" s="1" t="n">
        <v>45177</v>
      </c>
      <c r="C11322" s="1" t="n">
        <v>45736</v>
      </c>
      <c r="D11322" t="inlineStr">
        <is>
          <t>VÄRMLANDS LÄN</t>
        </is>
      </c>
      <c r="E11322" t="inlineStr">
        <is>
          <t>ARVIKA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41967-2023</t>
        </is>
      </c>
      <c r="B11323" s="1" t="n">
        <v>45177</v>
      </c>
      <c r="C11323" s="1" t="n">
        <v>45736</v>
      </c>
      <c r="D11323" t="inlineStr">
        <is>
          <t>VÄRMLANDS LÄN</t>
        </is>
      </c>
      <c r="E11323" t="inlineStr">
        <is>
          <t>SUNNE</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41986-2023</t>
        </is>
      </c>
      <c r="B11324" s="1" t="n">
        <v>45177</v>
      </c>
      <c r="C11324" s="1" t="n">
        <v>45736</v>
      </c>
      <c r="D11324" t="inlineStr">
        <is>
          <t>VÄRMLANDS LÄN</t>
        </is>
      </c>
      <c r="E11324" t="inlineStr">
        <is>
          <t>ARVIKA</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41985-2023</t>
        </is>
      </c>
      <c r="B11325" s="1" t="n">
        <v>45177</v>
      </c>
      <c r="C11325" s="1" t="n">
        <v>45736</v>
      </c>
      <c r="D11325" t="inlineStr">
        <is>
          <t>VÄRMLANDS LÄN</t>
        </is>
      </c>
      <c r="E11325" t="inlineStr">
        <is>
          <t>ARVIKA</t>
        </is>
      </c>
      <c r="F11325" t="inlineStr">
        <is>
          <t>Kyrkan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41997-2023</t>
        </is>
      </c>
      <c r="B11326" s="1" t="n">
        <v>45177</v>
      </c>
      <c r="C11326" s="1" t="n">
        <v>45736</v>
      </c>
      <c r="D11326" t="inlineStr">
        <is>
          <t>VÄRMLANDS LÄN</t>
        </is>
      </c>
      <c r="E11326" t="inlineStr">
        <is>
          <t>SUNNE</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42017-2023</t>
        </is>
      </c>
      <c r="B11327" s="1" t="n">
        <v>45177</v>
      </c>
      <c r="C11327" s="1" t="n">
        <v>45736</v>
      </c>
      <c r="D11327" t="inlineStr">
        <is>
          <t>VÄRMLANDS LÄN</t>
        </is>
      </c>
      <c r="E11327" t="inlineStr">
        <is>
          <t>GRUMS</t>
        </is>
      </c>
      <c r="F11327" t="inlineStr">
        <is>
          <t>Bergvik skog väst AB</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42013-2023</t>
        </is>
      </c>
      <c r="B11328" s="1" t="n">
        <v>45177</v>
      </c>
      <c r="C11328" s="1" t="n">
        <v>45736</v>
      </c>
      <c r="D11328" t="inlineStr">
        <is>
          <t>VÄRMLANDS LÄN</t>
        </is>
      </c>
      <c r="E11328" t="inlineStr">
        <is>
          <t>ARVIKA</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42023-2023</t>
        </is>
      </c>
      <c r="B11329" s="1" t="n">
        <v>45177</v>
      </c>
      <c r="C11329" s="1" t="n">
        <v>45736</v>
      </c>
      <c r="D11329" t="inlineStr">
        <is>
          <t>VÄRMLANDS LÄN</t>
        </is>
      </c>
      <c r="E11329" t="inlineStr">
        <is>
          <t>ARVIKA</t>
        </is>
      </c>
      <c r="G11329" t="n">
        <v>1.2</v>
      </c>
      <c r="H11329" t="n">
        <v>0</v>
      </c>
      <c r="I11329" t="n">
        <v>0</v>
      </c>
      <c r="J11329" t="n">
        <v>0</v>
      </c>
      <c r="K11329" t="n">
        <v>0</v>
      </c>
      <c r="L11329" t="n">
        <v>0</v>
      </c>
      <c r="M11329" t="n">
        <v>0</v>
      </c>
      <c r="N11329" t="n">
        <v>0</v>
      </c>
      <c r="O11329" t="n">
        <v>0</v>
      </c>
      <c r="P11329" t="n">
        <v>0</v>
      </c>
      <c r="Q11329" t="n">
        <v>0</v>
      </c>
      <c r="R11329" s="2" t="inlineStr"/>
      <c r="U11329">
        <f>HYPERLINK("https://klasma.github.io/Logging_1784/knärot/A 42023-2023 karta knärot.png", "A 42023-2023")</f>
        <v/>
      </c>
      <c r="V11329">
        <f>HYPERLINK("https://klasma.github.io/Logging_1784/klagomål/A 42023-2023 FSC-klagomål.docx", "A 42023-2023")</f>
        <v/>
      </c>
      <c r="W11329">
        <f>HYPERLINK("https://klasma.github.io/Logging_1784/klagomålsmail/A 42023-2023 FSC-klagomål mail.docx", "A 42023-2023")</f>
        <v/>
      </c>
      <c r="X11329">
        <f>HYPERLINK("https://klasma.github.io/Logging_1784/tillsyn/A 42023-2023 tillsynsbegäran.docx", "A 42023-2023")</f>
        <v/>
      </c>
      <c r="Y11329">
        <f>HYPERLINK("https://klasma.github.io/Logging_1784/tillsynsmail/A 42023-2023 tillsynsbegäran mail.docx", "A 42023-2023")</f>
        <v/>
      </c>
    </row>
    <row r="11330" ht="15" customHeight="1">
      <c r="A11330" t="inlineStr">
        <is>
          <t>A 41941-2023</t>
        </is>
      </c>
      <c r="B11330" s="1" t="n">
        <v>45177</v>
      </c>
      <c r="C11330" s="1" t="n">
        <v>45736</v>
      </c>
      <c r="D11330" t="inlineStr">
        <is>
          <t>VÄRMLANDS LÄN</t>
        </is>
      </c>
      <c r="E11330" t="inlineStr">
        <is>
          <t>ARVIKA</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41954-2023</t>
        </is>
      </c>
      <c r="B11331" s="1" t="n">
        <v>45177</v>
      </c>
      <c r="C11331" s="1" t="n">
        <v>45736</v>
      </c>
      <c r="D11331" t="inlineStr">
        <is>
          <t>VÄRMLANDS LÄN</t>
        </is>
      </c>
      <c r="E11331" t="inlineStr">
        <is>
          <t>SUNNE</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41960-2023</t>
        </is>
      </c>
      <c r="B11332" s="1" t="n">
        <v>45177</v>
      </c>
      <c r="C11332" s="1" t="n">
        <v>45736</v>
      </c>
      <c r="D11332" t="inlineStr">
        <is>
          <t>VÄRMLANDS LÄN</t>
        </is>
      </c>
      <c r="E11332" t="inlineStr">
        <is>
          <t>KARLSTAD</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41983-2023</t>
        </is>
      </c>
      <c r="B11333" s="1" t="n">
        <v>45177</v>
      </c>
      <c r="C11333" s="1" t="n">
        <v>45736</v>
      </c>
      <c r="D11333" t="inlineStr">
        <is>
          <t>VÄRMLANDS LÄN</t>
        </is>
      </c>
      <c r="E11333" t="inlineStr">
        <is>
          <t>FILIPSTAD</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41996-2023</t>
        </is>
      </c>
      <c r="B11334" s="1" t="n">
        <v>45177</v>
      </c>
      <c r="C11334" s="1" t="n">
        <v>45736</v>
      </c>
      <c r="D11334" t="inlineStr">
        <is>
          <t>VÄRMLANDS LÄN</t>
        </is>
      </c>
      <c r="E11334" t="inlineStr">
        <is>
          <t>SUNNE</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41944-2023</t>
        </is>
      </c>
      <c r="B11335" s="1" t="n">
        <v>45177</v>
      </c>
      <c r="C11335" s="1" t="n">
        <v>45736</v>
      </c>
      <c r="D11335" t="inlineStr">
        <is>
          <t>VÄRMLANDS LÄN</t>
        </is>
      </c>
      <c r="E11335" t="inlineStr">
        <is>
          <t>ARVIKA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41963-2023</t>
        </is>
      </c>
      <c r="B11336" s="1" t="n">
        <v>45177</v>
      </c>
      <c r="C11336" s="1" t="n">
        <v>45736</v>
      </c>
      <c r="D11336" t="inlineStr">
        <is>
          <t>VÄRMLANDS LÄN</t>
        </is>
      </c>
      <c r="E11336" t="inlineStr">
        <is>
          <t>KARLSTAD</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41987-2023</t>
        </is>
      </c>
      <c r="B11337" s="1" t="n">
        <v>45177</v>
      </c>
      <c r="C11337" s="1" t="n">
        <v>45736</v>
      </c>
      <c r="D11337" t="inlineStr">
        <is>
          <t>VÄRMLANDS LÄN</t>
        </is>
      </c>
      <c r="E11337" t="inlineStr">
        <is>
          <t>KIL</t>
        </is>
      </c>
      <c r="F11337" t="inlineStr">
        <is>
          <t>Kyrkan</t>
        </is>
      </c>
      <c r="G11337" t="n">
        <v>8.699999999999999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42062-2023</t>
        </is>
      </c>
      <c r="B11338" s="1" t="n">
        <v>45177</v>
      </c>
      <c r="C11338" s="1" t="n">
        <v>45736</v>
      </c>
      <c r="D11338" t="inlineStr">
        <is>
          <t>VÄRMLANDS LÄN</t>
        </is>
      </c>
      <c r="E11338" t="inlineStr">
        <is>
          <t>TORSBY</t>
        </is>
      </c>
      <c r="G11338" t="n">
        <v>10.7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42079-2023</t>
        </is>
      </c>
      <c r="B11339" s="1" t="n">
        <v>45177</v>
      </c>
      <c r="C11339" s="1" t="n">
        <v>45736</v>
      </c>
      <c r="D11339" t="inlineStr">
        <is>
          <t>VÄRMLANDS LÄN</t>
        </is>
      </c>
      <c r="E11339" t="inlineStr">
        <is>
          <t>SUNNE</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42096-2023</t>
        </is>
      </c>
      <c r="B11340" s="1" t="n">
        <v>45177</v>
      </c>
      <c r="C11340" s="1" t="n">
        <v>45736</v>
      </c>
      <c r="D11340" t="inlineStr">
        <is>
          <t>VÄRMLANDS LÄN</t>
        </is>
      </c>
      <c r="E11340" t="inlineStr">
        <is>
          <t>KIL</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42068-2023</t>
        </is>
      </c>
      <c r="B11341" s="1" t="n">
        <v>45177</v>
      </c>
      <c r="C11341" s="1" t="n">
        <v>45736</v>
      </c>
      <c r="D11341" t="inlineStr">
        <is>
          <t>VÄRMLANDS LÄN</t>
        </is>
      </c>
      <c r="E11341" t="inlineStr">
        <is>
          <t>ARVIKA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42110-2023</t>
        </is>
      </c>
      <c r="B11342" s="1" t="n">
        <v>45177</v>
      </c>
      <c r="C11342" s="1" t="n">
        <v>45736</v>
      </c>
      <c r="D11342" t="inlineStr">
        <is>
          <t>VÄRMLANDS LÄN</t>
        </is>
      </c>
      <c r="E11342" t="inlineStr">
        <is>
          <t>FORSHAGA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42165-2023</t>
        </is>
      </c>
      <c r="B11343" s="1" t="n">
        <v>45178</v>
      </c>
      <c r="C11343" s="1" t="n">
        <v>45736</v>
      </c>
      <c r="D11343" t="inlineStr">
        <is>
          <t>VÄRMLANDS LÄN</t>
        </is>
      </c>
      <c r="E11343" t="inlineStr">
        <is>
          <t>EDA</t>
        </is>
      </c>
      <c r="G11343" t="n">
        <v>15.6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42245-2023</t>
        </is>
      </c>
      <c r="B11344" s="1" t="n">
        <v>45180</v>
      </c>
      <c r="C11344" s="1" t="n">
        <v>45736</v>
      </c>
      <c r="D11344" t="inlineStr">
        <is>
          <t>VÄRMLANDS LÄN</t>
        </is>
      </c>
      <c r="E11344" t="inlineStr">
        <is>
          <t>TORSBY</t>
        </is>
      </c>
      <c r="F11344" t="inlineStr">
        <is>
          <t>Bergvik skog väst AB</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42351-2023</t>
        </is>
      </c>
      <c r="B11345" s="1" t="n">
        <v>45180</v>
      </c>
      <c r="C11345" s="1" t="n">
        <v>45736</v>
      </c>
      <c r="D11345" t="inlineStr">
        <is>
          <t>VÄRMLANDS LÄN</t>
        </is>
      </c>
      <c r="E11345" t="inlineStr">
        <is>
          <t>SUNNE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42377-2023</t>
        </is>
      </c>
      <c r="B11346" s="1" t="n">
        <v>45180</v>
      </c>
      <c r="C11346" s="1" t="n">
        <v>45736</v>
      </c>
      <c r="D11346" t="inlineStr">
        <is>
          <t>VÄRMLANDS LÄN</t>
        </is>
      </c>
      <c r="E11346" t="inlineStr">
        <is>
          <t>SUNNE</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42453-2023</t>
        </is>
      </c>
      <c r="B11347" s="1" t="n">
        <v>45180</v>
      </c>
      <c r="C11347" s="1" t="n">
        <v>45736</v>
      </c>
      <c r="D11347" t="inlineStr">
        <is>
          <t>VÄRMLANDS LÄN</t>
        </is>
      </c>
      <c r="E11347" t="inlineStr">
        <is>
          <t>SUNNE</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42473-2023</t>
        </is>
      </c>
      <c r="B11348" s="1" t="n">
        <v>45180</v>
      </c>
      <c r="C11348" s="1" t="n">
        <v>45736</v>
      </c>
      <c r="D11348" t="inlineStr">
        <is>
          <t>VÄRMLANDS LÄN</t>
        </is>
      </c>
      <c r="E11348" t="inlineStr">
        <is>
          <t>TORSBY</t>
        </is>
      </c>
      <c r="F11348" t="inlineStr">
        <is>
          <t>Bergvik skog väst AB</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42321-2023</t>
        </is>
      </c>
      <c r="B11349" s="1" t="n">
        <v>45180</v>
      </c>
      <c r="C11349" s="1" t="n">
        <v>45736</v>
      </c>
      <c r="D11349" t="inlineStr">
        <is>
          <t>VÄRMLANDS LÄN</t>
        </is>
      </c>
      <c r="E11349" t="inlineStr">
        <is>
          <t>ARVIKA</t>
        </is>
      </c>
      <c r="F11349" t="inlineStr">
        <is>
          <t>Bergvik skog väst AB</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42350-2023</t>
        </is>
      </c>
      <c r="B11350" s="1" t="n">
        <v>45180</v>
      </c>
      <c r="C11350" s="1" t="n">
        <v>45736</v>
      </c>
      <c r="D11350" t="inlineStr">
        <is>
          <t>VÄRMLANDS LÄN</t>
        </is>
      </c>
      <c r="E11350" t="inlineStr">
        <is>
          <t>STORFORS</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42319-2023</t>
        </is>
      </c>
      <c r="B11351" s="1" t="n">
        <v>45180</v>
      </c>
      <c r="C11351" s="1" t="n">
        <v>45736</v>
      </c>
      <c r="D11351" t="inlineStr">
        <is>
          <t>VÄRMLANDS LÄN</t>
        </is>
      </c>
      <c r="E11351" t="inlineStr">
        <is>
          <t>SÄFFLE</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42339-2023</t>
        </is>
      </c>
      <c r="B11352" s="1" t="n">
        <v>45180</v>
      </c>
      <c r="C11352" s="1" t="n">
        <v>45736</v>
      </c>
      <c r="D11352" t="inlineStr">
        <is>
          <t>VÄRMLANDS LÄN</t>
        </is>
      </c>
      <c r="E11352" t="inlineStr">
        <is>
          <t>HAMMARÖ</t>
        </is>
      </c>
      <c r="F11352" t="inlineStr">
        <is>
          <t>Övriga Aktiebolag</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42403-2023</t>
        </is>
      </c>
      <c r="B11353" s="1" t="n">
        <v>45180</v>
      </c>
      <c r="C11353" s="1" t="n">
        <v>45736</v>
      </c>
      <c r="D11353" t="inlineStr">
        <is>
          <t>VÄRMLANDS LÄN</t>
        </is>
      </c>
      <c r="E11353" t="inlineStr">
        <is>
          <t>TORSBY</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42423-2023</t>
        </is>
      </c>
      <c r="B11354" s="1" t="n">
        <v>45180</v>
      </c>
      <c r="C11354" s="1" t="n">
        <v>45736</v>
      </c>
      <c r="D11354" t="inlineStr">
        <is>
          <t>VÄRMLANDS LÄN</t>
        </is>
      </c>
      <c r="E11354" t="inlineStr">
        <is>
          <t>SÄFFLE</t>
        </is>
      </c>
      <c r="F11354" t="inlineStr">
        <is>
          <t>Kyrkan</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42441-2023</t>
        </is>
      </c>
      <c r="B11355" s="1" t="n">
        <v>45180</v>
      </c>
      <c r="C11355" s="1" t="n">
        <v>45736</v>
      </c>
      <c r="D11355" t="inlineStr">
        <is>
          <t>VÄRMLANDS LÄN</t>
        </is>
      </c>
      <c r="E11355" t="inlineStr">
        <is>
          <t>ARVIKA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42474-2023</t>
        </is>
      </c>
      <c r="B11356" s="1" t="n">
        <v>45180</v>
      </c>
      <c r="C11356" s="1" t="n">
        <v>45736</v>
      </c>
      <c r="D11356" t="inlineStr">
        <is>
          <t>VÄRMLANDS LÄN</t>
        </is>
      </c>
      <c r="E11356" t="inlineStr">
        <is>
          <t>SUNNE</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42477-2023</t>
        </is>
      </c>
      <c r="B11357" s="1" t="n">
        <v>45180</v>
      </c>
      <c r="C11357" s="1" t="n">
        <v>45736</v>
      </c>
      <c r="D11357" t="inlineStr">
        <is>
          <t>VÄRMLANDS LÄN</t>
        </is>
      </c>
      <c r="E11357" t="inlineStr">
        <is>
          <t>SUNNE</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43239-2023</t>
        </is>
      </c>
      <c r="B11358" s="1" t="n">
        <v>45180</v>
      </c>
      <c r="C11358" s="1" t="n">
        <v>45736</v>
      </c>
      <c r="D11358" t="inlineStr">
        <is>
          <t>VÄRMLANDS LÄN</t>
        </is>
      </c>
      <c r="E11358" t="inlineStr">
        <is>
          <t>FILIPSTAD</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42299-2023</t>
        </is>
      </c>
      <c r="B11359" s="1" t="n">
        <v>45180</v>
      </c>
      <c r="C11359" s="1" t="n">
        <v>45736</v>
      </c>
      <c r="D11359" t="inlineStr">
        <is>
          <t>VÄRMLANDS LÄN</t>
        </is>
      </c>
      <c r="E11359" t="inlineStr">
        <is>
          <t>ARVIKA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42344-2023</t>
        </is>
      </c>
      <c r="B11360" s="1" t="n">
        <v>45180</v>
      </c>
      <c r="C11360" s="1" t="n">
        <v>45736</v>
      </c>
      <c r="D11360" t="inlineStr">
        <is>
          <t>VÄRMLANDS LÄN</t>
        </is>
      </c>
      <c r="E11360" t="inlineStr">
        <is>
          <t>HAMMARÖ</t>
        </is>
      </c>
      <c r="F11360" t="inlineStr">
        <is>
          <t>Övriga Aktiebolag</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42420-2023</t>
        </is>
      </c>
      <c r="B11361" s="1" t="n">
        <v>45180</v>
      </c>
      <c r="C11361" s="1" t="n">
        <v>45736</v>
      </c>
      <c r="D11361" t="inlineStr">
        <is>
          <t>VÄRMLANDS LÄN</t>
        </is>
      </c>
      <c r="E11361" t="inlineStr">
        <is>
          <t>TORSBY</t>
        </is>
      </c>
      <c r="F11361" t="inlineStr">
        <is>
          <t>Bergvik skog väst AB</t>
        </is>
      </c>
      <c r="G11361" t="n">
        <v>19.9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42442-2023</t>
        </is>
      </c>
      <c r="B11362" s="1" t="n">
        <v>45180</v>
      </c>
      <c r="C11362" s="1" t="n">
        <v>45736</v>
      </c>
      <c r="D11362" t="inlineStr">
        <is>
          <t>VÄRMLANDS LÄN</t>
        </is>
      </c>
      <c r="E11362" t="inlineStr">
        <is>
          <t>SUNNE</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42447-2023</t>
        </is>
      </c>
      <c r="B11363" s="1" t="n">
        <v>45180</v>
      </c>
      <c r="C11363" s="1" t="n">
        <v>45736</v>
      </c>
      <c r="D11363" t="inlineStr">
        <is>
          <t>VÄRMLANDS LÄN</t>
        </is>
      </c>
      <c r="E11363" t="inlineStr">
        <is>
          <t>SUNNE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43233-2023</t>
        </is>
      </c>
      <c r="B11364" s="1" t="n">
        <v>45180</v>
      </c>
      <c r="C11364" s="1" t="n">
        <v>45736</v>
      </c>
      <c r="D11364" t="inlineStr">
        <is>
          <t>VÄRMLANDS LÄN</t>
        </is>
      </c>
      <c r="E11364" t="inlineStr">
        <is>
          <t>FILIPSTAD</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42471-2023</t>
        </is>
      </c>
      <c r="B11365" s="1" t="n">
        <v>45180</v>
      </c>
      <c r="C11365" s="1" t="n">
        <v>45736</v>
      </c>
      <c r="D11365" t="inlineStr">
        <is>
          <t>VÄRMLANDS LÄN</t>
        </is>
      </c>
      <c r="E11365" t="inlineStr">
        <is>
          <t>SUNNE</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42480-2023</t>
        </is>
      </c>
      <c r="B11366" s="1" t="n">
        <v>45180</v>
      </c>
      <c r="C11366" s="1" t="n">
        <v>45736</v>
      </c>
      <c r="D11366" t="inlineStr">
        <is>
          <t>VÄRMLANDS LÄN</t>
        </is>
      </c>
      <c r="E11366" t="inlineStr">
        <is>
          <t>SUNNE</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43208-2023</t>
        </is>
      </c>
      <c r="B11367" s="1" t="n">
        <v>45180</v>
      </c>
      <c r="C11367" s="1" t="n">
        <v>45736</v>
      </c>
      <c r="D11367" t="inlineStr">
        <is>
          <t>VÄRMLANDS LÄN</t>
        </is>
      </c>
      <c r="E11367" t="inlineStr">
        <is>
          <t>EDA</t>
        </is>
      </c>
      <c r="G11367" t="n">
        <v>21.2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43532-2023</t>
        </is>
      </c>
      <c r="B11368" s="1" t="n">
        <v>45181</v>
      </c>
      <c r="C11368" s="1" t="n">
        <v>45736</v>
      </c>
      <c r="D11368" t="inlineStr">
        <is>
          <t>VÄRMLANDS LÄN</t>
        </is>
      </c>
      <c r="E11368" t="inlineStr">
        <is>
          <t>TORSBY</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43529-2023</t>
        </is>
      </c>
      <c r="B11369" s="1" t="n">
        <v>45181</v>
      </c>
      <c r="C11369" s="1" t="n">
        <v>45736</v>
      </c>
      <c r="D11369" t="inlineStr">
        <is>
          <t>VÄRMLANDS LÄN</t>
        </is>
      </c>
      <c r="E11369" t="inlineStr">
        <is>
          <t>TORSBY</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43527-2023</t>
        </is>
      </c>
      <c r="B11370" s="1" t="n">
        <v>45181</v>
      </c>
      <c r="C11370" s="1" t="n">
        <v>45736</v>
      </c>
      <c r="D11370" t="inlineStr">
        <is>
          <t>VÄRMLANDS LÄN</t>
        </is>
      </c>
      <c r="E11370" t="inlineStr">
        <is>
          <t>TORSBY</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43536-2023</t>
        </is>
      </c>
      <c r="B11371" s="1" t="n">
        <v>45181</v>
      </c>
      <c r="C11371" s="1" t="n">
        <v>45736</v>
      </c>
      <c r="D11371" t="inlineStr">
        <is>
          <t>VÄRMLANDS LÄN</t>
        </is>
      </c>
      <c r="E11371" t="inlineStr">
        <is>
          <t>TORSBY</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43528-2023</t>
        </is>
      </c>
      <c r="B11372" s="1" t="n">
        <v>45181</v>
      </c>
      <c r="C11372" s="1" t="n">
        <v>45736</v>
      </c>
      <c r="D11372" t="inlineStr">
        <is>
          <t>VÄRMLANDS LÄN</t>
        </is>
      </c>
      <c r="E11372" t="inlineStr">
        <is>
          <t>TORSBY</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42526-2023</t>
        </is>
      </c>
      <c r="B11373" s="1" t="n">
        <v>45181</v>
      </c>
      <c r="C11373" s="1" t="n">
        <v>45736</v>
      </c>
      <c r="D11373" t="inlineStr">
        <is>
          <t>VÄRMLANDS LÄN</t>
        </is>
      </c>
      <c r="E11373" t="inlineStr">
        <is>
          <t>SUNNE</t>
        </is>
      </c>
      <c r="F11373" t="inlineStr">
        <is>
          <t>Bergvik skog väst AB</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42540-2023</t>
        </is>
      </c>
      <c r="B11374" s="1" t="n">
        <v>45181</v>
      </c>
      <c r="C11374" s="1" t="n">
        <v>45736</v>
      </c>
      <c r="D11374" t="inlineStr">
        <is>
          <t>VÄRMLANDS LÄN</t>
        </is>
      </c>
      <c r="E11374" t="inlineStr">
        <is>
          <t>SUNNE</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42560-2023</t>
        </is>
      </c>
      <c r="B11375" s="1" t="n">
        <v>45181</v>
      </c>
      <c r="C11375" s="1" t="n">
        <v>45736</v>
      </c>
      <c r="D11375" t="inlineStr">
        <is>
          <t>VÄRMLANDS LÄN</t>
        </is>
      </c>
      <c r="E11375" t="inlineStr">
        <is>
          <t>ARVIKA</t>
        </is>
      </c>
      <c r="F11375" t="inlineStr">
        <is>
          <t>Bergvik skog väst AB</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42539-2023</t>
        </is>
      </c>
      <c r="B11376" s="1" t="n">
        <v>45181</v>
      </c>
      <c r="C11376" s="1" t="n">
        <v>45736</v>
      </c>
      <c r="D11376" t="inlineStr">
        <is>
          <t>VÄRMLANDS LÄN</t>
        </is>
      </c>
      <c r="E11376" t="inlineStr">
        <is>
          <t>EDA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42594-2023</t>
        </is>
      </c>
      <c r="B11377" s="1" t="n">
        <v>45181</v>
      </c>
      <c r="C11377" s="1" t="n">
        <v>45736</v>
      </c>
      <c r="D11377" t="inlineStr">
        <is>
          <t>VÄRMLANDS LÄN</t>
        </is>
      </c>
      <c r="E11377" t="inlineStr">
        <is>
          <t>KRISTINEHAMN</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42597-2023</t>
        </is>
      </c>
      <c r="B11378" s="1" t="n">
        <v>45181</v>
      </c>
      <c r="C11378" s="1" t="n">
        <v>45736</v>
      </c>
      <c r="D11378" t="inlineStr">
        <is>
          <t>VÄRMLANDS LÄN</t>
        </is>
      </c>
      <c r="E11378" t="inlineStr">
        <is>
          <t>KRISTINEHAMN</t>
        </is>
      </c>
      <c r="F11378" t="inlineStr">
        <is>
          <t>Sveaskog</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42645-2023</t>
        </is>
      </c>
      <c r="B11379" s="1" t="n">
        <v>45181</v>
      </c>
      <c r="C11379" s="1" t="n">
        <v>45736</v>
      </c>
      <c r="D11379" t="inlineStr">
        <is>
          <t>VÄRMLANDS LÄN</t>
        </is>
      </c>
      <c r="E11379" t="inlineStr">
        <is>
          <t>TORSBY</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42652-2023</t>
        </is>
      </c>
      <c r="B11380" s="1" t="n">
        <v>45181</v>
      </c>
      <c r="C11380" s="1" t="n">
        <v>45736</v>
      </c>
      <c r="D11380" t="inlineStr">
        <is>
          <t>VÄRMLANDS LÄN</t>
        </is>
      </c>
      <c r="E11380" t="inlineStr">
        <is>
          <t>TORSBY</t>
        </is>
      </c>
      <c r="F11380" t="inlineStr">
        <is>
          <t>Bergvik skog väst AB</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42656-2023</t>
        </is>
      </c>
      <c r="B11381" s="1" t="n">
        <v>45181</v>
      </c>
      <c r="C11381" s="1" t="n">
        <v>45736</v>
      </c>
      <c r="D11381" t="inlineStr">
        <is>
          <t>VÄRMLANDS LÄN</t>
        </is>
      </c>
      <c r="E11381" t="inlineStr">
        <is>
          <t>TORSBY</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42523-2023</t>
        </is>
      </c>
      <c r="B11382" s="1" t="n">
        <v>45181</v>
      </c>
      <c r="C11382" s="1" t="n">
        <v>45736</v>
      </c>
      <c r="D11382" t="inlineStr">
        <is>
          <t>VÄRMLANDS LÄN</t>
        </is>
      </c>
      <c r="E11382" t="inlineStr">
        <is>
          <t>SUNNE</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42741-2023</t>
        </is>
      </c>
      <c r="B11383" s="1" t="n">
        <v>45181</v>
      </c>
      <c r="C11383" s="1" t="n">
        <v>45736</v>
      </c>
      <c r="D11383" t="inlineStr">
        <is>
          <t>VÄRMLANDS LÄN</t>
        </is>
      </c>
      <c r="E11383" t="inlineStr">
        <is>
          <t>FORSHAGA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42581-2023</t>
        </is>
      </c>
      <c r="B11384" s="1" t="n">
        <v>45181</v>
      </c>
      <c r="C11384" s="1" t="n">
        <v>45736</v>
      </c>
      <c r="D11384" t="inlineStr">
        <is>
          <t>VÄRMLANDS LÄN</t>
        </is>
      </c>
      <c r="E11384" t="inlineStr">
        <is>
          <t>TORSBY</t>
        </is>
      </c>
      <c r="G11384" t="n">
        <v>17.6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42593-2023</t>
        </is>
      </c>
      <c r="B11385" s="1" t="n">
        <v>45181</v>
      </c>
      <c r="C11385" s="1" t="n">
        <v>45736</v>
      </c>
      <c r="D11385" t="inlineStr">
        <is>
          <t>VÄRMLANDS LÄN</t>
        </is>
      </c>
      <c r="E11385" t="inlineStr">
        <is>
          <t>KRISTINEHAMN</t>
        </is>
      </c>
      <c r="F11385" t="inlineStr">
        <is>
          <t>Sveaskog</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42613-2023</t>
        </is>
      </c>
      <c r="B11386" s="1" t="n">
        <v>45181</v>
      </c>
      <c r="C11386" s="1" t="n">
        <v>45736</v>
      </c>
      <c r="D11386" t="inlineStr">
        <is>
          <t>VÄRMLANDS LÄN</t>
        </is>
      </c>
      <c r="E11386" t="inlineStr">
        <is>
          <t>TORSBY</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42635-2023</t>
        </is>
      </c>
      <c r="B11387" s="1" t="n">
        <v>45181</v>
      </c>
      <c r="C11387" s="1" t="n">
        <v>45736</v>
      </c>
      <c r="D11387" t="inlineStr">
        <is>
          <t>VÄRMLANDS LÄN</t>
        </is>
      </c>
      <c r="E11387" t="inlineStr">
        <is>
          <t>TORSBY</t>
        </is>
      </c>
      <c r="G11387" t="n">
        <v>16.1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42658-2023</t>
        </is>
      </c>
      <c r="B11388" s="1" t="n">
        <v>45181</v>
      </c>
      <c r="C11388" s="1" t="n">
        <v>45736</v>
      </c>
      <c r="D11388" t="inlineStr">
        <is>
          <t>VÄRMLANDS LÄN</t>
        </is>
      </c>
      <c r="E11388" t="inlineStr">
        <is>
          <t>TORSBY</t>
        </is>
      </c>
      <c r="F11388" t="inlineStr">
        <is>
          <t>Bergvik skog väst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42710-2023</t>
        </is>
      </c>
      <c r="B11389" s="1" t="n">
        <v>45181</v>
      </c>
      <c r="C11389" s="1" t="n">
        <v>45736</v>
      </c>
      <c r="D11389" t="inlineStr">
        <is>
          <t>VÄRMLANDS LÄN</t>
        </is>
      </c>
      <c r="E11389" t="inlineStr">
        <is>
          <t>TORSBY</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42632-2023</t>
        </is>
      </c>
      <c r="B11390" s="1" t="n">
        <v>45181</v>
      </c>
      <c r="C11390" s="1" t="n">
        <v>45736</v>
      </c>
      <c r="D11390" t="inlineStr">
        <is>
          <t>VÄRMLANDS LÄN</t>
        </is>
      </c>
      <c r="E11390" t="inlineStr">
        <is>
          <t>TORSBY</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42637-2023</t>
        </is>
      </c>
      <c r="B11391" s="1" t="n">
        <v>45181</v>
      </c>
      <c r="C11391" s="1" t="n">
        <v>45736</v>
      </c>
      <c r="D11391" t="inlineStr">
        <is>
          <t>VÄRMLANDS LÄN</t>
        </is>
      </c>
      <c r="E11391" t="inlineStr">
        <is>
          <t>MUNKFORS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42735-2023</t>
        </is>
      </c>
      <c r="B11392" s="1" t="n">
        <v>45181</v>
      </c>
      <c r="C11392" s="1" t="n">
        <v>45736</v>
      </c>
      <c r="D11392" t="inlineStr">
        <is>
          <t>VÄRMLANDS LÄN</t>
        </is>
      </c>
      <c r="E11392" t="inlineStr">
        <is>
          <t>HAGFORS</t>
        </is>
      </c>
      <c r="F11392" t="inlineStr">
        <is>
          <t>Bergvik skog väst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42879-2023</t>
        </is>
      </c>
      <c r="B11393" s="1" t="n">
        <v>45182</v>
      </c>
      <c r="C11393" s="1" t="n">
        <v>45736</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42892-2023</t>
        </is>
      </c>
      <c r="B11394" s="1" t="n">
        <v>45182</v>
      </c>
      <c r="C11394" s="1" t="n">
        <v>45736</v>
      </c>
      <c r="D11394" t="inlineStr">
        <is>
          <t>VÄRMLANDS LÄN</t>
        </is>
      </c>
      <c r="E11394" t="inlineStr">
        <is>
          <t>ARVIKA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42913-2023</t>
        </is>
      </c>
      <c r="B11395" s="1" t="n">
        <v>45182</v>
      </c>
      <c r="C11395" s="1" t="n">
        <v>45736</v>
      </c>
      <c r="D11395" t="inlineStr">
        <is>
          <t>VÄRMLANDS LÄN</t>
        </is>
      </c>
      <c r="E11395" t="inlineStr">
        <is>
          <t>HAGFORS</t>
        </is>
      </c>
      <c r="F11395" t="inlineStr">
        <is>
          <t>Bergvik skog väst AB</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42957-2023</t>
        </is>
      </c>
      <c r="B11396" s="1" t="n">
        <v>45182</v>
      </c>
      <c r="C11396" s="1" t="n">
        <v>45736</v>
      </c>
      <c r="D11396" t="inlineStr">
        <is>
          <t>VÄRMLANDS LÄN</t>
        </is>
      </c>
      <c r="E11396" t="inlineStr">
        <is>
          <t>HAMMARÖ</t>
        </is>
      </c>
      <c r="F11396" t="inlineStr">
        <is>
          <t>Övriga Aktiebolag</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42997-2023</t>
        </is>
      </c>
      <c r="B11397" s="1" t="n">
        <v>45182</v>
      </c>
      <c r="C11397" s="1" t="n">
        <v>45736</v>
      </c>
      <c r="D11397" t="inlineStr">
        <is>
          <t>VÄRMLANDS LÄN</t>
        </is>
      </c>
      <c r="E11397" t="inlineStr">
        <is>
          <t>ARVIKA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43002-2023</t>
        </is>
      </c>
      <c r="B11398" s="1" t="n">
        <v>45182</v>
      </c>
      <c r="C11398" s="1" t="n">
        <v>45736</v>
      </c>
      <c r="D11398" t="inlineStr">
        <is>
          <t>VÄRMLANDS LÄN</t>
        </is>
      </c>
      <c r="E11398" t="inlineStr">
        <is>
          <t>ARVIKA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42867-2023</t>
        </is>
      </c>
      <c r="B11399" s="1" t="n">
        <v>45182</v>
      </c>
      <c r="C11399" s="1" t="n">
        <v>45736</v>
      </c>
      <c r="D11399" t="inlineStr">
        <is>
          <t>VÄRMLANDS LÄN</t>
        </is>
      </c>
      <c r="E11399" t="inlineStr">
        <is>
          <t>HAGFORS</t>
        </is>
      </c>
      <c r="F11399" t="inlineStr">
        <is>
          <t>Bergvik skog väst AB</t>
        </is>
      </c>
      <c r="G11399" t="n">
        <v>8.800000000000001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42872-2023</t>
        </is>
      </c>
      <c r="B11400" s="1" t="n">
        <v>45182</v>
      </c>
      <c r="C11400" s="1" t="n">
        <v>45736</v>
      </c>
      <c r="D11400" t="inlineStr">
        <is>
          <t>VÄRMLANDS LÄN</t>
        </is>
      </c>
      <c r="E11400" t="inlineStr">
        <is>
          <t>EDA</t>
        </is>
      </c>
      <c r="G11400" t="n">
        <v>11.2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42944-2023</t>
        </is>
      </c>
      <c r="B11401" s="1" t="n">
        <v>45182</v>
      </c>
      <c r="C11401" s="1" t="n">
        <v>45736</v>
      </c>
      <c r="D11401" t="inlineStr">
        <is>
          <t>VÄRMLANDS LÄN</t>
        </is>
      </c>
      <c r="E11401" t="inlineStr">
        <is>
          <t>TORSBY</t>
        </is>
      </c>
      <c r="F11401" t="inlineStr">
        <is>
          <t>Bergvik skog väst AB</t>
        </is>
      </c>
      <c r="G11401" t="n">
        <v>9.800000000000001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42890-2023</t>
        </is>
      </c>
      <c r="B11402" s="1" t="n">
        <v>45182</v>
      </c>
      <c r="C11402" s="1" t="n">
        <v>45736</v>
      </c>
      <c r="D11402" t="inlineStr">
        <is>
          <t>VÄRMLANDS LÄN</t>
        </is>
      </c>
      <c r="E11402" t="inlineStr">
        <is>
          <t>ARVIKA</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42894-2023</t>
        </is>
      </c>
      <c r="B11403" s="1" t="n">
        <v>45182</v>
      </c>
      <c r="C11403" s="1" t="n">
        <v>45736</v>
      </c>
      <c r="D11403" t="inlineStr">
        <is>
          <t>VÄRMLANDS LÄN</t>
        </is>
      </c>
      <c r="E11403" t="inlineStr">
        <is>
          <t>ARVIKA</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42951-2023</t>
        </is>
      </c>
      <c r="B11404" s="1" t="n">
        <v>45182</v>
      </c>
      <c r="C11404" s="1" t="n">
        <v>45736</v>
      </c>
      <c r="D11404" t="inlineStr">
        <is>
          <t>VÄRMLANDS LÄN</t>
        </is>
      </c>
      <c r="E11404" t="inlineStr">
        <is>
          <t>HAMMARÖ</t>
        </is>
      </c>
      <c r="F11404" t="inlineStr">
        <is>
          <t>Övriga Aktiebolag</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42955-2023</t>
        </is>
      </c>
      <c r="B11405" s="1" t="n">
        <v>45182</v>
      </c>
      <c r="C11405" s="1" t="n">
        <v>45736</v>
      </c>
      <c r="D11405" t="inlineStr">
        <is>
          <t>VÄRMLANDS LÄN</t>
        </is>
      </c>
      <c r="E11405" t="inlineStr">
        <is>
          <t>HAMMARÖ</t>
        </is>
      </c>
      <c r="F11405" t="inlineStr">
        <is>
          <t>Övriga Aktiebolag</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42960-2023</t>
        </is>
      </c>
      <c r="B11406" s="1" t="n">
        <v>45182</v>
      </c>
      <c r="C11406" s="1" t="n">
        <v>45736</v>
      </c>
      <c r="D11406" t="inlineStr">
        <is>
          <t>VÄRMLANDS LÄN</t>
        </is>
      </c>
      <c r="E11406" t="inlineStr">
        <is>
          <t>HAMMARÖ</t>
        </is>
      </c>
      <c r="F11406" t="inlineStr">
        <is>
          <t>Övriga Aktiebolag</t>
        </is>
      </c>
      <c r="G11406" t="n">
        <v>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43067-2023</t>
        </is>
      </c>
      <c r="B11407" s="1" t="n">
        <v>45182</v>
      </c>
      <c r="C11407" s="1" t="n">
        <v>45736</v>
      </c>
      <c r="D11407" t="inlineStr">
        <is>
          <t>VÄRMLANDS LÄN</t>
        </is>
      </c>
      <c r="E11407" t="inlineStr">
        <is>
          <t>SUNNE</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42882-2023</t>
        </is>
      </c>
      <c r="B11408" s="1" t="n">
        <v>45182</v>
      </c>
      <c r="C11408" s="1" t="n">
        <v>45736</v>
      </c>
      <c r="D11408" t="inlineStr">
        <is>
          <t>VÄRMLANDS LÄN</t>
        </is>
      </c>
      <c r="E11408" t="inlineStr">
        <is>
          <t>ARVIKA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42985-2023</t>
        </is>
      </c>
      <c r="B11409" s="1" t="n">
        <v>45182</v>
      </c>
      <c r="C11409" s="1" t="n">
        <v>45736</v>
      </c>
      <c r="D11409" t="inlineStr">
        <is>
          <t>VÄRMLANDS LÄN</t>
        </is>
      </c>
      <c r="E11409" t="inlineStr">
        <is>
          <t>SUNNE</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43040-2023</t>
        </is>
      </c>
      <c r="B11410" s="1" t="n">
        <v>45182</v>
      </c>
      <c r="C11410" s="1" t="n">
        <v>45736</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42807-2023</t>
        </is>
      </c>
      <c r="B11411" s="1" t="n">
        <v>45182</v>
      </c>
      <c r="C11411" s="1" t="n">
        <v>45736</v>
      </c>
      <c r="D11411" t="inlineStr">
        <is>
          <t>VÄRMLANDS LÄN</t>
        </is>
      </c>
      <c r="E11411" t="inlineStr">
        <is>
          <t>ARVIKA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42895-2023</t>
        </is>
      </c>
      <c r="B11412" s="1" t="n">
        <v>45182</v>
      </c>
      <c r="C11412" s="1" t="n">
        <v>45736</v>
      </c>
      <c r="D11412" t="inlineStr">
        <is>
          <t>VÄRMLANDS LÄN</t>
        </is>
      </c>
      <c r="E11412" t="inlineStr">
        <is>
          <t>ARVIKA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43084-2023</t>
        </is>
      </c>
      <c r="B11413" s="1" t="n">
        <v>45182</v>
      </c>
      <c r="C11413" s="1" t="n">
        <v>45736</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43088-2023</t>
        </is>
      </c>
      <c r="B11414" s="1" t="n">
        <v>45182</v>
      </c>
      <c r="C11414" s="1" t="n">
        <v>45736</v>
      </c>
      <c r="D11414" t="inlineStr">
        <is>
          <t>VÄRMLANDS LÄN</t>
        </is>
      </c>
      <c r="E11414" t="inlineStr">
        <is>
          <t>SUNNE</t>
        </is>
      </c>
      <c r="G11414" t="n">
        <v>12.9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43015-2023</t>
        </is>
      </c>
      <c r="B11415" s="1" t="n">
        <v>45182</v>
      </c>
      <c r="C11415" s="1" t="n">
        <v>45736</v>
      </c>
      <c r="D11415" t="inlineStr">
        <is>
          <t>VÄRMLANDS LÄN</t>
        </is>
      </c>
      <c r="E11415" t="inlineStr">
        <is>
          <t>HAGFORS</t>
        </is>
      </c>
      <c r="F11415" t="inlineStr">
        <is>
          <t>Bergvik skog väst AB</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43041-2023</t>
        </is>
      </c>
      <c r="B11416" s="1" t="n">
        <v>45182</v>
      </c>
      <c r="C11416" s="1" t="n">
        <v>45736</v>
      </c>
      <c r="D11416" t="inlineStr">
        <is>
          <t>VÄRMLANDS LÄN</t>
        </is>
      </c>
      <c r="E11416" t="inlineStr">
        <is>
          <t>ÅRJÄNG</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42812-2023</t>
        </is>
      </c>
      <c r="B11417" s="1" t="n">
        <v>45182</v>
      </c>
      <c r="C11417" s="1" t="n">
        <v>45736</v>
      </c>
      <c r="D11417" t="inlineStr">
        <is>
          <t>VÄRMLANDS LÄN</t>
        </is>
      </c>
      <c r="E11417" t="inlineStr">
        <is>
          <t>ARVIKA</t>
        </is>
      </c>
      <c r="F11417" t="inlineStr">
        <is>
          <t>Bergvik skog väst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43749-2023</t>
        </is>
      </c>
      <c r="B11418" s="1" t="n">
        <v>45182</v>
      </c>
      <c r="C11418" s="1" t="n">
        <v>45736</v>
      </c>
      <c r="D11418" t="inlineStr">
        <is>
          <t>VÄRMLANDS LÄN</t>
        </is>
      </c>
      <c r="E11418" t="inlineStr">
        <is>
          <t>ÅRJÄNG</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44083-2023</t>
        </is>
      </c>
      <c r="B11419" s="1" t="n">
        <v>45182</v>
      </c>
      <c r="C11419" s="1" t="n">
        <v>45736</v>
      </c>
      <c r="D11419" t="inlineStr">
        <is>
          <t>VÄRMLANDS LÄN</t>
        </is>
      </c>
      <c r="E11419" t="inlineStr">
        <is>
          <t>TORSBY</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44118-2023</t>
        </is>
      </c>
      <c r="B11420" s="1" t="n">
        <v>45182</v>
      </c>
      <c r="C11420" s="1" t="n">
        <v>45736</v>
      </c>
      <c r="D11420" t="inlineStr">
        <is>
          <t>VÄRMLANDS LÄN</t>
        </is>
      </c>
      <c r="E11420" t="inlineStr">
        <is>
          <t>HAGFORS</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44094-2023</t>
        </is>
      </c>
      <c r="B11421" s="1" t="n">
        <v>45182</v>
      </c>
      <c r="C11421" s="1" t="n">
        <v>45736</v>
      </c>
      <c r="D11421" t="inlineStr">
        <is>
          <t>VÄRMLANDS LÄN</t>
        </is>
      </c>
      <c r="E11421" t="inlineStr">
        <is>
          <t>TORSBY</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44091-2023</t>
        </is>
      </c>
      <c r="B11422" s="1" t="n">
        <v>45182</v>
      </c>
      <c r="C11422" s="1" t="n">
        <v>45736</v>
      </c>
      <c r="D11422" t="inlineStr">
        <is>
          <t>VÄRMLANDS LÄN</t>
        </is>
      </c>
      <c r="E11422" t="inlineStr">
        <is>
          <t>HAGFORS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43179-2023</t>
        </is>
      </c>
      <c r="B11423" s="1" t="n">
        <v>45183</v>
      </c>
      <c r="C11423" s="1" t="n">
        <v>45736</v>
      </c>
      <c r="D11423" t="inlineStr">
        <is>
          <t>VÄRMLANDS LÄN</t>
        </is>
      </c>
      <c r="E11423" t="inlineStr">
        <is>
          <t>TORSBY</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43209-2023</t>
        </is>
      </c>
      <c r="B11424" s="1" t="n">
        <v>45183</v>
      </c>
      <c r="C11424" s="1" t="n">
        <v>45736</v>
      </c>
      <c r="D11424" t="inlineStr">
        <is>
          <t>VÄRMLANDS LÄN</t>
        </is>
      </c>
      <c r="E11424" t="inlineStr">
        <is>
          <t>FILIPSTAD</t>
        </is>
      </c>
      <c r="F11424" t="inlineStr">
        <is>
          <t>Bergvik skog väst AB</t>
        </is>
      </c>
      <c r="G11424" t="n">
        <v>8.9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43244-2023</t>
        </is>
      </c>
      <c r="B11425" s="1" t="n">
        <v>45183</v>
      </c>
      <c r="C11425" s="1" t="n">
        <v>45736</v>
      </c>
      <c r="D11425" t="inlineStr">
        <is>
          <t>VÄRMLANDS LÄN</t>
        </is>
      </c>
      <c r="E11425" t="inlineStr">
        <is>
          <t>ÅRJÄNG</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43307-2023</t>
        </is>
      </c>
      <c r="B11426" s="1" t="n">
        <v>45183</v>
      </c>
      <c r="C11426" s="1" t="n">
        <v>45736</v>
      </c>
      <c r="D11426" t="inlineStr">
        <is>
          <t>VÄRMLANDS LÄN</t>
        </is>
      </c>
      <c r="E11426" t="inlineStr">
        <is>
          <t>SUNNE</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43353-2023</t>
        </is>
      </c>
      <c r="B11427" s="1" t="n">
        <v>45183</v>
      </c>
      <c r="C11427" s="1" t="n">
        <v>45736</v>
      </c>
      <c r="D11427" t="inlineStr">
        <is>
          <t>VÄRMLANDS LÄN</t>
        </is>
      </c>
      <c r="E11427" t="inlineStr">
        <is>
          <t>MUNKFORS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43357-2023</t>
        </is>
      </c>
      <c r="B11428" s="1" t="n">
        <v>45183</v>
      </c>
      <c r="C11428" s="1" t="n">
        <v>45736</v>
      </c>
      <c r="D11428" t="inlineStr">
        <is>
          <t>VÄRMLANDS LÄN</t>
        </is>
      </c>
      <c r="E11428" t="inlineStr">
        <is>
          <t>STORFORS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43181-2023</t>
        </is>
      </c>
      <c r="B11429" s="1" t="n">
        <v>45183</v>
      </c>
      <c r="C11429" s="1" t="n">
        <v>45736</v>
      </c>
      <c r="D11429" t="inlineStr">
        <is>
          <t>VÄRMLANDS LÄN</t>
        </is>
      </c>
      <c r="E11429" t="inlineStr">
        <is>
          <t>GRUMS</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43361-2023</t>
        </is>
      </c>
      <c r="B11430" s="1" t="n">
        <v>45183</v>
      </c>
      <c r="C11430" s="1" t="n">
        <v>45736</v>
      </c>
      <c r="D11430" t="inlineStr">
        <is>
          <t>VÄRMLANDS LÄN</t>
        </is>
      </c>
      <c r="E11430" t="inlineStr">
        <is>
          <t>TORSBY</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43365-2023</t>
        </is>
      </c>
      <c r="B11431" s="1" t="n">
        <v>45183</v>
      </c>
      <c r="C11431" s="1" t="n">
        <v>45736</v>
      </c>
      <c r="D11431" t="inlineStr">
        <is>
          <t>VÄRMLANDS LÄN</t>
        </is>
      </c>
      <c r="E11431" t="inlineStr">
        <is>
          <t>ARVIKA</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43243-2023</t>
        </is>
      </c>
      <c r="B11432" s="1" t="n">
        <v>45183</v>
      </c>
      <c r="C11432" s="1" t="n">
        <v>45736</v>
      </c>
      <c r="D11432" t="inlineStr">
        <is>
          <t>VÄRMLANDS LÄN</t>
        </is>
      </c>
      <c r="E11432" t="inlineStr">
        <is>
          <t>FILIPSTAD</t>
        </is>
      </c>
      <c r="F11432" t="inlineStr">
        <is>
          <t>Bergvik skog väst AB</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43260-2023</t>
        </is>
      </c>
      <c r="B11433" s="1" t="n">
        <v>45183</v>
      </c>
      <c r="C11433" s="1" t="n">
        <v>45736</v>
      </c>
      <c r="D11433" t="inlineStr">
        <is>
          <t>VÄRMLANDS LÄN</t>
        </is>
      </c>
      <c r="E11433" t="inlineStr">
        <is>
          <t>FILIPSTAD</t>
        </is>
      </c>
      <c r="F11433" t="inlineStr">
        <is>
          <t>Bergvik skog väst AB</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43333-2023</t>
        </is>
      </c>
      <c r="B11434" s="1" t="n">
        <v>45183</v>
      </c>
      <c r="C11434" s="1" t="n">
        <v>45736</v>
      </c>
      <c r="D11434" t="inlineStr">
        <is>
          <t>VÄRMLANDS LÄN</t>
        </is>
      </c>
      <c r="E11434" t="inlineStr">
        <is>
          <t>FILIPSTAD</t>
        </is>
      </c>
      <c r="F11434" t="inlineStr">
        <is>
          <t>Bergvik skog väst AB</t>
        </is>
      </c>
      <c r="G11434" t="n">
        <v>19.4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43359-2023</t>
        </is>
      </c>
      <c r="B11435" s="1" t="n">
        <v>45183</v>
      </c>
      <c r="C11435" s="1" t="n">
        <v>45736</v>
      </c>
      <c r="D11435" t="inlineStr">
        <is>
          <t>VÄRMLANDS LÄN</t>
        </is>
      </c>
      <c r="E11435" t="inlineStr">
        <is>
          <t>STORFORS</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43352-2023</t>
        </is>
      </c>
      <c r="B11436" s="1" t="n">
        <v>45183</v>
      </c>
      <c r="C11436" s="1" t="n">
        <v>45736</v>
      </c>
      <c r="D11436" t="inlineStr">
        <is>
          <t>VÄRMLANDS LÄN</t>
        </is>
      </c>
      <c r="E11436" t="inlineStr">
        <is>
          <t>FILIPSTAD</t>
        </is>
      </c>
      <c r="F11436" t="inlineStr">
        <is>
          <t>Bergvik skog väst AB</t>
        </is>
      </c>
      <c r="G11436" t="n">
        <v>20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43364-2023</t>
        </is>
      </c>
      <c r="B11437" s="1" t="n">
        <v>45183</v>
      </c>
      <c r="C11437" s="1" t="n">
        <v>45736</v>
      </c>
      <c r="D11437" t="inlineStr">
        <is>
          <t>VÄRMLANDS LÄN</t>
        </is>
      </c>
      <c r="E11437" t="inlineStr">
        <is>
          <t>ARVIKA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43376-2023</t>
        </is>
      </c>
      <c r="B11438" s="1" t="n">
        <v>45183</v>
      </c>
      <c r="C11438" s="1" t="n">
        <v>45736</v>
      </c>
      <c r="D11438" t="inlineStr">
        <is>
          <t>VÄRMLANDS LÄN</t>
        </is>
      </c>
      <c r="E11438" t="inlineStr">
        <is>
          <t>SUNNE</t>
        </is>
      </c>
      <c r="G11438" t="n">
        <v>10.3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43235-2023</t>
        </is>
      </c>
      <c r="B11439" s="1" t="n">
        <v>45183</v>
      </c>
      <c r="C11439" s="1" t="n">
        <v>45736</v>
      </c>
      <c r="D11439" t="inlineStr">
        <is>
          <t>VÄRMLANDS LÄN</t>
        </is>
      </c>
      <c r="E11439" t="inlineStr">
        <is>
          <t>SÄFFLE</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43253-2023</t>
        </is>
      </c>
      <c r="B11440" s="1" t="n">
        <v>45183</v>
      </c>
      <c r="C11440" s="1" t="n">
        <v>45736</v>
      </c>
      <c r="D11440" t="inlineStr">
        <is>
          <t>VÄRMLANDS LÄN</t>
        </is>
      </c>
      <c r="E11440" t="inlineStr">
        <is>
          <t>ÅRJÄNG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43284-2023</t>
        </is>
      </c>
      <c r="B11441" s="1" t="n">
        <v>45183</v>
      </c>
      <c r="C11441" s="1" t="n">
        <v>45736</v>
      </c>
      <c r="D11441" t="inlineStr">
        <is>
          <t>VÄRMLANDS LÄN</t>
        </is>
      </c>
      <c r="E11441" t="inlineStr">
        <is>
          <t>EDA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43312-2023</t>
        </is>
      </c>
      <c r="B11442" s="1" t="n">
        <v>45183</v>
      </c>
      <c r="C11442" s="1" t="n">
        <v>45736</v>
      </c>
      <c r="D11442" t="inlineStr">
        <is>
          <t>VÄRMLANDS LÄN</t>
        </is>
      </c>
      <c r="E11442" t="inlineStr">
        <is>
          <t>SUNNE</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43320-2023</t>
        </is>
      </c>
      <c r="B11443" s="1" t="n">
        <v>45183</v>
      </c>
      <c r="C11443" s="1" t="n">
        <v>45736</v>
      </c>
      <c r="D11443" t="inlineStr">
        <is>
          <t>VÄRMLANDS LÄN</t>
        </is>
      </c>
      <c r="E11443" t="inlineStr">
        <is>
          <t>ARVIKA</t>
        </is>
      </c>
      <c r="F11443" t="inlineStr">
        <is>
          <t>Bergvik skog väst AB</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43358-2023</t>
        </is>
      </c>
      <c r="B11444" s="1" t="n">
        <v>45183</v>
      </c>
      <c r="C11444" s="1" t="n">
        <v>45736</v>
      </c>
      <c r="D11444" t="inlineStr">
        <is>
          <t>VÄRMLANDS LÄN</t>
        </is>
      </c>
      <c r="E11444" t="inlineStr">
        <is>
          <t>STORFORS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43442-2023</t>
        </is>
      </c>
      <c r="B11445" s="1" t="n">
        <v>45184</v>
      </c>
      <c r="C11445" s="1" t="n">
        <v>45736</v>
      </c>
      <c r="D11445" t="inlineStr">
        <is>
          <t>VÄRMLANDS LÄN</t>
        </is>
      </c>
      <c r="E11445" t="inlineStr">
        <is>
          <t>EDA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43461-2023</t>
        </is>
      </c>
      <c r="B11446" s="1" t="n">
        <v>45184</v>
      </c>
      <c r="C11446" s="1" t="n">
        <v>45736</v>
      </c>
      <c r="D11446" t="inlineStr">
        <is>
          <t>VÄRMLANDS LÄN</t>
        </is>
      </c>
      <c r="E11446" t="inlineStr">
        <is>
          <t>SUNNE</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43486-2023</t>
        </is>
      </c>
      <c r="B11447" s="1" t="n">
        <v>45184</v>
      </c>
      <c r="C11447" s="1" t="n">
        <v>45736</v>
      </c>
      <c r="D11447" t="inlineStr">
        <is>
          <t>VÄRMLANDS LÄN</t>
        </is>
      </c>
      <c r="E11447" t="inlineStr">
        <is>
          <t>SUNNE</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43448-2023</t>
        </is>
      </c>
      <c r="B11448" s="1" t="n">
        <v>45184</v>
      </c>
      <c r="C11448" s="1" t="n">
        <v>45736</v>
      </c>
      <c r="D11448" t="inlineStr">
        <is>
          <t>VÄRMLANDS LÄN</t>
        </is>
      </c>
      <c r="E11448" t="inlineStr">
        <is>
          <t>HAGFORS</t>
        </is>
      </c>
      <c r="F11448" t="inlineStr">
        <is>
          <t>Bergvik skog väst AB</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43484-2023</t>
        </is>
      </c>
      <c r="B11449" s="1" t="n">
        <v>45184</v>
      </c>
      <c r="C11449" s="1" t="n">
        <v>45736</v>
      </c>
      <c r="D11449" t="inlineStr">
        <is>
          <t>VÄRMLANDS LÄN</t>
        </is>
      </c>
      <c r="E11449" t="inlineStr">
        <is>
          <t>FILIPSTAD</t>
        </is>
      </c>
      <c r="F11449" t="inlineStr">
        <is>
          <t>Bergvik skog väst AB</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43519-2023</t>
        </is>
      </c>
      <c r="B11450" s="1" t="n">
        <v>45184</v>
      </c>
      <c r="C11450" s="1" t="n">
        <v>45736</v>
      </c>
      <c r="D11450" t="inlineStr">
        <is>
          <t>VÄRMLANDS LÄN</t>
        </is>
      </c>
      <c r="E11450" t="inlineStr">
        <is>
          <t>EDA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43524-2023</t>
        </is>
      </c>
      <c r="B11451" s="1" t="n">
        <v>45184</v>
      </c>
      <c r="C11451" s="1" t="n">
        <v>45736</v>
      </c>
      <c r="D11451" t="inlineStr">
        <is>
          <t>VÄRMLANDS LÄN</t>
        </is>
      </c>
      <c r="E11451" t="inlineStr">
        <is>
          <t>EDA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43542-2023</t>
        </is>
      </c>
      <c r="B11452" s="1" t="n">
        <v>45184</v>
      </c>
      <c r="C11452" s="1" t="n">
        <v>45736</v>
      </c>
      <c r="D11452" t="inlineStr">
        <is>
          <t>VÄRMLANDS LÄN</t>
        </is>
      </c>
      <c r="E11452" t="inlineStr">
        <is>
          <t>FILIPSTAD</t>
        </is>
      </c>
      <c r="F11452" t="inlineStr">
        <is>
          <t>Bergvik skog väst AB</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43554-2023</t>
        </is>
      </c>
      <c r="B11453" s="1" t="n">
        <v>45184</v>
      </c>
      <c r="C11453" s="1" t="n">
        <v>45736</v>
      </c>
      <c r="D11453" t="inlineStr">
        <is>
          <t>VÄRMLANDS LÄN</t>
        </is>
      </c>
      <c r="E11453" t="inlineStr">
        <is>
          <t>MUNKFORS</t>
        </is>
      </c>
      <c r="F11453" t="inlineStr">
        <is>
          <t>Bergvik skog väst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43577-2023</t>
        </is>
      </c>
      <c r="B11454" s="1" t="n">
        <v>45184</v>
      </c>
      <c r="C11454" s="1" t="n">
        <v>45736</v>
      </c>
      <c r="D11454" t="inlineStr">
        <is>
          <t>VÄRMLANDS LÄN</t>
        </is>
      </c>
      <c r="E11454" t="inlineStr">
        <is>
          <t>FILIPSTAD</t>
        </is>
      </c>
      <c r="F11454" t="inlineStr">
        <is>
          <t>Bergvik skog väst AB</t>
        </is>
      </c>
      <c r="G11454" t="n">
        <v>24.7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43522-2023</t>
        </is>
      </c>
      <c r="B11455" s="1" t="n">
        <v>45184</v>
      </c>
      <c r="C11455" s="1" t="n">
        <v>45736</v>
      </c>
      <c r="D11455" t="inlineStr">
        <is>
          <t>VÄRMLANDS LÄN</t>
        </is>
      </c>
      <c r="E11455" t="inlineStr">
        <is>
          <t>EDA</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43540-2023</t>
        </is>
      </c>
      <c r="B11456" s="1" t="n">
        <v>45184</v>
      </c>
      <c r="C11456" s="1" t="n">
        <v>45736</v>
      </c>
      <c r="D11456" t="inlineStr">
        <is>
          <t>VÄRMLANDS LÄN</t>
        </is>
      </c>
      <c r="E11456" t="inlineStr">
        <is>
          <t>TORSBY</t>
        </is>
      </c>
      <c r="F11456" t="inlineStr">
        <is>
          <t>Bergvik skog väst AB</t>
        </is>
      </c>
      <c r="G11456" t="n">
        <v>11.3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43571-2023</t>
        </is>
      </c>
      <c r="B11457" s="1" t="n">
        <v>45184</v>
      </c>
      <c r="C11457" s="1" t="n">
        <v>45736</v>
      </c>
      <c r="D11457" t="inlineStr">
        <is>
          <t>VÄRMLANDS LÄN</t>
        </is>
      </c>
      <c r="E11457" t="inlineStr">
        <is>
          <t>FILIPSTAD</t>
        </is>
      </c>
      <c r="F11457" t="inlineStr">
        <is>
          <t>Bergvik skog väst AB</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43549-2023</t>
        </is>
      </c>
      <c r="B11458" s="1" t="n">
        <v>45184</v>
      </c>
      <c r="C11458" s="1" t="n">
        <v>45736</v>
      </c>
      <c r="D11458" t="inlineStr">
        <is>
          <t>VÄRMLANDS LÄN</t>
        </is>
      </c>
      <c r="E11458" t="inlineStr">
        <is>
          <t>MUNKFORS</t>
        </is>
      </c>
      <c r="F11458" t="inlineStr">
        <is>
          <t>Bergvik skog väst AB</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43545-2023</t>
        </is>
      </c>
      <c r="B11459" s="1" t="n">
        <v>45184</v>
      </c>
      <c r="C11459" s="1" t="n">
        <v>45736</v>
      </c>
      <c r="D11459" t="inlineStr">
        <is>
          <t>VÄRMLANDS LÄN</t>
        </is>
      </c>
      <c r="E11459" t="inlineStr">
        <is>
          <t>KARLSTAD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43562-2023</t>
        </is>
      </c>
      <c r="B11460" s="1" t="n">
        <v>45184</v>
      </c>
      <c r="C11460" s="1" t="n">
        <v>45736</v>
      </c>
      <c r="D11460" t="inlineStr">
        <is>
          <t>VÄRMLANDS LÄN</t>
        </is>
      </c>
      <c r="E11460" t="inlineStr">
        <is>
          <t>TORSBY</t>
        </is>
      </c>
      <c r="F11460" t="inlineStr">
        <is>
          <t>Kommuner</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43599-2023</t>
        </is>
      </c>
      <c r="B11461" s="1" t="n">
        <v>45184</v>
      </c>
      <c r="C11461" s="1" t="n">
        <v>45736</v>
      </c>
      <c r="D11461" t="inlineStr">
        <is>
          <t>VÄRMLANDS LÄN</t>
        </is>
      </c>
      <c r="E11461" t="inlineStr">
        <is>
          <t>TORSBY</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43635-2023</t>
        </is>
      </c>
      <c r="B11462" s="1" t="n">
        <v>45186</v>
      </c>
      <c r="C11462" s="1" t="n">
        <v>45736</v>
      </c>
      <c r="D11462" t="inlineStr">
        <is>
          <t>VÄRMLANDS LÄN</t>
        </is>
      </c>
      <c r="E11462" t="inlineStr">
        <is>
          <t>FILIPSTAD</t>
        </is>
      </c>
      <c r="G11462" t="n">
        <v>15.3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43643-2023</t>
        </is>
      </c>
      <c r="B11463" s="1" t="n">
        <v>45186</v>
      </c>
      <c r="C11463" s="1" t="n">
        <v>45736</v>
      </c>
      <c r="D11463" t="inlineStr">
        <is>
          <t>VÄRMLANDS LÄN</t>
        </is>
      </c>
      <c r="E11463" t="inlineStr">
        <is>
          <t>MUNKFORS</t>
        </is>
      </c>
      <c r="F11463" t="inlineStr">
        <is>
          <t>Bergvik skog väst AB</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43641-2023</t>
        </is>
      </c>
      <c r="B11464" s="1" t="n">
        <v>45186</v>
      </c>
      <c r="C11464" s="1" t="n">
        <v>45736</v>
      </c>
      <c r="D11464" t="inlineStr">
        <is>
          <t>VÄRMLANDS LÄN</t>
        </is>
      </c>
      <c r="E11464" t="inlineStr">
        <is>
          <t>ARVIKA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44828-2023</t>
        </is>
      </c>
      <c r="B11465" s="1" t="n">
        <v>45186</v>
      </c>
      <c r="C11465" s="1" t="n">
        <v>45736</v>
      </c>
      <c r="D11465" t="inlineStr">
        <is>
          <t>VÄRMLANDS LÄN</t>
        </is>
      </c>
      <c r="E11465" t="inlineStr">
        <is>
          <t>SÄFFLE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43644-2023</t>
        </is>
      </c>
      <c r="B11466" s="1" t="n">
        <v>45187</v>
      </c>
      <c r="C11466" s="1" t="n">
        <v>45736</v>
      </c>
      <c r="D11466" t="inlineStr">
        <is>
          <t>VÄRMLANDS LÄN</t>
        </is>
      </c>
      <c r="E11466" t="inlineStr">
        <is>
          <t>ARVIKA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43717-2023</t>
        </is>
      </c>
      <c r="B11467" s="1" t="n">
        <v>45187</v>
      </c>
      <c r="C11467" s="1" t="n">
        <v>45736</v>
      </c>
      <c r="D11467" t="inlineStr">
        <is>
          <t>VÄRMLANDS LÄN</t>
        </is>
      </c>
      <c r="E11467" t="inlineStr">
        <is>
          <t>FILIPSTAD</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43728-2023</t>
        </is>
      </c>
      <c r="B11468" s="1" t="n">
        <v>45187</v>
      </c>
      <c r="C11468" s="1" t="n">
        <v>45736</v>
      </c>
      <c r="D11468" t="inlineStr">
        <is>
          <t>VÄRMLANDS LÄN</t>
        </is>
      </c>
      <c r="E11468" t="inlineStr">
        <is>
          <t>EDA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43663-2023</t>
        </is>
      </c>
      <c r="B11469" s="1" t="n">
        <v>45187</v>
      </c>
      <c r="C11469" s="1" t="n">
        <v>45736</v>
      </c>
      <c r="D11469" t="inlineStr">
        <is>
          <t>VÄRMLANDS LÄN</t>
        </is>
      </c>
      <c r="E11469" t="inlineStr">
        <is>
          <t>TORSBY</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43670-2023</t>
        </is>
      </c>
      <c r="B11470" s="1" t="n">
        <v>45187</v>
      </c>
      <c r="C11470" s="1" t="n">
        <v>45736</v>
      </c>
      <c r="D11470" t="inlineStr">
        <is>
          <t>VÄRMLANDS LÄN</t>
        </is>
      </c>
      <c r="E11470" t="inlineStr">
        <is>
          <t>TORSBY</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43835-2023</t>
        </is>
      </c>
      <c r="B11471" s="1" t="n">
        <v>45187</v>
      </c>
      <c r="C11471" s="1" t="n">
        <v>45736</v>
      </c>
      <c r="D11471" t="inlineStr">
        <is>
          <t>VÄRMLANDS LÄN</t>
        </is>
      </c>
      <c r="E11471" t="inlineStr">
        <is>
          <t>GRUMS</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43868-2023</t>
        </is>
      </c>
      <c r="B11472" s="1" t="n">
        <v>45187</v>
      </c>
      <c r="C11472" s="1" t="n">
        <v>45736</v>
      </c>
      <c r="D11472" t="inlineStr">
        <is>
          <t>VÄRMLANDS LÄN</t>
        </is>
      </c>
      <c r="E11472" t="inlineStr">
        <is>
          <t>SUNNE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43892-2023</t>
        </is>
      </c>
      <c r="B11473" s="1" t="n">
        <v>45187</v>
      </c>
      <c r="C11473" s="1" t="n">
        <v>45736</v>
      </c>
      <c r="D11473" t="inlineStr">
        <is>
          <t>VÄRMLANDS LÄN</t>
        </is>
      </c>
      <c r="E11473" t="inlineStr">
        <is>
          <t>HAGFORS</t>
        </is>
      </c>
      <c r="F11473" t="inlineStr">
        <is>
          <t>Bergvik skog väst AB</t>
        </is>
      </c>
      <c r="G11473" t="n">
        <v>21.7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43896-2023</t>
        </is>
      </c>
      <c r="B11474" s="1" t="n">
        <v>45187</v>
      </c>
      <c r="C11474" s="1" t="n">
        <v>45736</v>
      </c>
      <c r="D11474" t="inlineStr">
        <is>
          <t>VÄRMLANDS LÄN</t>
        </is>
      </c>
      <c r="E11474" t="inlineStr">
        <is>
          <t>EDA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43931-2023</t>
        </is>
      </c>
      <c r="B11475" s="1" t="n">
        <v>45187</v>
      </c>
      <c r="C11475" s="1" t="n">
        <v>45736</v>
      </c>
      <c r="D11475" t="inlineStr">
        <is>
          <t>VÄRMLANDS LÄN</t>
        </is>
      </c>
      <c r="E11475" t="inlineStr">
        <is>
          <t>KRISTINEHAMN</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45265-2023</t>
        </is>
      </c>
      <c r="B11476" s="1" t="n">
        <v>45187</v>
      </c>
      <c r="C11476" s="1" t="n">
        <v>45736</v>
      </c>
      <c r="D11476" t="inlineStr">
        <is>
          <t>VÄRMLANDS LÄN</t>
        </is>
      </c>
      <c r="E11476" t="inlineStr">
        <is>
          <t>KARLSTAD</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45287-2023</t>
        </is>
      </c>
      <c r="B11477" s="1" t="n">
        <v>45187</v>
      </c>
      <c r="C11477" s="1" t="n">
        <v>45736</v>
      </c>
      <c r="D11477" t="inlineStr">
        <is>
          <t>VÄRMLANDS LÄN</t>
        </is>
      </c>
      <c r="E11477" t="inlineStr">
        <is>
          <t>KARLSTAD</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50709-2023</t>
        </is>
      </c>
      <c r="B11478" s="1" t="n">
        <v>45187</v>
      </c>
      <c r="C11478" s="1" t="n">
        <v>45736</v>
      </c>
      <c r="D11478" t="inlineStr">
        <is>
          <t>VÄRMLANDS LÄN</t>
        </is>
      </c>
      <c r="E11478" t="inlineStr">
        <is>
          <t>KARLSTAD</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44005-2023</t>
        </is>
      </c>
      <c r="B11479" s="1" t="n">
        <v>45188</v>
      </c>
      <c r="C11479" s="1" t="n">
        <v>45736</v>
      </c>
      <c r="D11479" t="inlineStr">
        <is>
          <t>VÄRMLANDS LÄN</t>
        </is>
      </c>
      <c r="E11479" t="inlineStr">
        <is>
          <t>ARVIKA</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44085-2023</t>
        </is>
      </c>
      <c r="B11480" s="1" t="n">
        <v>45188</v>
      </c>
      <c r="C11480" s="1" t="n">
        <v>45736</v>
      </c>
      <c r="D11480" t="inlineStr">
        <is>
          <t>VÄRMLANDS LÄN</t>
        </is>
      </c>
      <c r="E11480" t="inlineStr">
        <is>
          <t>KRISTINEHAMN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44006-2023</t>
        </is>
      </c>
      <c r="B11481" s="1" t="n">
        <v>45188</v>
      </c>
      <c r="C11481" s="1" t="n">
        <v>45736</v>
      </c>
      <c r="D11481" t="inlineStr">
        <is>
          <t>VÄRMLANDS LÄN</t>
        </is>
      </c>
      <c r="E11481" t="inlineStr">
        <is>
          <t>EDA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44047-2023</t>
        </is>
      </c>
      <c r="B11482" s="1" t="n">
        <v>45188</v>
      </c>
      <c r="C11482" s="1" t="n">
        <v>45736</v>
      </c>
      <c r="D11482" t="inlineStr">
        <is>
          <t>VÄRMLANDS LÄN</t>
        </is>
      </c>
      <c r="E11482" t="inlineStr">
        <is>
          <t>TORSBY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44004-2023</t>
        </is>
      </c>
      <c r="B11483" s="1" t="n">
        <v>45188</v>
      </c>
      <c r="C11483" s="1" t="n">
        <v>45736</v>
      </c>
      <c r="D11483" t="inlineStr">
        <is>
          <t>VÄRMLANDS LÄN</t>
        </is>
      </c>
      <c r="E11483" t="inlineStr">
        <is>
          <t>ÅRJÄNG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44104-2023</t>
        </is>
      </c>
      <c r="B11484" s="1" t="n">
        <v>45188</v>
      </c>
      <c r="C11484" s="1" t="n">
        <v>45736</v>
      </c>
      <c r="D11484" t="inlineStr">
        <is>
          <t>VÄRMLANDS LÄN</t>
        </is>
      </c>
      <c r="E11484" t="inlineStr">
        <is>
          <t>MUNKFORS</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44041-2023</t>
        </is>
      </c>
      <c r="B11485" s="1" t="n">
        <v>45188</v>
      </c>
      <c r="C11485" s="1" t="n">
        <v>45736</v>
      </c>
      <c r="D11485" t="inlineStr">
        <is>
          <t>VÄRMLANDS LÄN</t>
        </is>
      </c>
      <c r="E11485" t="inlineStr">
        <is>
          <t>MUNKFORS</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44150-2023</t>
        </is>
      </c>
      <c r="B11486" s="1" t="n">
        <v>45188</v>
      </c>
      <c r="C11486" s="1" t="n">
        <v>45736</v>
      </c>
      <c r="D11486" t="inlineStr">
        <is>
          <t>VÄRMLANDS LÄN</t>
        </is>
      </c>
      <c r="E11486" t="inlineStr">
        <is>
          <t>TORSBY</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44167-2023</t>
        </is>
      </c>
      <c r="B11487" s="1" t="n">
        <v>45188</v>
      </c>
      <c r="C11487" s="1" t="n">
        <v>45736</v>
      </c>
      <c r="D11487" t="inlineStr">
        <is>
          <t>VÄRMLANDS LÄN</t>
        </is>
      </c>
      <c r="E11487" t="inlineStr">
        <is>
          <t>FORSHAGA</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44134-2023</t>
        </is>
      </c>
      <c r="B11488" s="1" t="n">
        <v>45188</v>
      </c>
      <c r="C11488" s="1" t="n">
        <v>45736</v>
      </c>
      <c r="D11488" t="inlineStr">
        <is>
          <t>VÄRMLANDS LÄN</t>
        </is>
      </c>
      <c r="E11488" t="inlineStr">
        <is>
          <t>FILIPSTAD</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44220-2023</t>
        </is>
      </c>
      <c r="B11489" s="1" t="n">
        <v>45188</v>
      </c>
      <c r="C11489" s="1" t="n">
        <v>45736</v>
      </c>
      <c r="D11489" t="inlineStr">
        <is>
          <t>VÄRMLANDS LÄN</t>
        </is>
      </c>
      <c r="E11489" t="inlineStr">
        <is>
          <t>SUNNE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44007-2023</t>
        </is>
      </c>
      <c r="B11490" s="1" t="n">
        <v>45188</v>
      </c>
      <c r="C11490" s="1" t="n">
        <v>45736</v>
      </c>
      <c r="D11490" t="inlineStr">
        <is>
          <t>VÄRMLANDS LÄN</t>
        </is>
      </c>
      <c r="E11490" t="inlineStr">
        <is>
          <t>ÅRJÄNG</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44242-2023</t>
        </is>
      </c>
      <c r="B11491" s="1" t="n">
        <v>45188</v>
      </c>
      <c r="C11491" s="1" t="n">
        <v>45736</v>
      </c>
      <c r="D11491" t="inlineStr">
        <is>
          <t>VÄRMLANDS LÄN</t>
        </is>
      </c>
      <c r="E11491" t="inlineStr">
        <is>
          <t>SUNNE</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44200-2023</t>
        </is>
      </c>
      <c r="B11492" s="1" t="n">
        <v>45188</v>
      </c>
      <c r="C11492" s="1" t="n">
        <v>45736</v>
      </c>
      <c r="D11492" t="inlineStr">
        <is>
          <t>VÄRMLANDS LÄN</t>
        </is>
      </c>
      <c r="E11492" t="inlineStr">
        <is>
          <t>SUNNE</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44213-2023</t>
        </is>
      </c>
      <c r="B11493" s="1" t="n">
        <v>45188</v>
      </c>
      <c r="C11493" s="1" t="n">
        <v>45736</v>
      </c>
      <c r="D11493" t="inlineStr">
        <is>
          <t>VÄRMLANDS LÄN</t>
        </is>
      </c>
      <c r="E11493" t="inlineStr">
        <is>
          <t>SUNNE</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44281-2023</t>
        </is>
      </c>
      <c r="B11494" s="1" t="n">
        <v>45188</v>
      </c>
      <c r="C11494" s="1" t="n">
        <v>45736</v>
      </c>
      <c r="D11494" t="inlineStr">
        <is>
          <t>VÄRMLANDS LÄN</t>
        </is>
      </c>
      <c r="E11494" t="inlineStr">
        <is>
          <t>FORSHAGA</t>
        </is>
      </c>
      <c r="F11494" t="inlineStr">
        <is>
          <t>Bergvik skog väst AB</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44044-2023</t>
        </is>
      </c>
      <c r="B11495" s="1" t="n">
        <v>45188</v>
      </c>
      <c r="C11495" s="1" t="n">
        <v>45736</v>
      </c>
      <c r="D11495" t="inlineStr">
        <is>
          <t>VÄRMLANDS LÄN</t>
        </is>
      </c>
      <c r="E11495" t="inlineStr">
        <is>
          <t>TORSBY</t>
        </is>
      </c>
      <c r="G11495" t="n">
        <v>10</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44048-2023</t>
        </is>
      </c>
      <c r="B11496" s="1" t="n">
        <v>45188</v>
      </c>
      <c r="C11496" s="1" t="n">
        <v>45736</v>
      </c>
      <c r="D11496" t="inlineStr">
        <is>
          <t>VÄRMLANDS LÄN</t>
        </is>
      </c>
      <c r="E11496" t="inlineStr">
        <is>
          <t>GRUMS</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44060-2023</t>
        </is>
      </c>
      <c r="B11497" s="1" t="n">
        <v>45188</v>
      </c>
      <c r="C11497" s="1" t="n">
        <v>45736</v>
      </c>
      <c r="D11497" t="inlineStr">
        <is>
          <t>VÄRMLANDS LÄN</t>
        </is>
      </c>
      <c r="E11497" t="inlineStr">
        <is>
          <t>KIL</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44284-2023</t>
        </is>
      </c>
      <c r="B11498" s="1" t="n">
        <v>45188</v>
      </c>
      <c r="C11498" s="1" t="n">
        <v>45736</v>
      </c>
      <c r="D11498" t="inlineStr">
        <is>
          <t>VÄRMLANDS LÄN</t>
        </is>
      </c>
      <c r="E11498" t="inlineStr">
        <is>
          <t>SUNNE</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44098-2023</t>
        </is>
      </c>
      <c r="B11499" s="1" t="n">
        <v>45188</v>
      </c>
      <c r="C11499" s="1" t="n">
        <v>45736</v>
      </c>
      <c r="D11499" t="inlineStr">
        <is>
          <t>VÄRMLANDS LÄN</t>
        </is>
      </c>
      <c r="E11499" t="inlineStr">
        <is>
          <t>MUNKFORS</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44119-2023</t>
        </is>
      </c>
      <c r="B11500" s="1" t="n">
        <v>45188</v>
      </c>
      <c r="C11500" s="1" t="n">
        <v>45736</v>
      </c>
      <c r="D11500" t="inlineStr">
        <is>
          <t>VÄRMLANDS LÄN</t>
        </is>
      </c>
      <c r="E11500" t="inlineStr">
        <is>
          <t>FILIPSTAD</t>
        </is>
      </c>
      <c r="G11500" t="n">
        <v>19.4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44127-2023</t>
        </is>
      </c>
      <c r="B11501" s="1" t="n">
        <v>45188</v>
      </c>
      <c r="C11501" s="1" t="n">
        <v>45736</v>
      </c>
      <c r="D11501" t="inlineStr">
        <is>
          <t>VÄRMLANDS LÄN</t>
        </is>
      </c>
      <c r="E11501" t="inlineStr">
        <is>
          <t>TORSBY</t>
        </is>
      </c>
      <c r="F11501" t="inlineStr">
        <is>
          <t>Bergvik skog väst AB</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44212-2023</t>
        </is>
      </c>
      <c r="B11502" s="1" t="n">
        <v>45188</v>
      </c>
      <c r="C11502" s="1" t="n">
        <v>45736</v>
      </c>
      <c r="D11502" t="inlineStr">
        <is>
          <t>VÄRMLANDS LÄN</t>
        </is>
      </c>
      <c r="E11502" t="inlineStr">
        <is>
          <t>SUNNE</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44216-2023</t>
        </is>
      </c>
      <c r="B11503" s="1" t="n">
        <v>45188</v>
      </c>
      <c r="C11503" s="1" t="n">
        <v>45736</v>
      </c>
      <c r="D11503" t="inlineStr">
        <is>
          <t>VÄRMLANDS LÄN</t>
        </is>
      </c>
      <c r="E11503" t="inlineStr">
        <is>
          <t>SUNNE</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44231-2023</t>
        </is>
      </c>
      <c r="B11504" s="1" t="n">
        <v>45188</v>
      </c>
      <c r="C11504" s="1" t="n">
        <v>45736</v>
      </c>
      <c r="D11504" t="inlineStr">
        <is>
          <t>VÄRMLANDS LÄN</t>
        </is>
      </c>
      <c r="E11504" t="inlineStr">
        <is>
          <t>SUNNE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44262-2023</t>
        </is>
      </c>
      <c r="B11505" s="1" t="n">
        <v>45188</v>
      </c>
      <c r="C11505" s="1" t="n">
        <v>45736</v>
      </c>
      <c r="D11505" t="inlineStr">
        <is>
          <t>VÄRMLANDS LÄN</t>
        </is>
      </c>
      <c r="E11505" t="inlineStr">
        <is>
          <t>TORSBY</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44113-2023</t>
        </is>
      </c>
      <c r="B11506" s="1" t="n">
        <v>45188</v>
      </c>
      <c r="C11506" s="1" t="n">
        <v>45736</v>
      </c>
      <c r="D11506" t="inlineStr">
        <is>
          <t>VÄRMLANDS LÄN</t>
        </is>
      </c>
      <c r="E11506" t="inlineStr">
        <is>
          <t>TORSBY</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44215-2023</t>
        </is>
      </c>
      <c r="B11507" s="1" t="n">
        <v>45188</v>
      </c>
      <c r="C11507" s="1" t="n">
        <v>45736</v>
      </c>
      <c r="D11507" t="inlineStr">
        <is>
          <t>VÄRMLANDS LÄN</t>
        </is>
      </c>
      <c r="E11507" t="inlineStr">
        <is>
          <t>SUNNE</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44364-2023</t>
        </is>
      </c>
      <c r="B11508" s="1" t="n">
        <v>45188</v>
      </c>
      <c r="C11508" s="1" t="n">
        <v>45736</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45473-2023</t>
        </is>
      </c>
      <c r="B11509" s="1" t="n">
        <v>45188</v>
      </c>
      <c r="C11509" s="1" t="n">
        <v>45736</v>
      </c>
      <c r="D11509" t="inlineStr">
        <is>
          <t>VÄRMLANDS LÄN</t>
        </is>
      </c>
      <c r="E11509" t="inlineStr">
        <is>
          <t>SUNNE</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45438-2023</t>
        </is>
      </c>
      <c r="B11510" s="1" t="n">
        <v>45188</v>
      </c>
      <c r="C11510" s="1" t="n">
        <v>45736</v>
      </c>
      <c r="D11510" t="inlineStr">
        <is>
          <t>VÄRMLANDS LÄN</t>
        </is>
      </c>
      <c r="E11510" t="inlineStr">
        <is>
          <t>FORSHAGA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44282-2023</t>
        </is>
      </c>
      <c r="B11511" s="1" t="n">
        <v>45188</v>
      </c>
      <c r="C11511" s="1" t="n">
        <v>45736</v>
      </c>
      <c r="D11511" t="inlineStr">
        <is>
          <t>VÄRMLANDS LÄN</t>
        </is>
      </c>
      <c r="E11511" t="inlineStr">
        <is>
          <t>ARVIKA</t>
        </is>
      </c>
      <c r="F11511" t="inlineStr">
        <is>
          <t>Bergvik skog väst AB</t>
        </is>
      </c>
      <c r="G11511" t="n">
        <v>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45426-2023</t>
        </is>
      </c>
      <c r="B11512" s="1" t="n">
        <v>45188</v>
      </c>
      <c r="C11512" s="1" t="n">
        <v>45736</v>
      </c>
      <c r="D11512" t="inlineStr">
        <is>
          <t>VÄRMLANDS LÄN</t>
        </is>
      </c>
      <c r="E11512" t="inlineStr">
        <is>
          <t>SUNNE</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44424-2023</t>
        </is>
      </c>
      <c r="B11513" s="1" t="n">
        <v>45189</v>
      </c>
      <c r="C11513" s="1" t="n">
        <v>45736</v>
      </c>
      <c r="D11513" t="inlineStr">
        <is>
          <t>VÄRMLANDS LÄN</t>
        </is>
      </c>
      <c r="E11513" t="inlineStr">
        <is>
          <t>TORSBY</t>
        </is>
      </c>
      <c r="F11513" t="inlineStr">
        <is>
          <t>Kyrkan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44421-2023</t>
        </is>
      </c>
      <c r="B11514" s="1" t="n">
        <v>45189</v>
      </c>
      <c r="C11514" s="1" t="n">
        <v>45736</v>
      </c>
      <c r="D11514" t="inlineStr">
        <is>
          <t>VÄRMLANDS LÄN</t>
        </is>
      </c>
      <c r="E11514" t="inlineStr">
        <is>
          <t>SUNNE</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44472-2023</t>
        </is>
      </c>
      <c r="B11515" s="1" t="n">
        <v>45189</v>
      </c>
      <c r="C11515" s="1" t="n">
        <v>45736</v>
      </c>
      <c r="D11515" t="inlineStr">
        <is>
          <t>VÄRMLANDS LÄN</t>
        </is>
      </c>
      <c r="E11515" t="inlineStr">
        <is>
          <t>SÄFFLE</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44474-2023</t>
        </is>
      </c>
      <c r="B11516" s="1" t="n">
        <v>45189</v>
      </c>
      <c r="C11516" s="1" t="n">
        <v>45736</v>
      </c>
      <c r="D11516" t="inlineStr">
        <is>
          <t>VÄRMLANDS LÄN</t>
        </is>
      </c>
      <c r="E11516" t="inlineStr">
        <is>
          <t>SÄFFLE</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44484-2023</t>
        </is>
      </c>
      <c r="B11517" s="1" t="n">
        <v>45189</v>
      </c>
      <c r="C11517" s="1" t="n">
        <v>45736</v>
      </c>
      <c r="D11517" t="inlineStr">
        <is>
          <t>VÄRMLANDS LÄN</t>
        </is>
      </c>
      <c r="E11517" t="inlineStr">
        <is>
          <t>SÄFFLE</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44490-2023</t>
        </is>
      </c>
      <c r="B11518" s="1" t="n">
        <v>45189</v>
      </c>
      <c r="C11518" s="1" t="n">
        <v>45736</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44497-2023</t>
        </is>
      </c>
      <c r="B11519" s="1" t="n">
        <v>45189</v>
      </c>
      <c r="C11519" s="1" t="n">
        <v>45736</v>
      </c>
      <c r="D11519" t="inlineStr">
        <is>
          <t>VÄRMLANDS LÄN</t>
        </is>
      </c>
      <c r="E11519" t="inlineStr">
        <is>
          <t>TORSBY</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44503-2023</t>
        </is>
      </c>
      <c r="B11520" s="1" t="n">
        <v>45189</v>
      </c>
      <c r="C11520" s="1" t="n">
        <v>45736</v>
      </c>
      <c r="D11520" t="inlineStr">
        <is>
          <t>VÄRMLANDS LÄN</t>
        </is>
      </c>
      <c r="E11520" t="inlineStr">
        <is>
          <t>FILIPSTAD</t>
        </is>
      </c>
      <c r="F11520" t="inlineStr">
        <is>
          <t>Bergvik skog väst AB</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44507-2023</t>
        </is>
      </c>
      <c r="B11521" s="1" t="n">
        <v>45189</v>
      </c>
      <c r="C11521" s="1" t="n">
        <v>45736</v>
      </c>
      <c r="D11521" t="inlineStr">
        <is>
          <t>VÄRMLANDS LÄN</t>
        </is>
      </c>
      <c r="E11521" t="inlineStr">
        <is>
          <t>ARVIKA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44519-2023</t>
        </is>
      </c>
      <c r="B11522" s="1" t="n">
        <v>45189</v>
      </c>
      <c r="C11522" s="1" t="n">
        <v>45736</v>
      </c>
      <c r="D11522" t="inlineStr">
        <is>
          <t>VÄRMLANDS LÄN</t>
        </is>
      </c>
      <c r="E11522" t="inlineStr">
        <is>
          <t>ARVIKA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44589-2023</t>
        </is>
      </c>
      <c r="B11523" s="1" t="n">
        <v>45189</v>
      </c>
      <c r="C11523" s="1" t="n">
        <v>45736</v>
      </c>
      <c r="D11523" t="inlineStr">
        <is>
          <t>VÄRMLANDS LÄN</t>
        </is>
      </c>
      <c r="E11523" t="inlineStr">
        <is>
          <t>SUNNE</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44643-2023</t>
        </is>
      </c>
      <c r="B11524" s="1" t="n">
        <v>45189</v>
      </c>
      <c r="C11524" s="1" t="n">
        <v>45736</v>
      </c>
      <c r="D11524" t="inlineStr">
        <is>
          <t>VÄRMLANDS LÄN</t>
        </is>
      </c>
      <c r="E11524" t="inlineStr">
        <is>
          <t>SÄFFLE</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44415-2023</t>
        </is>
      </c>
      <c r="B11525" s="1" t="n">
        <v>45189</v>
      </c>
      <c r="C11525" s="1" t="n">
        <v>45736</v>
      </c>
      <c r="D11525" t="inlineStr">
        <is>
          <t>VÄRMLANDS LÄN</t>
        </is>
      </c>
      <c r="E11525" t="inlineStr">
        <is>
          <t>ÅRJÄNG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44477-2023</t>
        </is>
      </c>
      <c r="B11526" s="1" t="n">
        <v>45189</v>
      </c>
      <c r="C11526" s="1" t="n">
        <v>45736</v>
      </c>
      <c r="D11526" t="inlineStr">
        <is>
          <t>VÄRMLANDS LÄN</t>
        </is>
      </c>
      <c r="E11526" t="inlineStr">
        <is>
          <t>SÄFFLE</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44499-2023</t>
        </is>
      </c>
      <c r="B11527" s="1" t="n">
        <v>45189</v>
      </c>
      <c r="C11527" s="1" t="n">
        <v>45736</v>
      </c>
      <c r="D11527" t="inlineStr">
        <is>
          <t>VÄRMLANDS LÄN</t>
        </is>
      </c>
      <c r="E11527" t="inlineStr">
        <is>
          <t>SÄFFLE</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44515-2023</t>
        </is>
      </c>
      <c r="B11528" s="1" t="n">
        <v>45189</v>
      </c>
      <c r="C11528" s="1" t="n">
        <v>45736</v>
      </c>
      <c r="D11528" t="inlineStr">
        <is>
          <t>VÄRMLANDS LÄN</t>
        </is>
      </c>
      <c r="E11528" t="inlineStr">
        <is>
          <t>ARVIKA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44556-2023</t>
        </is>
      </c>
      <c r="B11529" s="1" t="n">
        <v>45189</v>
      </c>
      <c r="C11529" s="1" t="n">
        <v>45736</v>
      </c>
      <c r="D11529" t="inlineStr">
        <is>
          <t>VÄRMLANDS LÄN</t>
        </is>
      </c>
      <c r="E11529" t="inlineStr">
        <is>
          <t>ÅRJÄNG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44562-2023</t>
        </is>
      </c>
      <c r="B11530" s="1" t="n">
        <v>45189</v>
      </c>
      <c r="C11530" s="1" t="n">
        <v>45736</v>
      </c>
      <c r="D11530" t="inlineStr">
        <is>
          <t>VÄRMLANDS LÄN</t>
        </is>
      </c>
      <c r="E11530" t="inlineStr">
        <is>
          <t>TORSBY</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44606-2023</t>
        </is>
      </c>
      <c r="B11531" s="1" t="n">
        <v>45189</v>
      </c>
      <c r="C11531" s="1" t="n">
        <v>45736</v>
      </c>
      <c r="D11531" t="inlineStr">
        <is>
          <t>VÄRMLANDS LÄN</t>
        </is>
      </c>
      <c r="E11531" t="inlineStr">
        <is>
          <t>HAGFORS</t>
        </is>
      </c>
      <c r="F11531" t="inlineStr">
        <is>
          <t>Bergvik skog väst AB</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44641-2023</t>
        </is>
      </c>
      <c r="B11532" s="1" t="n">
        <v>45189</v>
      </c>
      <c r="C11532" s="1" t="n">
        <v>45736</v>
      </c>
      <c r="D11532" t="inlineStr">
        <is>
          <t>VÄRMLANDS LÄN</t>
        </is>
      </c>
      <c r="E11532" t="inlineStr">
        <is>
          <t>TORSBY</t>
        </is>
      </c>
      <c r="F11532" t="inlineStr">
        <is>
          <t>Bergvik skog väst AB</t>
        </is>
      </c>
      <c r="G11532" t="n">
        <v>20.3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44422-2023</t>
        </is>
      </c>
      <c r="B11533" s="1" t="n">
        <v>45189</v>
      </c>
      <c r="C11533" s="1" t="n">
        <v>45736</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44427-2023</t>
        </is>
      </c>
      <c r="B11534" s="1" t="n">
        <v>45189</v>
      </c>
      <c r="C11534" s="1" t="n">
        <v>45736</v>
      </c>
      <c r="D11534" t="inlineStr">
        <is>
          <t>VÄRMLANDS LÄN</t>
        </is>
      </c>
      <c r="E11534" t="inlineStr">
        <is>
          <t>SÄFFLE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44657-2023</t>
        </is>
      </c>
      <c r="B11535" s="1" t="n">
        <v>45189</v>
      </c>
      <c r="C11535" s="1" t="n">
        <v>45736</v>
      </c>
      <c r="D11535" t="inlineStr">
        <is>
          <t>VÄRMLANDS LÄN</t>
        </is>
      </c>
      <c r="E11535" t="inlineStr">
        <is>
          <t>FILIPSTAD</t>
        </is>
      </c>
      <c r="F11535" t="inlineStr">
        <is>
          <t>Bergvik skog väst AB</t>
        </is>
      </c>
      <c r="G11535" t="n">
        <v>14.3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44485-2023</t>
        </is>
      </c>
      <c r="B11536" s="1" t="n">
        <v>45189</v>
      </c>
      <c r="C11536" s="1" t="n">
        <v>45736</v>
      </c>
      <c r="D11536" t="inlineStr">
        <is>
          <t>VÄRMLANDS LÄN</t>
        </is>
      </c>
      <c r="E11536" t="inlineStr">
        <is>
          <t>ARVIKA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44504-2023</t>
        </is>
      </c>
      <c r="B11537" s="1" t="n">
        <v>45189</v>
      </c>
      <c r="C11537" s="1" t="n">
        <v>45736</v>
      </c>
      <c r="D11537" t="inlineStr">
        <is>
          <t>VÄRMLANDS LÄN</t>
        </is>
      </c>
      <c r="E11537" t="inlineStr">
        <is>
          <t>SÄFFLE</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44509-2023</t>
        </is>
      </c>
      <c r="B11538" s="1" t="n">
        <v>45189</v>
      </c>
      <c r="C11538" s="1" t="n">
        <v>45736</v>
      </c>
      <c r="D11538" t="inlineStr">
        <is>
          <t>VÄRMLANDS LÄN</t>
        </is>
      </c>
      <c r="E11538" t="inlineStr">
        <is>
          <t>FILIPSTAD</t>
        </is>
      </c>
      <c r="F11538" t="inlineStr">
        <is>
          <t>Bergvik skog väst AB</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44514-2023</t>
        </is>
      </c>
      <c r="B11539" s="1" t="n">
        <v>45189</v>
      </c>
      <c r="C11539" s="1" t="n">
        <v>45736</v>
      </c>
      <c r="D11539" t="inlineStr">
        <is>
          <t>VÄRMLANDS LÄN</t>
        </is>
      </c>
      <c r="E11539" t="inlineStr">
        <is>
          <t>KIL</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44623-2023</t>
        </is>
      </c>
      <c r="B11540" s="1" t="n">
        <v>45189</v>
      </c>
      <c r="C11540" s="1" t="n">
        <v>45736</v>
      </c>
      <c r="D11540" t="inlineStr">
        <is>
          <t>VÄRMLANDS LÄN</t>
        </is>
      </c>
      <c r="E11540" t="inlineStr">
        <is>
          <t>SUNNE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44645-2023</t>
        </is>
      </c>
      <c r="B11541" s="1" t="n">
        <v>45189</v>
      </c>
      <c r="C11541" s="1" t="n">
        <v>45736</v>
      </c>
      <c r="D11541" t="inlineStr">
        <is>
          <t>VÄRMLANDS LÄN</t>
        </is>
      </c>
      <c r="E11541" t="inlineStr">
        <is>
          <t>TORSBY</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44670-2023</t>
        </is>
      </c>
      <c r="B11542" s="1" t="n">
        <v>45189</v>
      </c>
      <c r="C11542" s="1" t="n">
        <v>45736</v>
      </c>
      <c r="D11542" t="inlineStr">
        <is>
          <t>VÄRMLANDS LÄN</t>
        </is>
      </c>
      <c r="E11542" t="inlineStr">
        <is>
          <t>TORSBY</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44674-2023</t>
        </is>
      </c>
      <c r="B11543" s="1" t="n">
        <v>45189</v>
      </c>
      <c r="C11543" s="1" t="n">
        <v>45736</v>
      </c>
      <c r="D11543" t="inlineStr">
        <is>
          <t>VÄRMLANDS LÄN</t>
        </is>
      </c>
      <c r="E11543" t="inlineStr">
        <is>
          <t>EDA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44728-2023</t>
        </is>
      </c>
      <c r="B11544" s="1" t="n">
        <v>45190</v>
      </c>
      <c r="C11544" s="1" t="n">
        <v>45736</v>
      </c>
      <c r="D11544" t="inlineStr">
        <is>
          <t>VÄRMLANDS LÄN</t>
        </is>
      </c>
      <c r="E11544" t="inlineStr">
        <is>
          <t>HAGFORS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44702-2023</t>
        </is>
      </c>
      <c r="B11545" s="1" t="n">
        <v>45190</v>
      </c>
      <c r="C11545" s="1" t="n">
        <v>45736</v>
      </c>
      <c r="D11545" t="inlineStr">
        <is>
          <t>VÄRMLANDS LÄN</t>
        </is>
      </c>
      <c r="E11545" t="inlineStr">
        <is>
          <t>ÅRJÄNG</t>
        </is>
      </c>
      <c r="F11545" t="inlineStr">
        <is>
          <t>Bergvik skog väst AB</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44710-2023</t>
        </is>
      </c>
      <c r="B11546" s="1" t="n">
        <v>45190</v>
      </c>
      <c r="C11546" s="1" t="n">
        <v>45736</v>
      </c>
      <c r="D11546" t="inlineStr">
        <is>
          <t>VÄRMLANDS LÄN</t>
        </is>
      </c>
      <c r="E11546" t="inlineStr">
        <is>
          <t>TORSBY</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44703-2023</t>
        </is>
      </c>
      <c r="B11547" s="1" t="n">
        <v>45190</v>
      </c>
      <c r="C11547" s="1" t="n">
        <v>45736</v>
      </c>
      <c r="D11547" t="inlineStr">
        <is>
          <t>VÄRMLANDS LÄN</t>
        </is>
      </c>
      <c r="E11547" t="inlineStr">
        <is>
          <t>ÅRJÄNG</t>
        </is>
      </c>
      <c r="F11547" t="inlineStr">
        <is>
          <t>Bergvik skog väst AB</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44730-2023</t>
        </is>
      </c>
      <c r="B11548" s="1" t="n">
        <v>45190</v>
      </c>
      <c r="C11548" s="1" t="n">
        <v>45736</v>
      </c>
      <c r="D11548" t="inlineStr">
        <is>
          <t>VÄRMLANDS LÄN</t>
        </is>
      </c>
      <c r="E11548" t="inlineStr">
        <is>
          <t>TORSBY</t>
        </is>
      </c>
      <c r="G11548" t="n">
        <v>10.7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44787-2023</t>
        </is>
      </c>
      <c r="B11549" s="1" t="n">
        <v>45190</v>
      </c>
      <c r="C11549" s="1" t="n">
        <v>45736</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44792-2023</t>
        </is>
      </c>
      <c r="B11550" s="1" t="n">
        <v>45190</v>
      </c>
      <c r="C11550" s="1" t="n">
        <v>45736</v>
      </c>
      <c r="D11550" t="inlineStr">
        <is>
          <t>VÄRMLANDS LÄN</t>
        </is>
      </c>
      <c r="E11550" t="inlineStr">
        <is>
          <t>FILIPSTAD</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44849-2023</t>
        </is>
      </c>
      <c r="B11551" s="1" t="n">
        <v>45190</v>
      </c>
      <c r="C11551" s="1" t="n">
        <v>45736</v>
      </c>
      <c r="D11551" t="inlineStr">
        <is>
          <t>VÄRMLANDS LÄN</t>
        </is>
      </c>
      <c r="E11551" t="inlineStr">
        <is>
          <t>SUNNE</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44869-2023</t>
        </is>
      </c>
      <c r="B11552" s="1" t="n">
        <v>45190</v>
      </c>
      <c r="C11552" s="1" t="n">
        <v>45736</v>
      </c>
      <c r="D11552" t="inlineStr">
        <is>
          <t>VÄRMLANDS LÄN</t>
        </is>
      </c>
      <c r="E11552" t="inlineStr">
        <is>
          <t>SUNNE</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44854-2023</t>
        </is>
      </c>
      <c r="B11553" s="1" t="n">
        <v>45190</v>
      </c>
      <c r="C11553" s="1" t="n">
        <v>45736</v>
      </c>
      <c r="D11553" t="inlineStr">
        <is>
          <t>VÄRMLANDS LÄN</t>
        </is>
      </c>
      <c r="E11553" t="inlineStr">
        <is>
          <t>ÅRJÄNG</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44818-2023</t>
        </is>
      </c>
      <c r="B11554" s="1" t="n">
        <v>45190</v>
      </c>
      <c r="C11554" s="1" t="n">
        <v>45736</v>
      </c>
      <c r="D11554" t="inlineStr">
        <is>
          <t>VÄRMLANDS LÄN</t>
        </is>
      </c>
      <c r="E11554" t="inlineStr">
        <is>
          <t>FILIPSTAD</t>
        </is>
      </c>
      <c r="F11554" t="inlineStr">
        <is>
          <t>Bergvik skog väst AB</t>
        </is>
      </c>
      <c r="G11554" t="n">
        <v>18.4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44907-2023</t>
        </is>
      </c>
      <c r="B11555" s="1" t="n">
        <v>45190</v>
      </c>
      <c r="C11555" s="1" t="n">
        <v>45736</v>
      </c>
      <c r="D11555" t="inlineStr">
        <is>
          <t>VÄRMLANDS LÄN</t>
        </is>
      </c>
      <c r="E11555" t="inlineStr">
        <is>
          <t>KRISTINEHAMN</t>
        </is>
      </c>
      <c r="F11555" t="inlineStr">
        <is>
          <t>Sveaskog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44868-2023</t>
        </is>
      </c>
      <c r="B11556" s="1" t="n">
        <v>45190</v>
      </c>
      <c r="C11556" s="1" t="n">
        <v>45736</v>
      </c>
      <c r="D11556" t="inlineStr">
        <is>
          <t>VÄRMLANDS LÄN</t>
        </is>
      </c>
      <c r="E11556" t="inlineStr">
        <is>
          <t>FILIPSTAD</t>
        </is>
      </c>
      <c r="F11556" t="inlineStr">
        <is>
          <t>Bergvik skog väst AB</t>
        </is>
      </c>
      <c r="G11556" t="n">
        <v>10.1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44900-2023</t>
        </is>
      </c>
      <c r="B11557" s="1" t="n">
        <v>45190</v>
      </c>
      <c r="C11557" s="1" t="n">
        <v>45736</v>
      </c>
      <c r="D11557" t="inlineStr">
        <is>
          <t>VÄRMLANDS LÄN</t>
        </is>
      </c>
      <c r="E11557" t="inlineStr">
        <is>
          <t>HAGFORS</t>
        </is>
      </c>
      <c r="F11557" t="inlineStr">
        <is>
          <t>Bergvik skog väst AB</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44784-2023</t>
        </is>
      </c>
      <c r="B11558" s="1" t="n">
        <v>45190</v>
      </c>
      <c r="C11558" s="1" t="n">
        <v>45736</v>
      </c>
      <c r="D11558" t="inlineStr">
        <is>
          <t>VÄRMLANDS LÄN</t>
        </is>
      </c>
      <c r="E11558" t="inlineStr">
        <is>
          <t>SUNNE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44793-2023</t>
        </is>
      </c>
      <c r="B11559" s="1" t="n">
        <v>45190</v>
      </c>
      <c r="C11559" s="1" t="n">
        <v>45736</v>
      </c>
      <c r="D11559" t="inlineStr">
        <is>
          <t>VÄRMLANDS LÄN</t>
        </is>
      </c>
      <c r="E11559" t="inlineStr">
        <is>
          <t>ÅRJÄNG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44835-2023</t>
        </is>
      </c>
      <c r="B11560" s="1" t="n">
        <v>45190</v>
      </c>
      <c r="C11560" s="1" t="n">
        <v>45736</v>
      </c>
      <c r="D11560" t="inlineStr">
        <is>
          <t>VÄRMLANDS LÄN</t>
        </is>
      </c>
      <c r="E11560" t="inlineStr">
        <is>
          <t>HAGFORS</t>
        </is>
      </c>
      <c r="F11560" t="inlineStr">
        <is>
          <t>Bergvik skog väst AB</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44908-2023</t>
        </is>
      </c>
      <c r="B11561" s="1" t="n">
        <v>45190</v>
      </c>
      <c r="C11561" s="1" t="n">
        <v>45736</v>
      </c>
      <c r="D11561" t="inlineStr">
        <is>
          <t>VÄRMLANDS LÄN</t>
        </is>
      </c>
      <c r="E11561" t="inlineStr">
        <is>
          <t>KRISTINEHAMN</t>
        </is>
      </c>
      <c r="F11561" t="inlineStr">
        <is>
          <t>Sveaskog</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45081-2023</t>
        </is>
      </c>
      <c r="B11562" s="1" t="n">
        <v>45191</v>
      </c>
      <c r="C11562" s="1" t="n">
        <v>45736</v>
      </c>
      <c r="D11562" t="inlineStr">
        <is>
          <t>VÄRMLANDS LÄN</t>
        </is>
      </c>
      <c r="E11562" t="inlineStr">
        <is>
          <t>ARVIKA</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45086-2023</t>
        </is>
      </c>
      <c r="B11563" s="1" t="n">
        <v>45191</v>
      </c>
      <c r="C11563" s="1" t="n">
        <v>45736</v>
      </c>
      <c r="D11563" t="inlineStr">
        <is>
          <t>VÄRMLANDS LÄN</t>
        </is>
      </c>
      <c r="E11563" t="inlineStr">
        <is>
          <t>EDA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45134-2023</t>
        </is>
      </c>
      <c r="B11564" s="1" t="n">
        <v>45191</v>
      </c>
      <c r="C11564" s="1" t="n">
        <v>45736</v>
      </c>
      <c r="D11564" t="inlineStr">
        <is>
          <t>VÄRMLANDS LÄN</t>
        </is>
      </c>
      <c r="E11564" t="inlineStr">
        <is>
          <t>ÅRJÄNG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45146-2023</t>
        </is>
      </c>
      <c r="B11565" s="1" t="n">
        <v>45191</v>
      </c>
      <c r="C11565" s="1" t="n">
        <v>45736</v>
      </c>
      <c r="D11565" t="inlineStr">
        <is>
          <t>VÄRMLANDS LÄN</t>
        </is>
      </c>
      <c r="E11565" t="inlineStr">
        <is>
          <t>STORFORS</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45154-2023</t>
        </is>
      </c>
      <c r="B11566" s="1" t="n">
        <v>45191</v>
      </c>
      <c r="C11566" s="1" t="n">
        <v>45736</v>
      </c>
      <c r="D11566" t="inlineStr">
        <is>
          <t>VÄRMLANDS LÄN</t>
        </is>
      </c>
      <c r="E11566" t="inlineStr">
        <is>
          <t>STORFORS</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45163-2023</t>
        </is>
      </c>
      <c r="B11567" s="1" t="n">
        <v>45191</v>
      </c>
      <c r="C11567" s="1" t="n">
        <v>45736</v>
      </c>
      <c r="D11567" t="inlineStr">
        <is>
          <t>VÄRMLANDS LÄN</t>
        </is>
      </c>
      <c r="E11567" t="inlineStr">
        <is>
          <t>SÄFFLE</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45167-2023</t>
        </is>
      </c>
      <c r="B11568" s="1" t="n">
        <v>45191</v>
      </c>
      <c r="C11568" s="1" t="n">
        <v>45736</v>
      </c>
      <c r="D11568" t="inlineStr">
        <is>
          <t>VÄRMLANDS LÄN</t>
        </is>
      </c>
      <c r="E11568" t="inlineStr">
        <is>
          <t>SÄFFLE</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45206-2023</t>
        </is>
      </c>
      <c r="B11569" s="1" t="n">
        <v>45191</v>
      </c>
      <c r="C11569" s="1" t="n">
        <v>45736</v>
      </c>
      <c r="D11569" t="inlineStr">
        <is>
          <t>VÄRMLANDS LÄN</t>
        </is>
      </c>
      <c r="E11569" t="inlineStr">
        <is>
          <t>SUNNE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45224-2023</t>
        </is>
      </c>
      <c r="B11570" s="1" t="n">
        <v>45191</v>
      </c>
      <c r="C11570" s="1" t="n">
        <v>45736</v>
      </c>
      <c r="D11570" t="inlineStr">
        <is>
          <t>VÄRMLANDS LÄN</t>
        </is>
      </c>
      <c r="E11570" t="inlineStr">
        <is>
          <t>TORSBY</t>
        </is>
      </c>
      <c r="F11570" t="inlineStr">
        <is>
          <t>Bergvik skog väst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45233-2023</t>
        </is>
      </c>
      <c r="B11571" s="1" t="n">
        <v>45191</v>
      </c>
      <c r="C11571" s="1" t="n">
        <v>45736</v>
      </c>
      <c r="D11571" t="inlineStr">
        <is>
          <t>VÄRMLANDS LÄN</t>
        </is>
      </c>
      <c r="E11571" t="inlineStr">
        <is>
          <t>SÄFFLE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45063-2023</t>
        </is>
      </c>
      <c r="B11572" s="1" t="n">
        <v>45191</v>
      </c>
      <c r="C11572" s="1" t="n">
        <v>45736</v>
      </c>
      <c r="D11572" t="inlineStr">
        <is>
          <t>VÄRMLANDS LÄN</t>
        </is>
      </c>
      <c r="E11572" t="inlineStr">
        <is>
          <t>ARVIKA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45041-2023</t>
        </is>
      </c>
      <c r="B11573" s="1" t="n">
        <v>45191</v>
      </c>
      <c r="C11573" s="1" t="n">
        <v>45736</v>
      </c>
      <c r="D11573" t="inlineStr">
        <is>
          <t>VÄRMLANDS LÄN</t>
        </is>
      </c>
      <c r="E11573" t="inlineStr">
        <is>
          <t>TORSBY</t>
        </is>
      </c>
      <c r="F11573" t="inlineStr">
        <is>
          <t>Kyrkan</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45069-2023</t>
        </is>
      </c>
      <c r="B11574" s="1" t="n">
        <v>45191</v>
      </c>
      <c r="C11574" s="1" t="n">
        <v>45736</v>
      </c>
      <c r="D11574" t="inlineStr">
        <is>
          <t>VÄRMLANDS LÄN</t>
        </is>
      </c>
      <c r="E11574" t="inlineStr">
        <is>
          <t>ARVIKA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45132-2023</t>
        </is>
      </c>
      <c r="B11575" s="1" t="n">
        <v>45191</v>
      </c>
      <c r="C11575" s="1" t="n">
        <v>45736</v>
      </c>
      <c r="D11575" t="inlineStr">
        <is>
          <t>VÄRMLANDS LÄN</t>
        </is>
      </c>
      <c r="E11575" t="inlineStr">
        <is>
          <t>ARVIKA</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45104-2023</t>
        </is>
      </c>
      <c r="B11576" s="1" t="n">
        <v>45191</v>
      </c>
      <c r="C11576" s="1" t="n">
        <v>45736</v>
      </c>
      <c r="D11576" t="inlineStr">
        <is>
          <t>VÄRMLANDS LÄN</t>
        </is>
      </c>
      <c r="E11576" t="inlineStr">
        <is>
          <t>HAGFORS</t>
        </is>
      </c>
      <c r="F11576" t="inlineStr">
        <is>
          <t>Bergvik skog väst AB</t>
        </is>
      </c>
      <c r="G11576" t="n">
        <v>6.6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45152-2023</t>
        </is>
      </c>
      <c r="B11577" s="1" t="n">
        <v>45191</v>
      </c>
      <c r="C11577" s="1" t="n">
        <v>45736</v>
      </c>
      <c r="D11577" t="inlineStr">
        <is>
          <t>VÄRMLANDS LÄN</t>
        </is>
      </c>
      <c r="E11577" t="inlineStr">
        <is>
          <t>TORSBY</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45165-2023</t>
        </is>
      </c>
      <c r="B11578" s="1" t="n">
        <v>45191</v>
      </c>
      <c r="C11578" s="1" t="n">
        <v>45736</v>
      </c>
      <c r="D11578" t="inlineStr">
        <is>
          <t>VÄRMLANDS LÄN</t>
        </is>
      </c>
      <c r="E11578" t="inlineStr">
        <is>
          <t>SÄFFLE</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45169-2023</t>
        </is>
      </c>
      <c r="B11579" s="1" t="n">
        <v>45191</v>
      </c>
      <c r="C11579" s="1" t="n">
        <v>45736</v>
      </c>
      <c r="D11579" t="inlineStr">
        <is>
          <t>VÄRMLANDS LÄN</t>
        </is>
      </c>
      <c r="E11579" t="inlineStr">
        <is>
          <t>TORSBY</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45177-2023</t>
        </is>
      </c>
      <c r="B11580" s="1" t="n">
        <v>45191</v>
      </c>
      <c r="C11580" s="1" t="n">
        <v>45736</v>
      </c>
      <c r="D11580" t="inlineStr">
        <is>
          <t>VÄRMLANDS LÄN</t>
        </is>
      </c>
      <c r="E11580" t="inlineStr">
        <is>
          <t>HAGFORS</t>
        </is>
      </c>
      <c r="F11580" t="inlineStr">
        <is>
          <t>Bergvik skog väst AB</t>
        </is>
      </c>
      <c r="G11580" t="n">
        <v>7.6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45147-2023</t>
        </is>
      </c>
      <c r="B11581" s="1" t="n">
        <v>45191</v>
      </c>
      <c r="C11581" s="1" t="n">
        <v>45736</v>
      </c>
      <c r="D11581" t="inlineStr">
        <is>
          <t>VÄRMLANDS LÄN</t>
        </is>
      </c>
      <c r="E11581" t="inlineStr">
        <is>
          <t>EDA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45180-2023</t>
        </is>
      </c>
      <c r="B11582" s="1" t="n">
        <v>45191</v>
      </c>
      <c r="C11582" s="1" t="n">
        <v>45736</v>
      </c>
      <c r="D11582" t="inlineStr">
        <is>
          <t>VÄRMLANDS LÄN</t>
        </is>
      </c>
      <c r="E11582" t="inlineStr">
        <is>
          <t>SUNNE</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45231-2023</t>
        </is>
      </c>
      <c r="B11583" s="1" t="n">
        <v>45191</v>
      </c>
      <c r="C11583" s="1" t="n">
        <v>45736</v>
      </c>
      <c r="D11583" t="inlineStr">
        <is>
          <t>VÄRMLANDS LÄN</t>
        </is>
      </c>
      <c r="E11583" t="inlineStr">
        <is>
          <t>TORSBY</t>
        </is>
      </c>
      <c r="F11583" t="inlineStr">
        <is>
          <t>Bergvik skog väst AB</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45236-2023</t>
        </is>
      </c>
      <c r="B11584" s="1" t="n">
        <v>45191</v>
      </c>
      <c r="C11584" s="1" t="n">
        <v>45736</v>
      </c>
      <c r="D11584" t="inlineStr">
        <is>
          <t>VÄRMLANDS LÄN</t>
        </is>
      </c>
      <c r="E11584" t="inlineStr">
        <is>
          <t>SÄFFLE</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45282-2023</t>
        </is>
      </c>
      <c r="B11585" s="1" t="n">
        <v>45191</v>
      </c>
      <c r="C11585" s="1" t="n">
        <v>45736</v>
      </c>
      <c r="D11585" t="inlineStr">
        <is>
          <t>VÄRMLANDS LÄN</t>
        </is>
      </c>
      <c r="E11585" t="inlineStr">
        <is>
          <t>HAGFORS</t>
        </is>
      </c>
      <c r="F11585" t="inlineStr">
        <is>
          <t>Bergvik skog väst AB</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45297-2023</t>
        </is>
      </c>
      <c r="B11586" s="1" t="n">
        <v>45191</v>
      </c>
      <c r="C11586" s="1" t="n">
        <v>45736</v>
      </c>
      <c r="D11586" t="inlineStr">
        <is>
          <t>VÄRMLANDS LÄN</t>
        </is>
      </c>
      <c r="E11586" t="inlineStr">
        <is>
          <t>ARVIKA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45296-2023</t>
        </is>
      </c>
      <c r="B11587" s="1" t="n">
        <v>45191</v>
      </c>
      <c r="C11587" s="1" t="n">
        <v>45736</v>
      </c>
      <c r="D11587" t="inlineStr">
        <is>
          <t>VÄRMLANDS LÄN</t>
        </is>
      </c>
      <c r="E11587" t="inlineStr">
        <is>
          <t>ARVIKA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45300-2023</t>
        </is>
      </c>
      <c r="B11588" s="1" t="n">
        <v>45191</v>
      </c>
      <c r="C11588" s="1" t="n">
        <v>45736</v>
      </c>
      <c r="D11588" t="inlineStr">
        <is>
          <t>VÄRMLANDS LÄN</t>
        </is>
      </c>
      <c r="E11588" t="inlineStr">
        <is>
          <t>ARVIKA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45304-2023</t>
        </is>
      </c>
      <c r="B11589" s="1" t="n">
        <v>45191</v>
      </c>
      <c r="C11589" s="1" t="n">
        <v>45736</v>
      </c>
      <c r="D11589" t="inlineStr">
        <is>
          <t>VÄRMLANDS LÄN</t>
        </is>
      </c>
      <c r="E11589" t="inlineStr">
        <is>
          <t>SUNNE</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46333-2023</t>
        </is>
      </c>
      <c r="B11590" s="1" t="n">
        <v>45191</v>
      </c>
      <c r="C11590" s="1" t="n">
        <v>45736</v>
      </c>
      <c r="D11590" t="inlineStr">
        <is>
          <t>VÄRMLANDS LÄN</t>
        </is>
      </c>
      <c r="E11590" t="inlineStr">
        <is>
          <t>KRISTINEHAMN</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45178-2023</t>
        </is>
      </c>
      <c r="B11591" s="1" t="n">
        <v>45191</v>
      </c>
      <c r="C11591" s="1" t="n">
        <v>45736</v>
      </c>
      <c r="D11591" t="inlineStr">
        <is>
          <t>VÄRMLANDS LÄN</t>
        </is>
      </c>
      <c r="E11591" t="inlineStr">
        <is>
          <t>ARVIKA</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45228-2023</t>
        </is>
      </c>
      <c r="B11592" s="1" t="n">
        <v>45191</v>
      </c>
      <c r="C11592" s="1" t="n">
        <v>45736</v>
      </c>
      <c r="D11592" t="inlineStr">
        <is>
          <t>VÄRMLANDS LÄN</t>
        </is>
      </c>
      <c r="E11592" t="inlineStr">
        <is>
          <t>TORSBY</t>
        </is>
      </c>
      <c r="F11592" t="inlineStr">
        <is>
          <t>Bergvik skog väst AB</t>
        </is>
      </c>
      <c r="G11592" t="n">
        <v>26.8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45298-2023</t>
        </is>
      </c>
      <c r="B11593" s="1" t="n">
        <v>45191</v>
      </c>
      <c r="C11593" s="1" t="n">
        <v>45736</v>
      </c>
      <c r="D11593" t="inlineStr">
        <is>
          <t>VÄRMLANDS LÄN</t>
        </is>
      </c>
      <c r="E11593" t="inlineStr">
        <is>
          <t>ARVIKA</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45355-2023</t>
        </is>
      </c>
      <c r="B11594" s="1" t="n">
        <v>45192</v>
      </c>
      <c r="C11594" s="1" t="n">
        <v>45736</v>
      </c>
      <c r="D11594" t="inlineStr">
        <is>
          <t>VÄRMLANDS LÄN</t>
        </is>
      </c>
      <c r="E11594" t="inlineStr">
        <is>
          <t>EDA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45389-2023</t>
        </is>
      </c>
      <c r="B11595" s="1" t="n">
        <v>45193</v>
      </c>
      <c r="C11595" s="1" t="n">
        <v>45736</v>
      </c>
      <c r="D11595" t="inlineStr">
        <is>
          <t>VÄRMLANDS LÄN</t>
        </is>
      </c>
      <c r="E11595" t="inlineStr">
        <is>
          <t>ÅRJÄNG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45404-2023</t>
        </is>
      </c>
      <c r="B11596" s="1" t="n">
        <v>45194</v>
      </c>
      <c r="C11596" s="1" t="n">
        <v>45736</v>
      </c>
      <c r="D11596" t="inlineStr">
        <is>
          <t>VÄRMLANDS LÄN</t>
        </is>
      </c>
      <c r="E11596" t="inlineStr">
        <is>
          <t>EDA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45599-2023</t>
        </is>
      </c>
      <c r="B11597" s="1" t="n">
        <v>45194</v>
      </c>
      <c r="C11597" s="1" t="n">
        <v>45736</v>
      </c>
      <c r="D11597" t="inlineStr">
        <is>
          <t>VÄRMLANDS LÄN</t>
        </is>
      </c>
      <c r="E11597" t="inlineStr">
        <is>
          <t>KIL</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45587-2023</t>
        </is>
      </c>
      <c r="B11598" s="1" t="n">
        <v>45194</v>
      </c>
      <c r="C11598" s="1" t="n">
        <v>45736</v>
      </c>
      <c r="D11598" t="inlineStr">
        <is>
          <t>VÄRMLANDS LÄN</t>
        </is>
      </c>
      <c r="E11598" t="inlineStr">
        <is>
          <t>TORSBY</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45605-2023</t>
        </is>
      </c>
      <c r="B11599" s="1" t="n">
        <v>45194</v>
      </c>
      <c r="C11599" s="1" t="n">
        <v>45736</v>
      </c>
      <c r="D11599" t="inlineStr">
        <is>
          <t>VÄRMLANDS LÄN</t>
        </is>
      </c>
      <c r="E11599" t="inlineStr">
        <is>
          <t>SUNNE</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45624-2023</t>
        </is>
      </c>
      <c r="B11600" s="1" t="n">
        <v>45194</v>
      </c>
      <c r="C11600" s="1" t="n">
        <v>45736</v>
      </c>
      <c r="D11600" t="inlineStr">
        <is>
          <t>VÄRMLANDS LÄN</t>
        </is>
      </c>
      <c r="E11600" t="inlineStr">
        <is>
          <t>SÄFFLE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45634-2023</t>
        </is>
      </c>
      <c r="B11601" s="1" t="n">
        <v>45194</v>
      </c>
      <c r="C11601" s="1" t="n">
        <v>45736</v>
      </c>
      <c r="D11601" t="inlineStr">
        <is>
          <t>VÄRMLANDS LÄN</t>
        </is>
      </c>
      <c r="E11601" t="inlineStr">
        <is>
          <t>ÅRJÄNG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45641-2023</t>
        </is>
      </c>
      <c r="B11602" s="1" t="n">
        <v>45194</v>
      </c>
      <c r="C11602" s="1" t="n">
        <v>45736</v>
      </c>
      <c r="D11602" t="inlineStr">
        <is>
          <t>VÄRMLANDS LÄN</t>
        </is>
      </c>
      <c r="E11602" t="inlineStr">
        <is>
          <t>ÅRJÄNG</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45647-2023</t>
        </is>
      </c>
      <c r="B11603" s="1" t="n">
        <v>45194</v>
      </c>
      <c r="C11603" s="1" t="n">
        <v>45736</v>
      </c>
      <c r="D11603" t="inlineStr">
        <is>
          <t>VÄRMLANDS LÄN</t>
        </is>
      </c>
      <c r="E11603" t="inlineStr">
        <is>
          <t>SÄFFLE</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45405-2023</t>
        </is>
      </c>
      <c r="B11604" s="1" t="n">
        <v>45194</v>
      </c>
      <c r="C11604" s="1" t="n">
        <v>45736</v>
      </c>
      <c r="D11604" t="inlineStr">
        <is>
          <t>VÄRMLANDS LÄN</t>
        </is>
      </c>
      <c r="E11604" t="inlineStr">
        <is>
          <t>ARVIKA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45579-2023</t>
        </is>
      </c>
      <c r="B11605" s="1" t="n">
        <v>45194</v>
      </c>
      <c r="C11605" s="1" t="n">
        <v>45736</v>
      </c>
      <c r="D11605" t="inlineStr">
        <is>
          <t>VÄRMLANDS LÄN</t>
        </is>
      </c>
      <c r="E11605" t="inlineStr">
        <is>
          <t>SUNNE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45597-2023</t>
        </is>
      </c>
      <c r="B11606" s="1" t="n">
        <v>45194</v>
      </c>
      <c r="C11606" s="1" t="n">
        <v>45736</v>
      </c>
      <c r="D11606" t="inlineStr">
        <is>
          <t>VÄRMLANDS LÄN</t>
        </is>
      </c>
      <c r="E11606" t="inlineStr">
        <is>
          <t>SUNNE</t>
        </is>
      </c>
      <c r="F11606" t="inlineStr">
        <is>
          <t>Bergvik skog väst AB</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45643-2023</t>
        </is>
      </c>
      <c r="B11607" s="1" t="n">
        <v>45194</v>
      </c>
      <c r="C11607" s="1" t="n">
        <v>45736</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45649-2023</t>
        </is>
      </c>
      <c r="B11608" s="1" t="n">
        <v>45194</v>
      </c>
      <c r="C11608" s="1" t="n">
        <v>45736</v>
      </c>
      <c r="D11608" t="inlineStr">
        <is>
          <t>VÄRMLANDS LÄN</t>
        </is>
      </c>
      <c r="E11608" t="inlineStr">
        <is>
          <t>SÄFFLE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45399-2023</t>
        </is>
      </c>
      <c r="B11609" s="1" t="n">
        <v>45194</v>
      </c>
      <c r="C11609" s="1" t="n">
        <v>45736</v>
      </c>
      <c r="D11609" t="inlineStr">
        <is>
          <t>VÄRMLANDS LÄN</t>
        </is>
      </c>
      <c r="E11609" t="inlineStr">
        <is>
          <t>TORSBY</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45403-2023</t>
        </is>
      </c>
      <c r="B11610" s="1" t="n">
        <v>45194</v>
      </c>
      <c r="C11610" s="1" t="n">
        <v>45736</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45665-2023</t>
        </is>
      </c>
      <c r="B11611" s="1" t="n">
        <v>45194</v>
      </c>
      <c r="C11611" s="1" t="n">
        <v>45736</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45520-2023</t>
        </is>
      </c>
      <c r="B11612" s="1" t="n">
        <v>45194</v>
      </c>
      <c r="C11612" s="1" t="n">
        <v>45736</v>
      </c>
      <c r="D11612" t="inlineStr">
        <is>
          <t>VÄRMLANDS LÄN</t>
        </is>
      </c>
      <c r="E11612" t="inlineStr">
        <is>
          <t>ARVIKA</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45553-2023</t>
        </is>
      </c>
      <c r="B11613" s="1" t="n">
        <v>45194</v>
      </c>
      <c r="C11613" s="1" t="n">
        <v>45736</v>
      </c>
      <c r="D11613" t="inlineStr">
        <is>
          <t>VÄRMLANDS LÄN</t>
        </is>
      </c>
      <c r="E11613" t="inlineStr">
        <is>
          <t>ARVIKA</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45563-2023</t>
        </is>
      </c>
      <c r="B11614" s="1" t="n">
        <v>45194</v>
      </c>
      <c r="C11614" s="1" t="n">
        <v>45736</v>
      </c>
      <c r="D11614" t="inlineStr">
        <is>
          <t>VÄRMLANDS LÄN</t>
        </is>
      </c>
      <c r="E11614" t="inlineStr">
        <is>
          <t>TORSBY</t>
        </is>
      </c>
      <c r="F11614" t="inlineStr">
        <is>
          <t>Bergvik skog väst AB</t>
        </is>
      </c>
      <c r="G11614" t="n">
        <v>22.6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45591-2023</t>
        </is>
      </c>
      <c r="B11615" s="1" t="n">
        <v>45194</v>
      </c>
      <c r="C11615" s="1" t="n">
        <v>45736</v>
      </c>
      <c r="D11615" t="inlineStr">
        <is>
          <t>VÄRMLANDS LÄN</t>
        </is>
      </c>
      <c r="E11615" t="inlineStr">
        <is>
          <t>KIL</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45595-2023</t>
        </is>
      </c>
      <c r="B11616" s="1" t="n">
        <v>45194</v>
      </c>
      <c r="C11616" s="1" t="n">
        <v>45736</v>
      </c>
      <c r="D11616" t="inlineStr">
        <is>
          <t>VÄRMLANDS LÄN</t>
        </is>
      </c>
      <c r="E11616" t="inlineStr">
        <is>
          <t>SÄFFLE</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46342-2023</t>
        </is>
      </c>
      <c r="B11617" s="1" t="n">
        <v>45194</v>
      </c>
      <c r="C11617" s="1" t="n">
        <v>45736</v>
      </c>
      <c r="D11617" t="inlineStr">
        <is>
          <t>VÄRMLANDS LÄN</t>
        </is>
      </c>
      <c r="E11617" t="inlineStr">
        <is>
          <t>SUNNE</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45870-2023</t>
        </is>
      </c>
      <c r="B11618" s="1" t="n">
        <v>45195</v>
      </c>
      <c r="C11618" s="1" t="n">
        <v>45736</v>
      </c>
      <c r="D11618" t="inlineStr">
        <is>
          <t>VÄRMLANDS LÄN</t>
        </is>
      </c>
      <c r="E11618" t="inlineStr">
        <is>
          <t>HAGFORS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45886-2023</t>
        </is>
      </c>
      <c r="B11619" s="1" t="n">
        <v>45195</v>
      </c>
      <c r="C11619" s="1" t="n">
        <v>45736</v>
      </c>
      <c r="D11619" t="inlineStr">
        <is>
          <t>VÄRMLANDS LÄN</t>
        </is>
      </c>
      <c r="E11619" t="inlineStr">
        <is>
          <t>EDA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45765-2023</t>
        </is>
      </c>
      <c r="B11620" s="1" t="n">
        <v>45195</v>
      </c>
      <c r="C11620" s="1" t="n">
        <v>45736</v>
      </c>
      <c r="D11620" t="inlineStr">
        <is>
          <t>VÄRMLANDS LÄN</t>
        </is>
      </c>
      <c r="E11620" t="inlineStr">
        <is>
          <t>TORSBY</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46663-2023</t>
        </is>
      </c>
      <c r="B11621" s="1" t="n">
        <v>45195</v>
      </c>
      <c r="C11621" s="1" t="n">
        <v>45736</v>
      </c>
      <c r="D11621" t="inlineStr">
        <is>
          <t>VÄRMLANDS LÄN</t>
        </is>
      </c>
      <c r="E11621" t="inlineStr">
        <is>
          <t>ÅRJÄNG</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45872-2023</t>
        </is>
      </c>
      <c r="B11622" s="1" t="n">
        <v>45195</v>
      </c>
      <c r="C11622" s="1" t="n">
        <v>45736</v>
      </c>
      <c r="D11622" t="inlineStr">
        <is>
          <t>VÄRMLANDS LÄN</t>
        </is>
      </c>
      <c r="E11622" t="inlineStr">
        <is>
          <t>TORSBY</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45880-2023</t>
        </is>
      </c>
      <c r="B11623" s="1" t="n">
        <v>45195</v>
      </c>
      <c r="C11623" s="1" t="n">
        <v>45736</v>
      </c>
      <c r="D11623" t="inlineStr">
        <is>
          <t>VÄRMLANDS LÄN</t>
        </is>
      </c>
      <c r="E11623" t="inlineStr">
        <is>
          <t>EDA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45889-2023</t>
        </is>
      </c>
      <c r="B11624" s="1" t="n">
        <v>45195</v>
      </c>
      <c r="C11624" s="1" t="n">
        <v>45736</v>
      </c>
      <c r="D11624" t="inlineStr">
        <is>
          <t>VÄRMLANDS LÄN</t>
        </is>
      </c>
      <c r="E11624" t="inlineStr">
        <is>
          <t>ÅRJÄNG</t>
        </is>
      </c>
      <c r="G11624" t="n">
        <v>14.5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45920-2023</t>
        </is>
      </c>
      <c r="B11625" s="1" t="n">
        <v>45195</v>
      </c>
      <c r="C11625" s="1" t="n">
        <v>45736</v>
      </c>
      <c r="D11625" t="inlineStr">
        <is>
          <t>VÄRMLANDS LÄN</t>
        </is>
      </c>
      <c r="E11625" t="inlineStr">
        <is>
          <t>MUNKFORS</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46978-2023</t>
        </is>
      </c>
      <c r="B11626" s="1" t="n">
        <v>45195</v>
      </c>
      <c r="C11626" s="1" t="n">
        <v>45736</v>
      </c>
      <c r="D11626" t="inlineStr">
        <is>
          <t>VÄRMLANDS LÄN</t>
        </is>
      </c>
      <c r="E11626" t="inlineStr">
        <is>
          <t>FILIPSTAD</t>
        </is>
      </c>
      <c r="F11626" t="inlineStr">
        <is>
          <t>Bergvik skog väst AB</t>
        </is>
      </c>
      <c r="G11626" t="n">
        <v>11.2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45712-2023</t>
        </is>
      </c>
      <c r="B11627" s="1" t="n">
        <v>45195</v>
      </c>
      <c r="C11627" s="1" t="n">
        <v>45736</v>
      </c>
      <c r="D11627" t="inlineStr">
        <is>
          <t>VÄRMLANDS LÄN</t>
        </is>
      </c>
      <c r="E11627" t="inlineStr">
        <is>
          <t>HAGFORS</t>
        </is>
      </c>
      <c r="F11627" t="inlineStr">
        <is>
          <t>Bergvik skog väst AB</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45775-2023</t>
        </is>
      </c>
      <c r="B11628" s="1" t="n">
        <v>45195</v>
      </c>
      <c r="C11628" s="1" t="n">
        <v>45736</v>
      </c>
      <c r="D11628" t="inlineStr">
        <is>
          <t>VÄRMLANDS LÄN</t>
        </is>
      </c>
      <c r="E11628" t="inlineStr">
        <is>
          <t>TORSBY</t>
        </is>
      </c>
      <c r="F11628" t="inlineStr">
        <is>
          <t>Bergvik skog väst AB</t>
        </is>
      </c>
      <c r="G11628" t="n">
        <v>34.2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45851-2023</t>
        </is>
      </c>
      <c r="B11629" s="1" t="n">
        <v>45195</v>
      </c>
      <c r="C11629" s="1" t="n">
        <v>45736</v>
      </c>
      <c r="D11629" t="inlineStr">
        <is>
          <t>VÄRMLANDS LÄN</t>
        </is>
      </c>
      <c r="E11629" t="inlineStr">
        <is>
          <t>HAGFORS</t>
        </is>
      </c>
      <c r="F11629" t="inlineStr">
        <is>
          <t>Bergvik skog väst AB</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45915-2023</t>
        </is>
      </c>
      <c r="B11630" s="1" t="n">
        <v>45195</v>
      </c>
      <c r="C11630" s="1" t="n">
        <v>45736</v>
      </c>
      <c r="D11630" t="inlineStr">
        <is>
          <t>VÄRMLANDS LÄN</t>
        </is>
      </c>
      <c r="E11630" t="inlineStr">
        <is>
          <t>GRUMS</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48908-2023</t>
        </is>
      </c>
      <c r="B11631" s="1" t="n">
        <v>45195</v>
      </c>
      <c r="C11631" s="1" t="n">
        <v>45736</v>
      </c>
      <c r="D11631" t="inlineStr">
        <is>
          <t>VÄRMLANDS LÄN</t>
        </is>
      </c>
      <c r="E11631" t="inlineStr">
        <is>
          <t>FILIPSTAD</t>
        </is>
      </c>
      <c r="F11631" t="inlineStr">
        <is>
          <t>Bergvik skog väst AB</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46003-2023</t>
        </is>
      </c>
      <c r="B11632" s="1" t="n">
        <v>45196</v>
      </c>
      <c r="C11632" s="1" t="n">
        <v>45736</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46042-2023</t>
        </is>
      </c>
      <c r="B11633" s="1" t="n">
        <v>45196</v>
      </c>
      <c r="C11633" s="1" t="n">
        <v>45736</v>
      </c>
      <c r="D11633" t="inlineStr">
        <is>
          <t>VÄRMLANDS LÄN</t>
        </is>
      </c>
      <c r="E11633" t="inlineStr">
        <is>
          <t>SUNNE</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46048-2023</t>
        </is>
      </c>
      <c r="B11634" s="1" t="n">
        <v>45196</v>
      </c>
      <c r="C11634" s="1" t="n">
        <v>45736</v>
      </c>
      <c r="D11634" t="inlineStr">
        <is>
          <t>VÄRMLANDS LÄN</t>
        </is>
      </c>
      <c r="E11634" t="inlineStr">
        <is>
          <t>TORSBY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46058-2023</t>
        </is>
      </c>
      <c r="B11635" s="1" t="n">
        <v>45196</v>
      </c>
      <c r="C11635" s="1" t="n">
        <v>45736</v>
      </c>
      <c r="D11635" t="inlineStr">
        <is>
          <t>VÄRMLANDS LÄN</t>
        </is>
      </c>
      <c r="E11635" t="inlineStr">
        <is>
          <t>SUNNE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46073-2023</t>
        </is>
      </c>
      <c r="B11636" s="1" t="n">
        <v>45196</v>
      </c>
      <c r="C11636" s="1" t="n">
        <v>45736</v>
      </c>
      <c r="D11636" t="inlineStr">
        <is>
          <t>VÄRMLANDS LÄN</t>
        </is>
      </c>
      <c r="E11636" t="inlineStr">
        <is>
          <t>SUNNE</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46098-2023</t>
        </is>
      </c>
      <c r="B11637" s="1" t="n">
        <v>45196</v>
      </c>
      <c r="C11637" s="1" t="n">
        <v>45736</v>
      </c>
      <c r="D11637" t="inlineStr">
        <is>
          <t>VÄRMLANDS LÄN</t>
        </is>
      </c>
      <c r="E11637" t="inlineStr">
        <is>
          <t>KARLSTAD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46109-2023</t>
        </is>
      </c>
      <c r="B11638" s="1" t="n">
        <v>45196</v>
      </c>
      <c r="C11638" s="1" t="n">
        <v>45736</v>
      </c>
      <c r="D11638" t="inlineStr">
        <is>
          <t>VÄRMLANDS LÄN</t>
        </is>
      </c>
      <c r="E11638" t="inlineStr">
        <is>
          <t>HAGFORS</t>
        </is>
      </c>
      <c r="F11638" t="inlineStr">
        <is>
          <t>Bergvik skog väst AB</t>
        </is>
      </c>
      <c r="G11638" t="n">
        <v>12.8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46138-2023</t>
        </is>
      </c>
      <c r="B11639" s="1" t="n">
        <v>45196</v>
      </c>
      <c r="C11639" s="1" t="n">
        <v>45736</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46149-2023</t>
        </is>
      </c>
      <c r="B11640" s="1" t="n">
        <v>45196</v>
      </c>
      <c r="C11640" s="1" t="n">
        <v>45736</v>
      </c>
      <c r="D11640" t="inlineStr">
        <is>
          <t>VÄRMLANDS LÄN</t>
        </is>
      </c>
      <c r="E11640" t="inlineStr">
        <is>
          <t>MUNKFORS</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45987-2023</t>
        </is>
      </c>
      <c r="B11641" s="1" t="n">
        <v>45196</v>
      </c>
      <c r="C11641" s="1" t="n">
        <v>45736</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46001-2023</t>
        </is>
      </c>
      <c r="B11642" s="1" t="n">
        <v>45196</v>
      </c>
      <c r="C11642" s="1" t="n">
        <v>45736</v>
      </c>
      <c r="D11642" t="inlineStr">
        <is>
          <t>VÄRMLANDS LÄN</t>
        </is>
      </c>
      <c r="E11642" t="inlineStr">
        <is>
          <t>TORSBY</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46202-2023</t>
        </is>
      </c>
      <c r="B11643" s="1" t="n">
        <v>45196</v>
      </c>
      <c r="C11643" s="1" t="n">
        <v>45736</v>
      </c>
      <c r="D11643" t="inlineStr">
        <is>
          <t>VÄRMLANDS LÄN</t>
        </is>
      </c>
      <c r="E11643" t="inlineStr">
        <is>
          <t>TORSBY</t>
        </is>
      </c>
      <c r="F11643" t="inlineStr">
        <is>
          <t>Bergvik skog väst AB</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46233-2023</t>
        </is>
      </c>
      <c r="B11644" s="1" t="n">
        <v>45196</v>
      </c>
      <c r="C11644" s="1" t="n">
        <v>45736</v>
      </c>
      <c r="D11644" t="inlineStr">
        <is>
          <t>VÄRMLANDS LÄN</t>
        </is>
      </c>
      <c r="E11644" t="inlineStr">
        <is>
          <t>TORSBY</t>
        </is>
      </c>
      <c r="F11644" t="inlineStr">
        <is>
          <t>Kyrkan</t>
        </is>
      </c>
      <c r="G11644" t="n">
        <v>8.800000000000001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45992-2023</t>
        </is>
      </c>
      <c r="B11645" s="1" t="n">
        <v>45196</v>
      </c>
      <c r="C11645" s="1" t="n">
        <v>45736</v>
      </c>
      <c r="D11645" t="inlineStr">
        <is>
          <t>VÄRMLANDS LÄN</t>
        </is>
      </c>
      <c r="E11645" t="inlineStr">
        <is>
          <t>SUNNE</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46002-2023</t>
        </is>
      </c>
      <c r="B11646" s="1" t="n">
        <v>45196</v>
      </c>
      <c r="C11646" s="1" t="n">
        <v>45736</v>
      </c>
      <c r="D11646" t="inlineStr">
        <is>
          <t>VÄRMLANDS LÄN</t>
        </is>
      </c>
      <c r="E11646" t="inlineStr">
        <is>
          <t>ARVIKA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46019-2023</t>
        </is>
      </c>
      <c r="B11647" s="1" t="n">
        <v>45196</v>
      </c>
      <c r="C11647" s="1" t="n">
        <v>45736</v>
      </c>
      <c r="D11647" t="inlineStr">
        <is>
          <t>VÄRMLANDS LÄN</t>
        </is>
      </c>
      <c r="E11647" t="inlineStr">
        <is>
          <t>KARLSTAD</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46071-2023</t>
        </is>
      </c>
      <c r="B11648" s="1" t="n">
        <v>45196</v>
      </c>
      <c r="C11648" s="1" t="n">
        <v>45736</v>
      </c>
      <c r="D11648" t="inlineStr">
        <is>
          <t>VÄRMLANDS LÄN</t>
        </is>
      </c>
      <c r="E11648" t="inlineStr">
        <is>
          <t>SUNNE</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46097-2023</t>
        </is>
      </c>
      <c r="B11649" s="1" t="n">
        <v>45196</v>
      </c>
      <c r="C11649" s="1" t="n">
        <v>45736</v>
      </c>
      <c r="D11649" t="inlineStr">
        <is>
          <t>VÄRMLANDS LÄN</t>
        </is>
      </c>
      <c r="E11649" t="inlineStr">
        <is>
          <t>KARLSTAD</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46102-2023</t>
        </is>
      </c>
      <c r="B11650" s="1" t="n">
        <v>45196</v>
      </c>
      <c r="C11650" s="1" t="n">
        <v>45736</v>
      </c>
      <c r="D11650" t="inlineStr">
        <is>
          <t>VÄRMLANDS LÄN</t>
        </is>
      </c>
      <c r="E11650" t="inlineStr">
        <is>
          <t>SUNNE</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46108-2023</t>
        </is>
      </c>
      <c r="B11651" s="1" t="n">
        <v>45196</v>
      </c>
      <c r="C11651" s="1" t="n">
        <v>45736</v>
      </c>
      <c r="D11651" t="inlineStr">
        <is>
          <t>VÄRMLANDS LÄN</t>
        </is>
      </c>
      <c r="E11651" t="inlineStr">
        <is>
          <t>ARVIKA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46112-2023</t>
        </is>
      </c>
      <c r="B11652" s="1" t="n">
        <v>45196</v>
      </c>
      <c r="C11652" s="1" t="n">
        <v>45736</v>
      </c>
      <c r="D11652" t="inlineStr">
        <is>
          <t>VÄRMLANDS LÄN</t>
        </is>
      </c>
      <c r="E11652" t="inlineStr">
        <is>
          <t>SUNNE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46127-2023</t>
        </is>
      </c>
      <c r="B11653" s="1" t="n">
        <v>45196</v>
      </c>
      <c r="C11653" s="1" t="n">
        <v>45736</v>
      </c>
      <c r="D11653" t="inlineStr">
        <is>
          <t>VÄRMLANDS LÄN</t>
        </is>
      </c>
      <c r="E11653" t="inlineStr">
        <is>
          <t>TORSBY</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46147-2023</t>
        </is>
      </c>
      <c r="B11654" s="1" t="n">
        <v>45196</v>
      </c>
      <c r="C11654" s="1" t="n">
        <v>45736</v>
      </c>
      <c r="D11654" t="inlineStr">
        <is>
          <t>VÄRMLANDS LÄN</t>
        </is>
      </c>
      <c r="E11654" t="inlineStr">
        <is>
          <t>SUNNE</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46171-2023</t>
        </is>
      </c>
      <c r="B11655" s="1" t="n">
        <v>45196</v>
      </c>
      <c r="C11655" s="1" t="n">
        <v>45736</v>
      </c>
      <c r="D11655" t="inlineStr">
        <is>
          <t>VÄRMLANDS LÄN</t>
        </is>
      </c>
      <c r="E11655" t="inlineStr">
        <is>
          <t>ARVIKA</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46208-2023</t>
        </is>
      </c>
      <c r="B11656" s="1" t="n">
        <v>45196</v>
      </c>
      <c r="C11656" s="1" t="n">
        <v>45736</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46227-2023</t>
        </is>
      </c>
      <c r="B11657" s="1" t="n">
        <v>45196</v>
      </c>
      <c r="C11657" s="1" t="n">
        <v>45736</v>
      </c>
      <c r="D11657" t="inlineStr">
        <is>
          <t>VÄRMLANDS LÄN</t>
        </is>
      </c>
      <c r="E11657" t="inlineStr">
        <is>
          <t>EDA</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46249-2023</t>
        </is>
      </c>
      <c r="B11658" s="1" t="n">
        <v>45196</v>
      </c>
      <c r="C11658" s="1" t="n">
        <v>45736</v>
      </c>
      <c r="D11658" t="inlineStr">
        <is>
          <t>VÄRMLANDS LÄN</t>
        </is>
      </c>
      <c r="E11658" t="inlineStr">
        <is>
          <t>ÅRJÄNG</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46094-2023</t>
        </is>
      </c>
      <c r="B11659" s="1" t="n">
        <v>45196</v>
      </c>
      <c r="C11659" s="1" t="n">
        <v>45736</v>
      </c>
      <c r="D11659" t="inlineStr">
        <is>
          <t>VÄRMLANDS LÄN</t>
        </is>
      </c>
      <c r="E11659" t="inlineStr">
        <is>
          <t>ARVIKA</t>
        </is>
      </c>
      <c r="F11659" t="inlineStr">
        <is>
          <t>Bergvik skog väst AB</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46120-2023</t>
        </is>
      </c>
      <c r="B11660" s="1" t="n">
        <v>45196</v>
      </c>
      <c r="C11660" s="1" t="n">
        <v>45736</v>
      </c>
      <c r="D11660" t="inlineStr">
        <is>
          <t>VÄRMLANDS LÄN</t>
        </is>
      </c>
      <c r="E11660" t="inlineStr">
        <is>
          <t>SUNNE</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46151-2023</t>
        </is>
      </c>
      <c r="B11661" s="1" t="n">
        <v>45196</v>
      </c>
      <c r="C11661" s="1" t="n">
        <v>45736</v>
      </c>
      <c r="D11661" t="inlineStr">
        <is>
          <t>VÄRMLANDS LÄN</t>
        </is>
      </c>
      <c r="E11661" t="inlineStr">
        <is>
          <t>SUNNE</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46199-2023</t>
        </is>
      </c>
      <c r="B11662" s="1" t="n">
        <v>45196</v>
      </c>
      <c r="C11662" s="1" t="n">
        <v>45736</v>
      </c>
      <c r="D11662" t="inlineStr">
        <is>
          <t>VÄRMLANDS LÄN</t>
        </is>
      </c>
      <c r="E11662" t="inlineStr">
        <is>
          <t>TORSBY</t>
        </is>
      </c>
      <c r="F11662" t="inlineStr">
        <is>
          <t>Bergvik skog väst AB</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46220-2023</t>
        </is>
      </c>
      <c r="B11663" s="1" t="n">
        <v>45196</v>
      </c>
      <c r="C11663" s="1" t="n">
        <v>45736</v>
      </c>
      <c r="D11663" t="inlineStr">
        <is>
          <t>VÄRMLANDS LÄN</t>
        </is>
      </c>
      <c r="E11663" t="inlineStr">
        <is>
          <t>TORSBY</t>
        </is>
      </c>
      <c r="G11663" t="n">
        <v>7.4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47219-2023</t>
        </is>
      </c>
      <c r="B11664" s="1" t="n">
        <v>45196</v>
      </c>
      <c r="C11664" s="1" t="n">
        <v>45736</v>
      </c>
      <c r="D11664" t="inlineStr">
        <is>
          <t>VÄRMLANDS LÄN</t>
        </is>
      </c>
      <c r="E11664" t="inlineStr">
        <is>
          <t>SUNNE</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46079-2023</t>
        </is>
      </c>
      <c r="B11665" s="1" t="n">
        <v>45196</v>
      </c>
      <c r="C11665" s="1" t="n">
        <v>45736</v>
      </c>
      <c r="D11665" t="inlineStr">
        <is>
          <t>VÄRMLANDS LÄN</t>
        </is>
      </c>
      <c r="E11665" t="inlineStr">
        <is>
          <t>EDA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46096-2023</t>
        </is>
      </c>
      <c r="B11666" s="1" t="n">
        <v>45196</v>
      </c>
      <c r="C11666" s="1" t="n">
        <v>45736</v>
      </c>
      <c r="D11666" t="inlineStr">
        <is>
          <t>VÄRMLANDS LÄN</t>
        </is>
      </c>
      <c r="E11666" t="inlineStr">
        <is>
          <t>KARLSTAD</t>
        </is>
      </c>
      <c r="G11666" t="n">
        <v>7.2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46156-2023</t>
        </is>
      </c>
      <c r="B11667" s="1" t="n">
        <v>45196</v>
      </c>
      <c r="C11667" s="1" t="n">
        <v>45736</v>
      </c>
      <c r="D11667" t="inlineStr">
        <is>
          <t>VÄRMLANDS LÄN</t>
        </is>
      </c>
      <c r="E11667" t="inlineStr">
        <is>
          <t>TORSBY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46174-2023</t>
        </is>
      </c>
      <c r="B11668" s="1" t="n">
        <v>45196</v>
      </c>
      <c r="C11668" s="1" t="n">
        <v>45736</v>
      </c>
      <c r="D11668" t="inlineStr">
        <is>
          <t>VÄRMLANDS LÄN</t>
        </is>
      </c>
      <c r="E11668" t="inlineStr">
        <is>
          <t>SUNNE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46180-2023</t>
        </is>
      </c>
      <c r="B11669" s="1" t="n">
        <v>45196</v>
      </c>
      <c r="C11669" s="1" t="n">
        <v>45736</v>
      </c>
      <c r="D11669" t="inlineStr">
        <is>
          <t>VÄRMLANDS LÄN</t>
        </is>
      </c>
      <c r="E11669" t="inlineStr">
        <is>
          <t>TORSBY</t>
        </is>
      </c>
      <c r="F11669" t="inlineStr">
        <is>
          <t>Bergvik skog väst AB</t>
        </is>
      </c>
      <c r="G11669" t="n">
        <v>8.1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46195-2023</t>
        </is>
      </c>
      <c r="B11670" s="1" t="n">
        <v>45196</v>
      </c>
      <c r="C11670" s="1" t="n">
        <v>45736</v>
      </c>
      <c r="D11670" t="inlineStr">
        <is>
          <t>VÄRMLANDS LÄN</t>
        </is>
      </c>
      <c r="E11670" t="inlineStr">
        <is>
          <t>TORSBY</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46221-2023</t>
        </is>
      </c>
      <c r="B11671" s="1" t="n">
        <v>45196</v>
      </c>
      <c r="C11671" s="1" t="n">
        <v>45736</v>
      </c>
      <c r="D11671" t="inlineStr">
        <is>
          <t>VÄRMLANDS LÄN</t>
        </is>
      </c>
      <c r="E11671" t="inlineStr">
        <is>
          <t>TORSBY</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47227-2023</t>
        </is>
      </c>
      <c r="B11672" s="1" t="n">
        <v>45196</v>
      </c>
      <c r="C11672" s="1" t="n">
        <v>45736</v>
      </c>
      <c r="D11672" t="inlineStr">
        <is>
          <t>VÄRMLANDS LÄN</t>
        </is>
      </c>
      <c r="E11672" t="inlineStr">
        <is>
          <t>TORSBY</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47225-2023</t>
        </is>
      </c>
      <c r="B11673" s="1" t="n">
        <v>45196</v>
      </c>
      <c r="C11673" s="1" t="n">
        <v>45736</v>
      </c>
      <c r="D11673" t="inlineStr">
        <is>
          <t>VÄRMLANDS LÄN</t>
        </is>
      </c>
      <c r="E11673" t="inlineStr">
        <is>
          <t>SUNNE</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46293-2023</t>
        </is>
      </c>
      <c r="B11674" s="1" t="n">
        <v>45197</v>
      </c>
      <c r="C11674" s="1" t="n">
        <v>45736</v>
      </c>
      <c r="D11674" t="inlineStr">
        <is>
          <t>VÄRMLANDS LÄN</t>
        </is>
      </c>
      <c r="E11674" t="inlineStr">
        <is>
          <t>EDA</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46297-2023</t>
        </is>
      </c>
      <c r="B11675" s="1" t="n">
        <v>45197</v>
      </c>
      <c r="C11675" s="1" t="n">
        <v>45736</v>
      </c>
      <c r="D11675" t="inlineStr">
        <is>
          <t>VÄRMLANDS LÄN</t>
        </is>
      </c>
      <c r="E11675" t="inlineStr">
        <is>
          <t>EDA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46338-2023</t>
        </is>
      </c>
      <c r="B11676" s="1" t="n">
        <v>45197</v>
      </c>
      <c r="C11676" s="1" t="n">
        <v>45736</v>
      </c>
      <c r="D11676" t="inlineStr">
        <is>
          <t>VÄRMLANDS LÄN</t>
        </is>
      </c>
      <c r="E11676" t="inlineStr">
        <is>
          <t>EDA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46351-2023</t>
        </is>
      </c>
      <c r="B11677" s="1" t="n">
        <v>45197</v>
      </c>
      <c r="C11677" s="1" t="n">
        <v>45736</v>
      </c>
      <c r="D11677" t="inlineStr">
        <is>
          <t>VÄRMLANDS LÄN</t>
        </is>
      </c>
      <c r="E11677" t="inlineStr">
        <is>
          <t>ÅRJÄNG</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46376-2023</t>
        </is>
      </c>
      <c r="B11678" s="1" t="n">
        <v>45197</v>
      </c>
      <c r="C11678" s="1" t="n">
        <v>45736</v>
      </c>
      <c r="D11678" t="inlineStr">
        <is>
          <t>VÄRMLANDS LÄN</t>
        </is>
      </c>
      <c r="E11678" t="inlineStr">
        <is>
          <t>STORFORS</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46391-2023</t>
        </is>
      </c>
      <c r="B11679" s="1" t="n">
        <v>45197</v>
      </c>
      <c r="C11679" s="1" t="n">
        <v>45736</v>
      </c>
      <c r="D11679" t="inlineStr">
        <is>
          <t>VÄRMLANDS LÄN</t>
        </is>
      </c>
      <c r="E11679" t="inlineStr">
        <is>
          <t>SÄFFLE</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46419-2023</t>
        </is>
      </c>
      <c r="B11680" s="1" t="n">
        <v>45197</v>
      </c>
      <c r="C11680" s="1" t="n">
        <v>45736</v>
      </c>
      <c r="D11680" t="inlineStr">
        <is>
          <t>VÄRMLANDS LÄN</t>
        </is>
      </c>
      <c r="E11680" t="inlineStr">
        <is>
          <t>FILIPSTAD</t>
        </is>
      </c>
      <c r="F11680" t="inlineStr">
        <is>
          <t>Bergvik skog väst AB</t>
        </is>
      </c>
      <c r="G11680" t="n">
        <v>21.8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46441-2023</t>
        </is>
      </c>
      <c r="B11681" s="1" t="n">
        <v>45197</v>
      </c>
      <c r="C11681" s="1" t="n">
        <v>45736</v>
      </c>
      <c r="D11681" t="inlineStr">
        <is>
          <t>VÄRMLANDS LÄN</t>
        </is>
      </c>
      <c r="E11681" t="inlineStr">
        <is>
          <t>ÅRJÄNG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46424-2023</t>
        </is>
      </c>
      <c r="B11682" s="1" t="n">
        <v>45197</v>
      </c>
      <c r="C11682" s="1" t="n">
        <v>45736</v>
      </c>
      <c r="D11682" t="inlineStr">
        <is>
          <t>VÄRMLANDS LÄN</t>
        </is>
      </c>
      <c r="E11682" t="inlineStr">
        <is>
          <t>TORSBY</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46449-2023</t>
        </is>
      </c>
      <c r="B11683" s="1" t="n">
        <v>45197</v>
      </c>
      <c r="C11683" s="1" t="n">
        <v>45736</v>
      </c>
      <c r="D11683" t="inlineStr">
        <is>
          <t>VÄRMLANDS LÄN</t>
        </is>
      </c>
      <c r="E11683" t="inlineStr">
        <is>
          <t>TORSBY</t>
        </is>
      </c>
      <c r="F11683" t="inlineStr">
        <is>
          <t>Bergvik skog väst AB</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46475-2023</t>
        </is>
      </c>
      <c r="B11684" s="1" t="n">
        <v>45197</v>
      </c>
      <c r="C11684" s="1" t="n">
        <v>45736</v>
      </c>
      <c r="D11684" t="inlineStr">
        <is>
          <t>VÄRMLANDS LÄN</t>
        </is>
      </c>
      <c r="E11684" t="inlineStr">
        <is>
          <t>HAGFORS</t>
        </is>
      </c>
      <c r="F11684" t="inlineStr">
        <is>
          <t>Bergvik skog väst AB</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46491-2023</t>
        </is>
      </c>
      <c r="B11685" s="1" t="n">
        <v>45197</v>
      </c>
      <c r="C11685" s="1" t="n">
        <v>45736</v>
      </c>
      <c r="D11685" t="inlineStr">
        <is>
          <t>VÄRMLANDS LÄN</t>
        </is>
      </c>
      <c r="E11685" t="inlineStr">
        <is>
          <t>ÅRJÄNG</t>
        </is>
      </c>
      <c r="F11685" t="inlineStr">
        <is>
          <t>Bergvik skog väst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46512-2023</t>
        </is>
      </c>
      <c r="B11686" s="1" t="n">
        <v>45197</v>
      </c>
      <c r="C11686" s="1" t="n">
        <v>45736</v>
      </c>
      <c r="D11686" t="inlineStr">
        <is>
          <t>VÄRMLANDS LÄN</t>
        </is>
      </c>
      <c r="E11686" t="inlineStr">
        <is>
          <t>HAGFORS</t>
        </is>
      </c>
      <c r="F11686" t="inlineStr">
        <is>
          <t>Bergvik skog väst AB</t>
        </is>
      </c>
      <c r="G11686" t="n">
        <v>19.9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46516-2023</t>
        </is>
      </c>
      <c r="B11687" s="1" t="n">
        <v>45197</v>
      </c>
      <c r="C11687" s="1" t="n">
        <v>45736</v>
      </c>
      <c r="D11687" t="inlineStr">
        <is>
          <t>VÄRMLANDS LÄN</t>
        </is>
      </c>
      <c r="E11687" t="inlineStr">
        <is>
          <t>ARVIKA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46515-2023</t>
        </is>
      </c>
      <c r="B11688" s="1" t="n">
        <v>45197</v>
      </c>
      <c r="C11688" s="1" t="n">
        <v>45736</v>
      </c>
      <c r="D11688" t="inlineStr">
        <is>
          <t>VÄRMLANDS LÄN</t>
        </is>
      </c>
      <c r="E11688" t="inlineStr">
        <is>
          <t>ARVIKA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46379-2023</t>
        </is>
      </c>
      <c r="B11689" s="1" t="n">
        <v>45197</v>
      </c>
      <c r="C11689" s="1" t="n">
        <v>45736</v>
      </c>
      <c r="D11689" t="inlineStr">
        <is>
          <t>VÄRMLANDS LÄN</t>
        </is>
      </c>
      <c r="E11689" t="inlineStr">
        <is>
          <t>ARVIKA</t>
        </is>
      </c>
      <c r="F11689" t="inlineStr">
        <is>
          <t>Kyrkan</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46403-2023</t>
        </is>
      </c>
      <c r="B11690" s="1" t="n">
        <v>45197</v>
      </c>
      <c r="C11690" s="1" t="n">
        <v>45736</v>
      </c>
      <c r="D11690" t="inlineStr">
        <is>
          <t>VÄRMLANDS LÄN</t>
        </is>
      </c>
      <c r="E11690" t="inlineStr">
        <is>
          <t>FILIPSTAD</t>
        </is>
      </c>
      <c r="G11690" t="n">
        <v>16.8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46447-2023</t>
        </is>
      </c>
      <c r="B11691" s="1" t="n">
        <v>45197</v>
      </c>
      <c r="C11691" s="1" t="n">
        <v>45736</v>
      </c>
      <c r="D11691" t="inlineStr">
        <is>
          <t>VÄRMLANDS LÄN</t>
        </is>
      </c>
      <c r="E11691" t="inlineStr">
        <is>
          <t>MUNKFORS</t>
        </is>
      </c>
      <c r="F11691" t="inlineStr">
        <is>
          <t>Bergvik skog väst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46509-2023</t>
        </is>
      </c>
      <c r="B11692" s="1" t="n">
        <v>45197</v>
      </c>
      <c r="C11692" s="1" t="n">
        <v>45736</v>
      </c>
      <c r="D11692" t="inlineStr">
        <is>
          <t>VÄRMLANDS LÄN</t>
        </is>
      </c>
      <c r="E11692" t="inlineStr">
        <is>
          <t>TORSBY</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46513-2023</t>
        </is>
      </c>
      <c r="B11693" s="1" t="n">
        <v>45197</v>
      </c>
      <c r="C11693" s="1" t="n">
        <v>45736</v>
      </c>
      <c r="D11693" t="inlineStr">
        <is>
          <t>VÄRMLANDS LÄN</t>
        </is>
      </c>
      <c r="E11693" t="inlineStr">
        <is>
          <t>FILIPSTAD</t>
        </is>
      </c>
      <c r="F11693" t="inlineStr">
        <is>
          <t>Bergvik skog väst AB</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46330-2023</t>
        </is>
      </c>
      <c r="B11694" s="1" t="n">
        <v>45197</v>
      </c>
      <c r="C11694" s="1" t="n">
        <v>45736</v>
      </c>
      <c r="D11694" t="inlineStr">
        <is>
          <t>VÄRMLANDS LÄN</t>
        </is>
      </c>
      <c r="E11694" t="inlineStr">
        <is>
          <t>HAGFORS</t>
        </is>
      </c>
      <c r="F11694" t="inlineStr">
        <is>
          <t>Bergvik skog väst AB</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46340-2023</t>
        </is>
      </c>
      <c r="B11695" s="1" t="n">
        <v>45197</v>
      </c>
      <c r="C11695" s="1" t="n">
        <v>45736</v>
      </c>
      <c r="D11695" t="inlineStr">
        <is>
          <t>VÄRMLANDS LÄN</t>
        </is>
      </c>
      <c r="E11695" t="inlineStr">
        <is>
          <t>EDA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46389-2023</t>
        </is>
      </c>
      <c r="B11696" s="1" t="n">
        <v>45197</v>
      </c>
      <c r="C11696" s="1" t="n">
        <v>45736</v>
      </c>
      <c r="D11696" t="inlineStr">
        <is>
          <t>VÄRMLANDS LÄN</t>
        </is>
      </c>
      <c r="E11696" t="inlineStr">
        <is>
          <t>STORFORS</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46405-2023</t>
        </is>
      </c>
      <c r="B11697" s="1" t="n">
        <v>45197</v>
      </c>
      <c r="C11697" s="1" t="n">
        <v>45736</v>
      </c>
      <c r="D11697" t="inlineStr">
        <is>
          <t>VÄRMLANDS LÄN</t>
        </is>
      </c>
      <c r="E11697" t="inlineStr">
        <is>
          <t>FILIPSTAD</t>
        </is>
      </c>
      <c r="F11697" t="inlineStr">
        <is>
          <t>Bergvik skog väst AB</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46489-2023</t>
        </is>
      </c>
      <c r="B11698" s="1" t="n">
        <v>45197</v>
      </c>
      <c r="C11698" s="1" t="n">
        <v>45736</v>
      </c>
      <c r="D11698" t="inlineStr">
        <is>
          <t>VÄRMLANDS LÄN</t>
        </is>
      </c>
      <c r="E11698" t="inlineStr">
        <is>
          <t>TORSBY</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46499-2023</t>
        </is>
      </c>
      <c r="B11699" s="1" t="n">
        <v>45197</v>
      </c>
      <c r="C11699" s="1" t="n">
        <v>45736</v>
      </c>
      <c r="D11699" t="inlineStr">
        <is>
          <t>VÄRMLANDS LÄN</t>
        </is>
      </c>
      <c r="E11699" t="inlineStr">
        <is>
          <t>ÅRJÄNG</t>
        </is>
      </c>
      <c r="F11699" t="inlineStr">
        <is>
          <t>Bergvik skog väst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46530-2023</t>
        </is>
      </c>
      <c r="B11700" s="1" t="n">
        <v>45197</v>
      </c>
      <c r="C11700" s="1" t="n">
        <v>45736</v>
      </c>
      <c r="D11700" t="inlineStr">
        <is>
          <t>VÄRMLANDS LÄN</t>
        </is>
      </c>
      <c r="E11700" t="inlineStr">
        <is>
          <t>FORSHAGA</t>
        </is>
      </c>
      <c r="F11700" t="inlineStr">
        <is>
          <t>Bergvik skog väst AB</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47561-2023</t>
        </is>
      </c>
      <c r="B11701" s="1" t="n">
        <v>45197</v>
      </c>
      <c r="C11701" s="1" t="n">
        <v>45736</v>
      </c>
      <c r="D11701" t="inlineStr">
        <is>
          <t>VÄRMLANDS LÄN</t>
        </is>
      </c>
      <c r="E11701" t="inlineStr">
        <is>
          <t>KARLSTAD</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46758-2023</t>
        </is>
      </c>
      <c r="B11702" s="1" t="n">
        <v>45198</v>
      </c>
      <c r="C11702" s="1" t="n">
        <v>45736</v>
      </c>
      <c r="D11702" t="inlineStr">
        <is>
          <t>VÄRMLANDS LÄN</t>
        </is>
      </c>
      <c r="E11702" t="inlineStr">
        <is>
          <t>ARVIKA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46650-2023</t>
        </is>
      </c>
      <c r="B11703" s="1" t="n">
        <v>45198</v>
      </c>
      <c r="C11703" s="1" t="n">
        <v>45736</v>
      </c>
      <c r="D11703" t="inlineStr">
        <is>
          <t>VÄRMLANDS LÄN</t>
        </is>
      </c>
      <c r="E11703" t="inlineStr">
        <is>
          <t>ARVIKA</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46690-2023</t>
        </is>
      </c>
      <c r="B11704" s="1" t="n">
        <v>45198</v>
      </c>
      <c r="C11704" s="1" t="n">
        <v>45736</v>
      </c>
      <c r="D11704" t="inlineStr">
        <is>
          <t>VÄRMLANDS LÄN</t>
        </is>
      </c>
      <c r="E11704" t="inlineStr">
        <is>
          <t>ARVIKA</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46569-2023</t>
        </is>
      </c>
      <c r="B11705" s="1" t="n">
        <v>45198</v>
      </c>
      <c r="C11705" s="1" t="n">
        <v>45736</v>
      </c>
      <c r="D11705" t="inlineStr">
        <is>
          <t>VÄRMLANDS LÄN</t>
        </is>
      </c>
      <c r="E11705" t="inlineStr">
        <is>
          <t>ARVIKA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46687-2023</t>
        </is>
      </c>
      <c r="B11706" s="1" t="n">
        <v>45198</v>
      </c>
      <c r="C11706" s="1" t="n">
        <v>45736</v>
      </c>
      <c r="D11706" t="inlineStr">
        <is>
          <t>VÄRMLANDS LÄN</t>
        </is>
      </c>
      <c r="E11706" t="inlineStr">
        <is>
          <t>ARVIKA</t>
        </is>
      </c>
      <c r="G11706" t="n">
        <v>14.9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46744-2023</t>
        </is>
      </c>
      <c r="B11707" s="1" t="n">
        <v>45198</v>
      </c>
      <c r="C11707" s="1" t="n">
        <v>45736</v>
      </c>
      <c r="D11707" t="inlineStr">
        <is>
          <t>VÄRMLANDS LÄN</t>
        </is>
      </c>
      <c r="E11707" t="inlineStr">
        <is>
          <t>MUNKFORS</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47938-2023</t>
        </is>
      </c>
      <c r="B11708" s="1" t="n">
        <v>45198</v>
      </c>
      <c r="C11708" s="1" t="n">
        <v>45736</v>
      </c>
      <c r="D11708" t="inlineStr">
        <is>
          <t>VÄRMLANDS LÄN</t>
        </is>
      </c>
      <c r="E11708" t="inlineStr">
        <is>
          <t>ÅRJÄNG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47611-2023</t>
        </is>
      </c>
      <c r="B11709" s="1" t="n">
        <v>45198</v>
      </c>
      <c r="C11709" s="1" t="n">
        <v>45736</v>
      </c>
      <c r="D11709" t="inlineStr">
        <is>
          <t>VÄRMLANDS LÄN</t>
        </is>
      </c>
      <c r="E11709" t="inlineStr">
        <is>
          <t>KRISTINEHAMN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47648-2023</t>
        </is>
      </c>
      <c r="B11710" s="1" t="n">
        <v>45198</v>
      </c>
      <c r="C11710" s="1" t="n">
        <v>45736</v>
      </c>
      <c r="D11710" t="inlineStr">
        <is>
          <t>VÄRMLANDS LÄN</t>
        </is>
      </c>
      <c r="E11710" t="inlineStr">
        <is>
          <t>KRISTINEHAMN</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48020-2023</t>
        </is>
      </c>
      <c r="B11711" s="1" t="n">
        <v>45198</v>
      </c>
      <c r="C11711" s="1" t="n">
        <v>45736</v>
      </c>
      <c r="D11711" t="inlineStr">
        <is>
          <t>VÄRMLANDS LÄN</t>
        </is>
      </c>
      <c r="E11711" t="inlineStr">
        <is>
          <t>ÅRJÄNG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47928-2023</t>
        </is>
      </c>
      <c r="B11712" s="1" t="n">
        <v>45198</v>
      </c>
      <c r="C11712" s="1" t="n">
        <v>45736</v>
      </c>
      <c r="D11712" t="inlineStr">
        <is>
          <t>VÄRMLANDS LÄN</t>
        </is>
      </c>
      <c r="E11712" t="inlineStr">
        <is>
          <t>ÅRJÄNG</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47981-2023</t>
        </is>
      </c>
      <c r="B11713" s="1" t="n">
        <v>45198</v>
      </c>
      <c r="C11713" s="1" t="n">
        <v>45736</v>
      </c>
      <c r="D11713" t="inlineStr">
        <is>
          <t>VÄRMLANDS LÄN</t>
        </is>
      </c>
      <c r="E11713" t="inlineStr">
        <is>
          <t>ÅRJÄNG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48014-2023</t>
        </is>
      </c>
      <c r="B11714" s="1" t="n">
        <v>45198</v>
      </c>
      <c r="C11714" s="1" t="n">
        <v>45736</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48194-2023</t>
        </is>
      </c>
      <c r="B11715" s="1" t="n">
        <v>45199</v>
      </c>
      <c r="C11715" s="1" t="n">
        <v>45736</v>
      </c>
      <c r="D11715" t="inlineStr">
        <is>
          <t>VÄRMLANDS LÄN</t>
        </is>
      </c>
      <c r="E11715" t="inlineStr">
        <is>
          <t>SUNNE</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48203-2023</t>
        </is>
      </c>
      <c r="B11716" s="1" t="n">
        <v>45200</v>
      </c>
      <c r="C11716" s="1" t="n">
        <v>45736</v>
      </c>
      <c r="D11716" t="inlineStr">
        <is>
          <t>VÄRMLANDS LÄN</t>
        </is>
      </c>
      <c r="E11716" t="inlineStr">
        <is>
          <t>ÅRJÄNG</t>
        </is>
      </c>
      <c r="F11716" t="inlineStr">
        <is>
          <t>Övriga Aktiebolag</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47119-2023</t>
        </is>
      </c>
      <c r="B11717" s="1" t="n">
        <v>45201</v>
      </c>
      <c r="C11717" s="1" t="n">
        <v>45736</v>
      </c>
      <c r="D11717" t="inlineStr">
        <is>
          <t>VÄRMLANDS LÄN</t>
        </is>
      </c>
      <c r="E11717" t="inlineStr">
        <is>
          <t>TORSBY</t>
        </is>
      </c>
      <c r="F11717" t="inlineStr">
        <is>
          <t>Bergvik skog väst AB</t>
        </is>
      </c>
      <c r="G11717" t="n">
        <v>18.7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46880-2023</t>
        </is>
      </c>
      <c r="B11718" s="1" t="n">
        <v>45201</v>
      </c>
      <c r="C11718" s="1" t="n">
        <v>45736</v>
      </c>
      <c r="D11718" t="inlineStr">
        <is>
          <t>VÄRMLANDS LÄN</t>
        </is>
      </c>
      <c r="E11718" t="inlineStr">
        <is>
          <t>TORSBY</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47152-2023</t>
        </is>
      </c>
      <c r="B11719" s="1" t="n">
        <v>45201</v>
      </c>
      <c r="C11719" s="1" t="n">
        <v>45736</v>
      </c>
      <c r="D11719" t="inlineStr">
        <is>
          <t>VÄRMLANDS LÄN</t>
        </is>
      </c>
      <c r="E11719" t="inlineStr">
        <is>
          <t>GRUMS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46938-2023</t>
        </is>
      </c>
      <c r="B11720" s="1" t="n">
        <v>45201</v>
      </c>
      <c r="C11720" s="1" t="n">
        <v>45736</v>
      </c>
      <c r="D11720" t="inlineStr">
        <is>
          <t>VÄRMLANDS LÄN</t>
        </is>
      </c>
      <c r="E11720" t="inlineStr">
        <is>
          <t>TORSBY</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47008-2023</t>
        </is>
      </c>
      <c r="B11721" s="1" t="n">
        <v>45201</v>
      </c>
      <c r="C11721" s="1" t="n">
        <v>45736</v>
      </c>
      <c r="D11721" t="inlineStr">
        <is>
          <t>VÄRMLANDS LÄN</t>
        </is>
      </c>
      <c r="E11721" t="inlineStr">
        <is>
          <t>HAMMARÖ</t>
        </is>
      </c>
      <c r="F11721" t="inlineStr">
        <is>
          <t>Kommuner</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47019-2023</t>
        </is>
      </c>
      <c r="B11722" s="1" t="n">
        <v>45201</v>
      </c>
      <c r="C11722" s="1" t="n">
        <v>45736</v>
      </c>
      <c r="D11722" t="inlineStr">
        <is>
          <t>VÄRMLANDS LÄN</t>
        </is>
      </c>
      <c r="E11722" t="inlineStr">
        <is>
          <t>HAGFORS</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47076-2023</t>
        </is>
      </c>
      <c r="B11723" s="1" t="n">
        <v>45201</v>
      </c>
      <c r="C11723" s="1" t="n">
        <v>45736</v>
      </c>
      <c r="D11723" t="inlineStr">
        <is>
          <t>VÄRMLANDS LÄN</t>
        </is>
      </c>
      <c r="E11723" t="inlineStr">
        <is>
          <t>SUNNE</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46961-2023</t>
        </is>
      </c>
      <c r="B11724" s="1" t="n">
        <v>45201</v>
      </c>
      <c r="C11724" s="1" t="n">
        <v>45736</v>
      </c>
      <c r="D11724" t="inlineStr">
        <is>
          <t>VÄRMLANDS LÄN</t>
        </is>
      </c>
      <c r="E11724" t="inlineStr">
        <is>
          <t>KARLSTAD</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47020-2023</t>
        </is>
      </c>
      <c r="B11725" s="1" t="n">
        <v>45201</v>
      </c>
      <c r="C11725" s="1" t="n">
        <v>45736</v>
      </c>
      <c r="D11725" t="inlineStr">
        <is>
          <t>VÄRMLANDS LÄN</t>
        </is>
      </c>
      <c r="E11725" t="inlineStr">
        <is>
          <t>HAGFORS</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47027-2023</t>
        </is>
      </c>
      <c r="B11726" s="1" t="n">
        <v>45201</v>
      </c>
      <c r="C11726" s="1" t="n">
        <v>45736</v>
      </c>
      <c r="D11726" t="inlineStr">
        <is>
          <t>VÄRMLANDS LÄN</t>
        </is>
      </c>
      <c r="E11726" t="inlineStr">
        <is>
          <t>HAGFORS</t>
        </is>
      </c>
      <c r="G11726" t="n">
        <v>7.7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47033-2023</t>
        </is>
      </c>
      <c r="B11727" s="1" t="n">
        <v>45201</v>
      </c>
      <c r="C11727" s="1" t="n">
        <v>45736</v>
      </c>
      <c r="D11727" t="inlineStr">
        <is>
          <t>VÄRMLANDS LÄN</t>
        </is>
      </c>
      <c r="E11727" t="inlineStr">
        <is>
          <t>HAGFORS</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46946-2023</t>
        </is>
      </c>
      <c r="B11728" s="1" t="n">
        <v>45201</v>
      </c>
      <c r="C11728" s="1" t="n">
        <v>45736</v>
      </c>
      <c r="D11728" t="inlineStr">
        <is>
          <t>VÄRMLANDS LÄN</t>
        </is>
      </c>
      <c r="E11728" t="inlineStr">
        <is>
          <t>SÄFFLE</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46967-2023</t>
        </is>
      </c>
      <c r="B11729" s="1" t="n">
        <v>45201</v>
      </c>
      <c r="C11729" s="1" t="n">
        <v>45736</v>
      </c>
      <c r="D11729" t="inlineStr">
        <is>
          <t>VÄRMLANDS LÄN</t>
        </is>
      </c>
      <c r="E11729" t="inlineStr">
        <is>
          <t>KARLSTAD</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46982-2023</t>
        </is>
      </c>
      <c r="B11730" s="1" t="n">
        <v>45201</v>
      </c>
      <c r="C11730" s="1" t="n">
        <v>45736</v>
      </c>
      <c r="D11730" t="inlineStr">
        <is>
          <t>VÄRMLANDS LÄN</t>
        </is>
      </c>
      <c r="E11730" t="inlineStr">
        <is>
          <t>HAMMARÖ</t>
        </is>
      </c>
      <c r="F11730" t="inlineStr">
        <is>
          <t>Kommuner</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47077-2023</t>
        </is>
      </c>
      <c r="B11731" s="1" t="n">
        <v>45201</v>
      </c>
      <c r="C11731" s="1" t="n">
        <v>45736</v>
      </c>
      <c r="D11731" t="inlineStr">
        <is>
          <t>VÄRMLANDS LÄN</t>
        </is>
      </c>
      <c r="E11731" t="inlineStr">
        <is>
          <t>TORSBY</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47017-2023</t>
        </is>
      </c>
      <c r="B11732" s="1" t="n">
        <v>45201</v>
      </c>
      <c r="C11732" s="1" t="n">
        <v>45736</v>
      </c>
      <c r="D11732" t="inlineStr">
        <is>
          <t>VÄRMLANDS LÄN</t>
        </is>
      </c>
      <c r="E11732" t="inlineStr">
        <is>
          <t>HAGFORS</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47021-2023</t>
        </is>
      </c>
      <c r="B11733" s="1" t="n">
        <v>45201</v>
      </c>
      <c r="C11733" s="1" t="n">
        <v>45736</v>
      </c>
      <c r="D11733" t="inlineStr">
        <is>
          <t>VÄRMLANDS LÄN</t>
        </is>
      </c>
      <c r="E11733" t="inlineStr">
        <is>
          <t>HAGFORS</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47028-2023</t>
        </is>
      </c>
      <c r="B11734" s="1" t="n">
        <v>45201</v>
      </c>
      <c r="C11734" s="1" t="n">
        <v>45736</v>
      </c>
      <c r="D11734" t="inlineStr">
        <is>
          <t>VÄRMLANDS LÄN</t>
        </is>
      </c>
      <c r="E11734" t="inlineStr">
        <is>
          <t>HAGFORS</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46891-2023</t>
        </is>
      </c>
      <c r="B11735" s="1" t="n">
        <v>45201</v>
      </c>
      <c r="C11735" s="1" t="n">
        <v>45736</v>
      </c>
      <c r="D11735" t="inlineStr">
        <is>
          <t>VÄRMLANDS LÄN</t>
        </is>
      </c>
      <c r="E11735" t="inlineStr">
        <is>
          <t>ÅRJÄNG</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46899-2023</t>
        </is>
      </c>
      <c r="B11736" s="1" t="n">
        <v>45201</v>
      </c>
      <c r="C11736" s="1" t="n">
        <v>45736</v>
      </c>
      <c r="D11736" t="inlineStr">
        <is>
          <t>VÄRMLANDS LÄN</t>
        </is>
      </c>
      <c r="E11736" t="inlineStr">
        <is>
          <t>ÅRJÄNG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46922-2023</t>
        </is>
      </c>
      <c r="B11737" s="1" t="n">
        <v>45201</v>
      </c>
      <c r="C11737" s="1" t="n">
        <v>45736</v>
      </c>
      <c r="D11737" t="inlineStr">
        <is>
          <t>VÄRMLANDS LÄN</t>
        </is>
      </c>
      <c r="E11737" t="inlineStr">
        <is>
          <t>HAGFORS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47029-2023</t>
        </is>
      </c>
      <c r="B11738" s="1" t="n">
        <v>45201</v>
      </c>
      <c r="C11738" s="1" t="n">
        <v>45736</v>
      </c>
      <c r="D11738" t="inlineStr">
        <is>
          <t>VÄRMLANDS LÄN</t>
        </is>
      </c>
      <c r="E11738" t="inlineStr">
        <is>
          <t>HAGFORS</t>
        </is>
      </c>
      <c r="G11738" t="n">
        <v>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48130-2023</t>
        </is>
      </c>
      <c r="B11739" s="1" t="n">
        <v>45201</v>
      </c>
      <c r="C11739" s="1" t="n">
        <v>45736</v>
      </c>
      <c r="D11739" t="inlineStr">
        <is>
          <t>VÄRMLANDS LÄN</t>
        </is>
      </c>
      <c r="E11739" t="inlineStr">
        <is>
          <t>ÅRJÄNG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48405-2023</t>
        </is>
      </c>
      <c r="B11740" s="1" t="n">
        <v>45201</v>
      </c>
      <c r="C11740" s="1" t="n">
        <v>45736</v>
      </c>
      <c r="D11740" t="inlineStr">
        <is>
          <t>VÄRMLANDS LÄN</t>
        </is>
      </c>
      <c r="E11740" t="inlineStr">
        <is>
          <t>KRISTINEHAMN</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47275-2023</t>
        </is>
      </c>
      <c r="B11741" s="1" t="n">
        <v>45202</v>
      </c>
      <c r="C11741" s="1" t="n">
        <v>45736</v>
      </c>
      <c r="D11741" t="inlineStr">
        <is>
          <t>VÄRMLANDS LÄN</t>
        </is>
      </c>
      <c r="E11741" t="inlineStr">
        <is>
          <t>TORSBY</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47279-2023</t>
        </is>
      </c>
      <c r="B11742" s="1" t="n">
        <v>45202</v>
      </c>
      <c r="C11742" s="1" t="n">
        <v>45736</v>
      </c>
      <c r="D11742" t="inlineStr">
        <is>
          <t>VÄRMLANDS LÄN</t>
        </is>
      </c>
      <c r="E11742" t="inlineStr">
        <is>
          <t>STORFORS</t>
        </is>
      </c>
      <c r="F11742" t="inlineStr">
        <is>
          <t>Bergvik skog väst AB</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47241-2023</t>
        </is>
      </c>
      <c r="B11743" s="1" t="n">
        <v>45202</v>
      </c>
      <c r="C11743" s="1" t="n">
        <v>45736</v>
      </c>
      <c r="D11743" t="inlineStr">
        <is>
          <t>VÄRMLANDS LÄN</t>
        </is>
      </c>
      <c r="E11743" t="inlineStr">
        <is>
          <t>TORSBY</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47191-2023</t>
        </is>
      </c>
      <c r="B11744" s="1" t="n">
        <v>45202</v>
      </c>
      <c r="C11744" s="1" t="n">
        <v>45736</v>
      </c>
      <c r="D11744" t="inlineStr">
        <is>
          <t>VÄRMLANDS LÄN</t>
        </is>
      </c>
      <c r="E11744" t="inlineStr">
        <is>
          <t>ARVIKA</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47298-2023</t>
        </is>
      </c>
      <c r="B11745" s="1" t="n">
        <v>45202</v>
      </c>
      <c r="C11745" s="1" t="n">
        <v>45736</v>
      </c>
      <c r="D11745" t="inlineStr">
        <is>
          <t>VÄRMLANDS LÄN</t>
        </is>
      </c>
      <c r="E11745" t="inlineStr">
        <is>
          <t>SÄFFLE</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47343-2023</t>
        </is>
      </c>
      <c r="B11746" s="1" t="n">
        <v>45202</v>
      </c>
      <c r="C11746" s="1" t="n">
        <v>45736</v>
      </c>
      <c r="D11746" t="inlineStr">
        <is>
          <t>VÄRMLANDS LÄN</t>
        </is>
      </c>
      <c r="E11746" t="inlineStr">
        <is>
          <t>ARVIKA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47344-2023</t>
        </is>
      </c>
      <c r="B11747" s="1" t="n">
        <v>45202</v>
      </c>
      <c r="C11747" s="1" t="n">
        <v>45736</v>
      </c>
      <c r="D11747" t="inlineStr">
        <is>
          <t>VÄRMLANDS LÄN</t>
        </is>
      </c>
      <c r="E11747" t="inlineStr">
        <is>
          <t>FILIPSTAD</t>
        </is>
      </c>
      <c r="F11747" t="inlineStr">
        <is>
          <t>Bergvik skog väst AB</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47368-2023</t>
        </is>
      </c>
      <c r="B11748" s="1" t="n">
        <v>45202</v>
      </c>
      <c r="C11748" s="1" t="n">
        <v>45736</v>
      </c>
      <c r="D11748" t="inlineStr">
        <is>
          <t>VÄRMLANDS LÄN</t>
        </is>
      </c>
      <c r="E11748" t="inlineStr">
        <is>
          <t>KRISTINEHAMN</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47372-2023</t>
        </is>
      </c>
      <c r="B11749" s="1" t="n">
        <v>45202</v>
      </c>
      <c r="C11749" s="1" t="n">
        <v>45736</v>
      </c>
      <c r="D11749" t="inlineStr">
        <is>
          <t>VÄRMLANDS LÄN</t>
        </is>
      </c>
      <c r="E11749" t="inlineStr">
        <is>
          <t>HAGFORS</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47376-2023</t>
        </is>
      </c>
      <c r="B11750" s="1" t="n">
        <v>45202</v>
      </c>
      <c r="C11750" s="1" t="n">
        <v>45736</v>
      </c>
      <c r="D11750" t="inlineStr">
        <is>
          <t>VÄRMLANDS LÄN</t>
        </is>
      </c>
      <c r="E11750" t="inlineStr">
        <is>
          <t>ARVIKA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47361-2023</t>
        </is>
      </c>
      <c r="B11751" s="1" t="n">
        <v>45202</v>
      </c>
      <c r="C11751" s="1" t="n">
        <v>45736</v>
      </c>
      <c r="D11751" t="inlineStr">
        <is>
          <t>VÄRMLANDS LÄN</t>
        </is>
      </c>
      <c r="E11751" t="inlineStr">
        <is>
          <t>FILIPSTAD</t>
        </is>
      </c>
      <c r="F11751" t="inlineStr">
        <is>
          <t>Bergvik skog väst AB</t>
        </is>
      </c>
      <c r="G11751" t="n">
        <v>7.6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47373-2023</t>
        </is>
      </c>
      <c r="B11752" s="1" t="n">
        <v>45202</v>
      </c>
      <c r="C11752" s="1" t="n">
        <v>45736</v>
      </c>
      <c r="D11752" t="inlineStr">
        <is>
          <t>VÄRMLANDS LÄN</t>
        </is>
      </c>
      <c r="E11752" t="inlineStr">
        <is>
          <t>ARVIKA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47377-2023</t>
        </is>
      </c>
      <c r="B11753" s="1" t="n">
        <v>45202</v>
      </c>
      <c r="C11753" s="1" t="n">
        <v>45736</v>
      </c>
      <c r="D11753" t="inlineStr">
        <is>
          <t>VÄRMLANDS LÄN</t>
        </is>
      </c>
      <c r="E11753" t="inlineStr">
        <is>
          <t>KRISTINEHAMN</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47381-2023</t>
        </is>
      </c>
      <c r="B11754" s="1" t="n">
        <v>45202</v>
      </c>
      <c r="C11754" s="1" t="n">
        <v>45736</v>
      </c>
      <c r="D11754" t="inlineStr">
        <is>
          <t>VÄRMLANDS LÄN</t>
        </is>
      </c>
      <c r="E11754" t="inlineStr">
        <is>
          <t>FILIPSTAD</t>
        </is>
      </c>
      <c r="F11754" t="inlineStr">
        <is>
          <t>Bergvik skog väst AB</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47386-2023</t>
        </is>
      </c>
      <c r="B11755" s="1" t="n">
        <v>45202</v>
      </c>
      <c r="C11755" s="1" t="n">
        <v>45736</v>
      </c>
      <c r="D11755" t="inlineStr">
        <is>
          <t>VÄRMLANDS LÄN</t>
        </is>
      </c>
      <c r="E11755" t="inlineStr">
        <is>
          <t>ARVIKA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47403-2023</t>
        </is>
      </c>
      <c r="B11756" s="1" t="n">
        <v>45202</v>
      </c>
      <c r="C11756" s="1" t="n">
        <v>45736</v>
      </c>
      <c r="D11756" t="inlineStr">
        <is>
          <t>VÄRMLANDS LÄN</t>
        </is>
      </c>
      <c r="E11756" t="inlineStr">
        <is>
          <t>FILIPSTAD</t>
        </is>
      </c>
      <c r="F11756" t="inlineStr">
        <is>
          <t>Bergvik skog väst AB</t>
        </is>
      </c>
      <c r="G11756" t="n">
        <v>17.9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47380-2023</t>
        </is>
      </c>
      <c r="B11757" s="1" t="n">
        <v>45202</v>
      </c>
      <c r="C11757" s="1" t="n">
        <v>45736</v>
      </c>
      <c r="D11757" t="inlineStr">
        <is>
          <t>VÄRMLANDS LÄN</t>
        </is>
      </c>
      <c r="E11757" t="inlineStr">
        <is>
          <t>ARVIKA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47389-2023</t>
        </is>
      </c>
      <c r="B11758" s="1" t="n">
        <v>45202</v>
      </c>
      <c r="C11758" s="1" t="n">
        <v>45736</v>
      </c>
      <c r="D11758" t="inlineStr">
        <is>
          <t>VÄRMLANDS LÄN</t>
        </is>
      </c>
      <c r="E11758" t="inlineStr">
        <is>
          <t>KRISTINEHAMN</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47398-2023</t>
        </is>
      </c>
      <c r="B11759" s="1" t="n">
        <v>45202</v>
      </c>
      <c r="C11759" s="1" t="n">
        <v>45736</v>
      </c>
      <c r="D11759" t="inlineStr">
        <is>
          <t>VÄRMLANDS LÄN</t>
        </is>
      </c>
      <c r="E11759" t="inlineStr">
        <is>
          <t>KRISTINEHAMN</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47228-2023</t>
        </is>
      </c>
      <c r="B11760" s="1" t="n">
        <v>45202</v>
      </c>
      <c r="C11760" s="1" t="n">
        <v>45736</v>
      </c>
      <c r="D11760" t="inlineStr">
        <is>
          <t>VÄRMLANDS LÄN</t>
        </is>
      </c>
      <c r="E11760" t="inlineStr">
        <is>
          <t>ÅRJÄNG</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47439-2023</t>
        </is>
      </c>
      <c r="B11761" s="1" t="n">
        <v>45202</v>
      </c>
      <c r="C11761" s="1" t="n">
        <v>45736</v>
      </c>
      <c r="D11761" t="inlineStr">
        <is>
          <t>VÄRMLANDS LÄN</t>
        </is>
      </c>
      <c r="E11761" t="inlineStr">
        <is>
          <t>HAGFORS</t>
        </is>
      </c>
      <c r="F11761" t="inlineStr">
        <is>
          <t>Bergvik skog väst AB</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47339-2023</t>
        </is>
      </c>
      <c r="B11762" s="1" t="n">
        <v>45202</v>
      </c>
      <c r="C11762" s="1" t="n">
        <v>45736</v>
      </c>
      <c r="D11762" t="inlineStr">
        <is>
          <t>VÄRMLANDS LÄN</t>
        </is>
      </c>
      <c r="E11762" t="inlineStr">
        <is>
          <t>FILIPSTAD</t>
        </is>
      </c>
      <c r="F11762" t="inlineStr">
        <is>
          <t>Bergvik skog väst AB</t>
        </is>
      </c>
      <c r="G11762" t="n">
        <v>15.6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47383-2023</t>
        </is>
      </c>
      <c r="B11763" s="1" t="n">
        <v>45202</v>
      </c>
      <c r="C11763" s="1" t="n">
        <v>45736</v>
      </c>
      <c r="D11763" t="inlineStr">
        <is>
          <t>VÄRMLANDS LÄN</t>
        </is>
      </c>
      <c r="E11763" t="inlineStr">
        <is>
          <t>ARVIKA</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47416-2023</t>
        </is>
      </c>
      <c r="B11764" s="1" t="n">
        <v>45202</v>
      </c>
      <c r="C11764" s="1" t="n">
        <v>45736</v>
      </c>
      <c r="D11764" t="inlineStr">
        <is>
          <t>VÄRMLANDS LÄN</t>
        </is>
      </c>
      <c r="E11764" t="inlineStr">
        <is>
          <t>KRISTINEHAMN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47424-2023</t>
        </is>
      </c>
      <c r="B11765" s="1" t="n">
        <v>45202</v>
      </c>
      <c r="C11765" s="1" t="n">
        <v>45736</v>
      </c>
      <c r="D11765" t="inlineStr">
        <is>
          <t>VÄRMLANDS LÄN</t>
        </is>
      </c>
      <c r="E11765" t="inlineStr">
        <is>
          <t>KRISTINEHAMN</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47443-2023</t>
        </is>
      </c>
      <c r="B11766" s="1" t="n">
        <v>45202</v>
      </c>
      <c r="C11766" s="1" t="n">
        <v>45736</v>
      </c>
      <c r="D11766" t="inlineStr">
        <is>
          <t>VÄRMLANDS LÄN</t>
        </is>
      </c>
      <c r="E11766" t="inlineStr">
        <is>
          <t>HAGFORS</t>
        </is>
      </c>
      <c r="F11766" t="inlineStr">
        <is>
          <t>Bergvik skog väst AB</t>
        </is>
      </c>
      <c r="G11766" t="n">
        <v>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47458-2023</t>
        </is>
      </c>
      <c r="B11767" s="1" t="n">
        <v>45202</v>
      </c>
      <c r="C11767" s="1" t="n">
        <v>45736</v>
      </c>
      <c r="D11767" t="inlineStr">
        <is>
          <t>VÄRMLANDS LÄN</t>
        </is>
      </c>
      <c r="E11767" t="inlineStr">
        <is>
          <t>FILIPSTAD</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47462-2023</t>
        </is>
      </c>
      <c r="B11768" s="1" t="n">
        <v>45202</v>
      </c>
      <c r="C11768" s="1" t="n">
        <v>45736</v>
      </c>
      <c r="D11768" t="inlineStr">
        <is>
          <t>VÄRMLANDS LÄN</t>
        </is>
      </c>
      <c r="E11768" t="inlineStr">
        <is>
          <t>KRISTINEHAMN</t>
        </is>
      </c>
      <c r="G11768" t="n">
        <v>8.800000000000001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47466-2023</t>
        </is>
      </c>
      <c r="B11769" s="1" t="n">
        <v>45202</v>
      </c>
      <c r="C11769" s="1" t="n">
        <v>45736</v>
      </c>
      <c r="D11769" t="inlineStr">
        <is>
          <t>VÄRMLANDS LÄN</t>
        </is>
      </c>
      <c r="E11769" t="inlineStr">
        <is>
          <t>KRISTINEHAMN</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48357-2023</t>
        </is>
      </c>
      <c r="B11770" s="1" t="n">
        <v>45202</v>
      </c>
      <c r="C11770" s="1" t="n">
        <v>45736</v>
      </c>
      <c r="D11770" t="inlineStr">
        <is>
          <t>VÄRMLANDS LÄN</t>
        </is>
      </c>
      <c r="E11770" t="inlineStr">
        <is>
          <t>ÅRJÄNG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47355-2023</t>
        </is>
      </c>
      <c r="B11771" s="1" t="n">
        <v>45202</v>
      </c>
      <c r="C11771" s="1" t="n">
        <v>45736</v>
      </c>
      <c r="D11771" t="inlineStr">
        <is>
          <t>VÄRMLANDS LÄN</t>
        </is>
      </c>
      <c r="E11771" t="inlineStr">
        <is>
          <t>TORSBY</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47371-2023</t>
        </is>
      </c>
      <c r="B11772" s="1" t="n">
        <v>45202</v>
      </c>
      <c r="C11772" s="1" t="n">
        <v>45736</v>
      </c>
      <c r="D11772" t="inlineStr">
        <is>
          <t>VÄRMLANDS LÄN</t>
        </is>
      </c>
      <c r="E11772" t="inlineStr">
        <is>
          <t>KRISTINEHAMN</t>
        </is>
      </c>
      <c r="G11772" t="n">
        <v>10.1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47401-2023</t>
        </is>
      </c>
      <c r="B11773" s="1" t="n">
        <v>45202</v>
      </c>
      <c r="C11773" s="1" t="n">
        <v>45736</v>
      </c>
      <c r="D11773" t="inlineStr">
        <is>
          <t>VÄRMLANDS LÄN</t>
        </is>
      </c>
      <c r="E11773" t="inlineStr">
        <is>
          <t>TORSBY</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47409-2023</t>
        </is>
      </c>
      <c r="B11774" s="1" t="n">
        <v>45202</v>
      </c>
      <c r="C11774" s="1" t="n">
        <v>45736</v>
      </c>
      <c r="D11774" t="inlineStr">
        <is>
          <t>VÄRMLANDS LÄN</t>
        </is>
      </c>
      <c r="E11774" t="inlineStr">
        <is>
          <t>KRISTINEHAMN</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47455-2023</t>
        </is>
      </c>
      <c r="B11775" s="1" t="n">
        <v>45202</v>
      </c>
      <c r="C11775" s="1" t="n">
        <v>45736</v>
      </c>
      <c r="D11775" t="inlineStr">
        <is>
          <t>VÄRMLANDS LÄN</t>
        </is>
      </c>
      <c r="E11775" t="inlineStr">
        <is>
          <t>FILIPSTAD</t>
        </is>
      </c>
      <c r="F11775" t="inlineStr">
        <is>
          <t>Bergvik skog väst AB</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47465-2023</t>
        </is>
      </c>
      <c r="B11776" s="1" t="n">
        <v>45202</v>
      </c>
      <c r="C11776" s="1" t="n">
        <v>45736</v>
      </c>
      <c r="D11776" t="inlineStr">
        <is>
          <t>VÄRMLANDS LÄN</t>
        </is>
      </c>
      <c r="E11776" t="inlineStr">
        <is>
          <t>KRISTINEHAMN</t>
        </is>
      </c>
      <c r="G11776" t="n">
        <v>10.4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47469-2023</t>
        </is>
      </c>
      <c r="B11777" s="1" t="n">
        <v>45202</v>
      </c>
      <c r="C11777" s="1" t="n">
        <v>45736</v>
      </c>
      <c r="D11777" t="inlineStr">
        <is>
          <t>VÄRMLANDS LÄN</t>
        </is>
      </c>
      <c r="E11777" t="inlineStr">
        <is>
          <t>EDA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47456-2023</t>
        </is>
      </c>
      <c r="B11778" s="1" t="n">
        <v>45202</v>
      </c>
      <c r="C11778" s="1" t="n">
        <v>45736</v>
      </c>
      <c r="D11778" t="inlineStr">
        <is>
          <t>VÄRMLANDS LÄN</t>
        </is>
      </c>
      <c r="E11778" t="inlineStr">
        <is>
          <t>SUNNE</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47460-2023</t>
        </is>
      </c>
      <c r="B11779" s="1" t="n">
        <v>45202</v>
      </c>
      <c r="C11779" s="1" t="n">
        <v>45736</v>
      </c>
      <c r="D11779" t="inlineStr">
        <is>
          <t>VÄRMLANDS LÄN</t>
        </is>
      </c>
      <c r="E11779" t="inlineStr">
        <is>
          <t>SUNNE</t>
        </is>
      </c>
      <c r="G11779" t="n">
        <v>14.2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47464-2023</t>
        </is>
      </c>
      <c r="B11780" s="1" t="n">
        <v>45202</v>
      </c>
      <c r="C11780" s="1" t="n">
        <v>45736</v>
      </c>
      <c r="D11780" t="inlineStr">
        <is>
          <t>VÄRMLANDS LÄN</t>
        </is>
      </c>
      <c r="E11780" t="inlineStr">
        <is>
          <t>ÅRJÄNG</t>
        </is>
      </c>
      <c r="G11780" t="n">
        <v>9.1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47467-2023</t>
        </is>
      </c>
      <c r="B11781" s="1" t="n">
        <v>45202</v>
      </c>
      <c r="C11781" s="1" t="n">
        <v>45736</v>
      </c>
      <c r="D11781" t="inlineStr">
        <is>
          <t>VÄRMLANDS LÄN</t>
        </is>
      </c>
      <c r="E11781" t="inlineStr">
        <is>
          <t>KRISTINEHAMN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47573-2023</t>
        </is>
      </c>
      <c r="B11782" s="1" t="n">
        <v>45203</v>
      </c>
      <c r="C11782" s="1" t="n">
        <v>45736</v>
      </c>
      <c r="D11782" t="inlineStr">
        <is>
          <t>VÄRMLANDS LÄN</t>
        </is>
      </c>
      <c r="E11782" t="inlineStr">
        <is>
          <t>FILIPSTAD</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47578-2023</t>
        </is>
      </c>
      <c r="B11783" s="1" t="n">
        <v>45203</v>
      </c>
      <c r="C11783" s="1" t="n">
        <v>45736</v>
      </c>
      <c r="D11783" t="inlineStr">
        <is>
          <t>VÄRMLANDS LÄN</t>
        </is>
      </c>
      <c r="E11783" t="inlineStr">
        <is>
          <t>HAGFORS</t>
        </is>
      </c>
      <c r="F11783" t="inlineStr">
        <is>
          <t>Bergvik skog väst AB</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47599-2023</t>
        </is>
      </c>
      <c r="B11784" s="1" t="n">
        <v>45203</v>
      </c>
      <c r="C11784" s="1" t="n">
        <v>45736</v>
      </c>
      <c r="D11784" t="inlineStr">
        <is>
          <t>VÄRMLANDS LÄN</t>
        </is>
      </c>
      <c r="E11784" t="inlineStr">
        <is>
          <t>EDA</t>
        </is>
      </c>
      <c r="G11784" t="n">
        <v>7.4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47608-2023</t>
        </is>
      </c>
      <c r="B11785" s="1" t="n">
        <v>45203</v>
      </c>
      <c r="C11785" s="1" t="n">
        <v>45736</v>
      </c>
      <c r="D11785" t="inlineStr">
        <is>
          <t>VÄRMLANDS LÄN</t>
        </is>
      </c>
      <c r="E11785" t="inlineStr">
        <is>
          <t>KARLSTAD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47624-2023</t>
        </is>
      </c>
      <c r="B11786" s="1" t="n">
        <v>45203</v>
      </c>
      <c r="C11786" s="1" t="n">
        <v>45736</v>
      </c>
      <c r="D11786" t="inlineStr">
        <is>
          <t>VÄRMLANDS LÄN</t>
        </is>
      </c>
      <c r="E11786" t="inlineStr">
        <is>
          <t>STORFORS</t>
        </is>
      </c>
      <c r="F11786" t="inlineStr">
        <is>
          <t>Kyrkan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47660-2023</t>
        </is>
      </c>
      <c r="B11787" s="1" t="n">
        <v>45203</v>
      </c>
      <c r="C11787" s="1" t="n">
        <v>45736</v>
      </c>
      <c r="D11787" t="inlineStr">
        <is>
          <t>VÄRMLANDS LÄN</t>
        </is>
      </c>
      <c r="E11787" t="inlineStr">
        <is>
          <t>HAGFORS</t>
        </is>
      </c>
      <c r="F11787" t="inlineStr">
        <is>
          <t>Bergvik skog väst AB</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47520-2023</t>
        </is>
      </c>
      <c r="B11788" s="1" t="n">
        <v>45203</v>
      </c>
      <c r="C11788" s="1" t="n">
        <v>45736</v>
      </c>
      <c r="D11788" t="inlineStr">
        <is>
          <t>VÄRMLANDS LÄN</t>
        </is>
      </c>
      <c r="E11788" t="inlineStr">
        <is>
          <t>KARLSTAD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47566-2023</t>
        </is>
      </c>
      <c r="B11789" s="1" t="n">
        <v>45203</v>
      </c>
      <c r="C11789" s="1" t="n">
        <v>45736</v>
      </c>
      <c r="D11789" t="inlineStr">
        <is>
          <t>VÄRMLANDS LÄN</t>
        </is>
      </c>
      <c r="E11789" t="inlineStr">
        <is>
          <t>EDA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47704-2023</t>
        </is>
      </c>
      <c r="B11790" s="1" t="n">
        <v>45203</v>
      </c>
      <c r="C11790" s="1" t="n">
        <v>45736</v>
      </c>
      <c r="D11790" t="inlineStr">
        <is>
          <t>VÄRMLANDS LÄN</t>
        </is>
      </c>
      <c r="E11790" t="inlineStr">
        <is>
          <t>EDA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47585-2023</t>
        </is>
      </c>
      <c r="B11791" s="1" t="n">
        <v>45203</v>
      </c>
      <c r="C11791" s="1" t="n">
        <v>45736</v>
      </c>
      <c r="D11791" t="inlineStr">
        <is>
          <t>VÄRMLANDS LÄN</t>
        </is>
      </c>
      <c r="E11791" t="inlineStr">
        <is>
          <t>FILIPSTAD</t>
        </is>
      </c>
      <c r="F11791" t="inlineStr">
        <is>
          <t>Bergvik skog väst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47512-2023</t>
        </is>
      </c>
      <c r="B11792" s="1" t="n">
        <v>45203</v>
      </c>
      <c r="C11792" s="1" t="n">
        <v>45736</v>
      </c>
      <c r="D11792" t="inlineStr">
        <is>
          <t>VÄRMLANDS LÄN</t>
        </is>
      </c>
      <c r="E11792" t="inlineStr">
        <is>
          <t>ARVIKA</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47536-2023</t>
        </is>
      </c>
      <c r="B11793" s="1" t="n">
        <v>45203</v>
      </c>
      <c r="C11793" s="1" t="n">
        <v>45736</v>
      </c>
      <c r="D11793" t="inlineStr">
        <is>
          <t>VÄRMLANDS LÄN</t>
        </is>
      </c>
      <c r="E11793" t="inlineStr">
        <is>
          <t>FILIPSTAD</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47720-2023</t>
        </is>
      </c>
      <c r="B11794" s="1" t="n">
        <v>45203</v>
      </c>
      <c r="C11794" s="1" t="n">
        <v>45736</v>
      </c>
      <c r="D11794" t="inlineStr">
        <is>
          <t>VÄRMLANDS LÄN</t>
        </is>
      </c>
      <c r="E11794" t="inlineStr">
        <is>
          <t>SUNNE</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47731-2023</t>
        </is>
      </c>
      <c r="B11795" s="1" t="n">
        <v>45203</v>
      </c>
      <c r="C11795" s="1" t="n">
        <v>45736</v>
      </c>
      <c r="D11795" t="inlineStr">
        <is>
          <t>VÄRMLANDS LÄN</t>
        </is>
      </c>
      <c r="E11795" t="inlineStr">
        <is>
          <t>KRISTINEHAMN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47737-2023</t>
        </is>
      </c>
      <c r="B11796" s="1" t="n">
        <v>45203</v>
      </c>
      <c r="C11796" s="1" t="n">
        <v>45736</v>
      </c>
      <c r="D11796" t="inlineStr">
        <is>
          <t>VÄRMLANDS LÄN</t>
        </is>
      </c>
      <c r="E11796" t="inlineStr">
        <is>
          <t>TORSBY</t>
        </is>
      </c>
      <c r="F11796" t="inlineStr">
        <is>
          <t>Bergvik skog väst AB</t>
        </is>
      </c>
      <c r="G11796" t="n">
        <v>24.4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47615-2023</t>
        </is>
      </c>
      <c r="B11797" s="1" t="n">
        <v>45203</v>
      </c>
      <c r="C11797" s="1" t="n">
        <v>45736</v>
      </c>
      <c r="D11797" t="inlineStr">
        <is>
          <t>VÄRMLANDS LÄN</t>
        </is>
      </c>
      <c r="E11797" t="inlineStr">
        <is>
          <t>TORSBY</t>
        </is>
      </c>
      <c r="F11797" t="inlineStr">
        <is>
          <t>Bergvik skog väst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47621-2023</t>
        </is>
      </c>
      <c r="B11798" s="1" t="n">
        <v>45203</v>
      </c>
      <c r="C11798" s="1" t="n">
        <v>45736</v>
      </c>
      <c r="D11798" t="inlineStr">
        <is>
          <t>VÄRMLANDS LÄN</t>
        </is>
      </c>
      <c r="E11798" t="inlineStr">
        <is>
          <t>SÄFFLE</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47750-2023</t>
        </is>
      </c>
      <c r="B11799" s="1" t="n">
        <v>45203</v>
      </c>
      <c r="C11799" s="1" t="n">
        <v>45736</v>
      </c>
      <c r="D11799" t="inlineStr">
        <is>
          <t>VÄRMLANDS LÄN</t>
        </is>
      </c>
      <c r="E11799" t="inlineStr">
        <is>
          <t>ÅRJÄNG</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47754-2023</t>
        </is>
      </c>
      <c r="B11800" s="1" t="n">
        <v>45203</v>
      </c>
      <c r="C11800" s="1" t="n">
        <v>45736</v>
      </c>
      <c r="D11800" t="inlineStr">
        <is>
          <t>VÄRMLANDS LÄN</t>
        </is>
      </c>
      <c r="E11800" t="inlineStr">
        <is>
          <t>KRISTINEHAMN</t>
        </is>
      </c>
      <c r="G11800" t="n">
        <v>19.4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47770-2023</t>
        </is>
      </c>
      <c r="B11801" s="1" t="n">
        <v>45203</v>
      </c>
      <c r="C11801" s="1" t="n">
        <v>45736</v>
      </c>
      <c r="D11801" t="inlineStr">
        <is>
          <t>VÄRMLANDS LÄN</t>
        </is>
      </c>
      <c r="E11801" t="inlineStr">
        <is>
          <t>KRISTINEHAMN</t>
        </is>
      </c>
      <c r="G11801" t="n">
        <v>9.300000000000001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47619-2023</t>
        </is>
      </c>
      <c r="B11802" s="1" t="n">
        <v>45203</v>
      </c>
      <c r="C11802" s="1" t="n">
        <v>45736</v>
      </c>
      <c r="D11802" t="inlineStr">
        <is>
          <t>VÄRMLANDS LÄN</t>
        </is>
      </c>
      <c r="E11802" t="inlineStr">
        <is>
          <t>EDA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47646-2023</t>
        </is>
      </c>
      <c r="B11803" s="1" t="n">
        <v>45203</v>
      </c>
      <c r="C11803" s="1" t="n">
        <v>45736</v>
      </c>
      <c r="D11803" t="inlineStr">
        <is>
          <t>VÄRMLANDS LÄN</t>
        </is>
      </c>
      <c r="E11803" t="inlineStr">
        <is>
          <t>MUNKFORS</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47659-2023</t>
        </is>
      </c>
      <c r="B11804" s="1" t="n">
        <v>45203</v>
      </c>
      <c r="C11804" s="1" t="n">
        <v>45736</v>
      </c>
      <c r="D11804" t="inlineStr">
        <is>
          <t>VÄRMLANDS LÄN</t>
        </is>
      </c>
      <c r="E11804" t="inlineStr">
        <is>
          <t>ÅRJÄNG</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47684-2023</t>
        </is>
      </c>
      <c r="B11805" s="1" t="n">
        <v>45203</v>
      </c>
      <c r="C11805" s="1" t="n">
        <v>45736</v>
      </c>
      <c r="D11805" t="inlineStr">
        <is>
          <t>VÄRMLANDS LÄN</t>
        </is>
      </c>
      <c r="E11805" t="inlineStr">
        <is>
          <t>SÄFFLE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47730-2023</t>
        </is>
      </c>
      <c r="B11806" s="1" t="n">
        <v>45203</v>
      </c>
      <c r="C11806" s="1" t="n">
        <v>45736</v>
      </c>
      <c r="D11806" t="inlineStr">
        <is>
          <t>VÄRMLANDS LÄN</t>
        </is>
      </c>
      <c r="E11806" t="inlineStr">
        <is>
          <t>TORSBY</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47765-2023</t>
        </is>
      </c>
      <c r="B11807" s="1" t="n">
        <v>45203</v>
      </c>
      <c r="C11807" s="1" t="n">
        <v>45736</v>
      </c>
      <c r="D11807" t="inlineStr">
        <is>
          <t>VÄRMLANDS LÄN</t>
        </is>
      </c>
      <c r="E11807" t="inlineStr">
        <is>
          <t>KRISTINEHAMN</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47732-2023</t>
        </is>
      </c>
      <c r="B11808" s="1" t="n">
        <v>45203</v>
      </c>
      <c r="C11808" s="1" t="n">
        <v>45736</v>
      </c>
      <c r="D11808" t="inlineStr">
        <is>
          <t>VÄRMLANDS LÄN</t>
        </is>
      </c>
      <c r="E11808" t="inlineStr">
        <is>
          <t>HAGFORS</t>
        </is>
      </c>
      <c r="F11808" t="inlineStr">
        <is>
          <t>Bergvik skog väst AB</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47516-2023</t>
        </is>
      </c>
      <c r="B11809" s="1" t="n">
        <v>45203</v>
      </c>
      <c r="C11809" s="1" t="n">
        <v>45736</v>
      </c>
      <c r="D11809" t="inlineStr">
        <is>
          <t>VÄRMLANDS LÄN</t>
        </is>
      </c>
      <c r="E11809" t="inlineStr">
        <is>
          <t>HAGFORS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47549-2023</t>
        </is>
      </c>
      <c r="B11810" s="1" t="n">
        <v>45203</v>
      </c>
      <c r="C11810" s="1" t="n">
        <v>45736</v>
      </c>
      <c r="D11810" t="inlineStr">
        <is>
          <t>VÄRMLANDS LÄN</t>
        </is>
      </c>
      <c r="E11810" t="inlineStr">
        <is>
          <t>ARVIKA</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47688-2023</t>
        </is>
      </c>
      <c r="B11811" s="1" t="n">
        <v>45203</v>
      </c>
      <c r="C11811" s="1" t="n">
        <v>45736</v>
      </c>
      <c r="D11811" t="inlineStr">
        <is>
          <t>VÄRMLANDS LÄN</t>
        </is>
      </c>
      <c r="E11811" t="inlineStr">
        <is>
          <t>ÅRJÄNG</t>
        </is>
      </c>
      <c r="F11811" t="inlineStr">
        <is>
          <t>Övriga Aktiebolag</t>
        </is>
      </c>
      <c r="G11811" t="n">
        <v>20.3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47728-2023</t>
        </is>
      </c>
      <c r="B11812" s="1" t="n">
        <v>45203</v>
      </c>
      <c r="C11812" s="1" t="n">
        <v>45736</v>
      </c>
      <c r="D11812" t="inlineStr">
        <is>
          <t>VÄRMLANDS LÄN</t>
        </is>
      </c>
      <c r="E11812" t="inlineStr">
        <is>
          <t>STORFORS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47734-2023</t>
        </is>
      </c>
      <c r="B11813" s="1" t="n">
        <v>45203</v>
      </c>
      <c r="C11813" s="1" t="n">
        <v>45736</v>
      </c>
      <c r="D11813" t="inlineStr">
        <is>
          <t>VÄRMLANDS LÄN</t>
        </is>
      </c>
      <c r="E11813" t="inlineStr">
        <is>
          <t>TORSBY</t>
        </is>
      </c>
      <c r="F11813" t="inlineStr">
        <is>
          <t>Bergvik skog väst AB</t>
        </is>
      </c>
      <c r="G11813" t="n">
        <v>23.3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47744-2023</t>
        </is>
      </c>
      <c r="B11814" s="1" t="n">
        <v>45203</v>
      </c>
      <c r="C11814" s="1" t="n">
        <v>45736</v>
      </c>
      <c r="D11814" t="inlineStr">
        <is>
          <t>VÄRMLANDS LÄN</t>
        </is>
      </c>
      <c r="E11814" t="inlineStr">
        <is>
          <t>ÅRJÄNG</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47756-2023</t>
        </is>
      </c>
      <c r="B11815" s="1" t="n">
        <v>45203</v>
      </c>
      <c r="C11815" s="1" t="n">
        <v>45736</v>
      </c>
      <c r="D11815" t="inlineStr">
        <is>
          <t>VÄRMLANDS LÄN</t>
        </is>
      </c>
      <c r="E11815" t="inlineStr">
        <is>
          <t>KRISTINEHAMN</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48883-2023</t>
        </is>
      </c>
      <c r="B11816" s="1" t="n">
        <v>45203</v>
      </c>
      <c r="C11816" s="1" t="n">
        <v>45736</v>
      </c>
      <c r="D11816" t="inlineStr">
        <is>
          <t>VÄRMLANDS LÄN</t>
        </is>
      </c>
      <c r="E11816" t="inlineStr">
        <is>
          <t>SÄFFLE</t>
        </is>
      </c>
      <c r="G11816" t="n">
        <v>12.1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48894-2023</t>
        </is>
      </c>
      <c r="B11817" s="1" t="n">
        <v>45203</v>
      </c>
      <c r="C11817" s="1" t="n">
        <v>45736</v>
      </c>
      <c r="D11817" t="inlineStr">
        <is>
          <t>VÄRMLANDS LÄN</t>
        </is>
      </c>
      <c r="E11817" t="inlineStr">
        <is>
          <t>SÄFFLE</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48724-2023</t>
        </is>
      </c>
      <c r="B11818" s="1" t="n">
        <v>45203</v>
      </c>
      <c r="C11818" s="1" t="n">
        <v>45736</v>
      </c>
      <c r="D11818" t="inlineStr">
        <is>
          <t>VÄRMLANDS LÄN</t>
        </is>
      </c>
      <c r="E11818" t="inlineStr">
        <is>
          <t>TORSBY</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47815-2023</t>
        </is>
      </c>
      <c r="B11819" s="1" t="n">
        <v>45204</v>
      </c>
      <c r="C11819" s="1" t="n">
        <v>45736</v>
      </c>
      <c r="D11819" t="inlineStr">
        <is>
          <t>VÄRMLANDS LÄN</t>
        </is>
      </c>
      <c r="E11819" t="inlineStr">
        <is>
          <t>EDA</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47829-2023</t>
        </is>
      </c>
      <c r="B11820" s="1" t="n">
        <v>45204</v>
      </c>
      <c r="C11820" s="1" t="n">
        <v>45736</v>
      </c>
      <c r="D11820" t="inlineStr">
        <is>
          <t>VÄRMLANDS LÄN</t>
        </is>
      </c>
      <c r="E11820" t="inlineStr">
        <is>
          <t>EDA</t>
        </is>
      </c>
      <c r="G11820" t="n">
        <v>6.9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47833-2023</t>
        </is>
      </c>
      <c r="B11821" s="1" t="n">
        <v>45204</v>
      </c>
      <c r="C11821" s="1" t="n">
        <v>45736</v>
      </c>
      <c r="D11821" t="inlineStr">
        <is>
          <t>VÄRMLANDS LÄN</t>
        </is>
      </c>
      <c r="E11821" t="inlineStr">
        <is>
          <t>ÅRJÄNG</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47797-2023</t>
        </is>
      </c>
      <c r="B11822" s="1" t="n">
        <v>45204</v>
      </c>
      <c r="C11822" s="1" t="n">
        <v>45736</v>
      </c>
      <c r="D11822" t="inlineStr">
        <is>
          <t>VÄRMLANDS LÄN</t>
        </is>
      </c>
      <c r="E11822" t="inlineStr">
        <is>
          <t>HAGFORS</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47809-2023</t>
        </is>
      </c>
      <c r="B11823" s="1" t="n">
        <v>45204</v>
      </c>
      <c r="C11823" s="1" t="n">
        <v>45736</v>
      </c>
      <c r="D11823" t="inlineStr">
        <is>
          <t>VÄRMLANDS LÄN</t>
        </is>
      </c>
      <c r="E11823" t="inlineStr">
        <is>
          <t>ARVIKA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47814-2023</t>
        </is>
      </c>
      <c r="B11824" s="1" t="n">
        <v>45204</v>
      </c>
      <c r="C11824" s="1" t="n">
        <v>45736</v>
      </c>
      <c r="D11824" t="inlineStr">
        <is>
          <t>VÄRMLANDS LÄN</t>
        </is>
      </c>
      <c r="E11824" t="inlineStr">
        <is>
          <t>EDA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47842-2023</t>
        </is>
      </c>
      <c r="B11825" s="1" t="n">
        <v>45204</v>
      </c>
      <c r="C11825" s="1" t="n">
        <v>45736</v>
      </c>
      <c r="D11825" t="inlineStr">
        <is>
          <t>VÄRMLANDS LÄN</t>
        </is>
      </c>
      <c r="E11825" t="inlineStr">
        <is>
          <t>TORSBY</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47897-2023</t>
        </is>
      </c>
      <c r="B11826" s="1" t="n">
        <v>45204</v>
      </c>
      <c r="C11826" s="1" t="n">
        <v>45736</v>
      </c>
      <c r="D11826" t="inlineStr">
        <is>
          <t>VÄRMLANDS LÄN</t>
        </is>
      </c>
      <c r="E11826" t="inlineStr">
        <is>
          <t>KARLSTAD</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47901-2023</t>
        </is>
      </c>
      <c r="B11827" s="1" t="n">
        <v>45204</v>
      </c>
      <c r="C11827" s="1" t="n">
        <v>45736</v>
      </c>
      <c r="D11827" t="inlineStr">
        <is>
          <t>VÄRMLANDS LÄN</t>
        </is>
      </c>
      <c r="E11827" t="inlineStr">
        <is>
          <t>SÄFFLE</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47944-2023</t>
        </is>
      </c>
      <c r="B11828" s="1" t="n">
        <v>45204</v>
      </c>
      <c r="C11828" s="1" t="n">
        <v>45736</v>
      </c>
      <c r="D11828" t="inlineStr">
        <is>
          <t>VÄRMLANDS LÄN</t>
        </is>
      </c>
      <c r="E11828" t="inlineStr">
        <is>
          <t>HAGFORS</t>
        </is>
      </c>
      <c r="F11828" t="inlineStr">
        <is>
          <t>Bergvik skog väst AB</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47894-2023</t>
        </is>
      </c>
      <c r="B11829" s="1" t="n">
        <v>45204</v>
      </c>
      <c r="C11829" s="1" t="n">
        <v>45736</v>
      </c>
      <c r="D11829" t="inlineStr">
        <is>
          <t>VÄRMLANDS LÄN</t>
        </is>
      </c>
      <c r="E11829" t="inlineStr">
        <is>
          <t>STORFORS</t>
        </is>
      </c>
      <c r="F11829" t="inlineStr">
        <is>
          <t>Bergvik skog väst AB</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48018-2023</t>
        </is>
      </c>
      <c r="B11830" s="1" t="n">
        <v>45204</v>
      </c>
      <c r="C11830" s="1" t="n">
        <v>45736</v>
      </c>
      <c r="D11830" t="inlineStr">
        <is>
          <t>VÄRMLANDS LÄN</t>
        </is>
      </c>
      <c r="E11830" t="inlineStr">
        <is>
          <t>HAGFORS</t>
        </is>
      </c>
      <c r="F11830" t="inlineStr">
        <is>
          <t>Bergvik skog väst AB</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47961-2023</t>
        </is>
      </c>
      <c r="B11831" s="1" t="n">
        <v>45204</v>
      </c>
      <c r="C11831" s="1" t="n">
        <v>45736</v>
      </c>
      <c r="D11831" t="inlineStr">
        <is>
          <t>VÄRMLANDS LÄN</t>
        </is>
      </c>
      <c r="E11831" t="inlineStr">
        <is>
          <t>SUNNE</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47929-2023</t>
        </is>
      </c>
      <c r="B11832" s="1" t="n">
        <v>45204</v>
      </c>
      <c r="C11832" s="1" t="n">
        <v>45736</v>
      </c>
      <c r="D11832" t="inlineStr">
        <is>
          <t>VÄRMLANDS LÄN</t>
        </is>
      </c>
      <c r="E11832" t="inlineStr">
        <is>
          <t>KARLSTAD</t>
        </is>
      </c>
      <c r="F11832" t="inlineStr">
        <is>
          <t>Kommuner</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48028-2023</t>
        </is>
      </c>
      <c r="B11833" s="1" t="n">
        <v>45204</v>
      </c>
      <c r="C11833" s="1" t="n">
        <v>45736</v>
      </c>
      <c r="D11833" t="inlineStr">
        <is>
          <t>VÄRMLANDS LÄN</t>
        </is>
      </c>
      <c r="E11833" t="inlineStr">
        <is>
          <t>SUNNE</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48021-2023</t>
        </is>
      </c>
      <c r="B11834" s="1" t="n">
        <v>45204</v>
      </c>
      <c r="C11834" s="1" t="n">
        <v>45736</v>
      </c>
      <c r="D11834" t="inlineStr">
        <is>
          <t>VÄRMLANDS LÄN</t>
        </is>
      </c>
      <c r="E11834" t="inlineStr">
        <is>
          <t>SUNNE</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48053-2023</t>
        </is>
      </c>
      <c r="B11835" s="1" t="n">
        <v>45204</v>
      </c>
      <c r="C11835" s="1" t="n">
        <v>45736</v>
      </c>
      <c r="D11835" t="inlineStr">
        <is>
          <t>VÄRMLANDS LÄN</t>
        </is>
      </c>
      <c r="E11835" t="inlineStr">
        <is>
          <t>SUNNE</t>
        </is>
      </c>
      <c r="G11835" t="n">
        <v>8.9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48054-2023</t>
        </is>
      </c>
      <c r="B11836" s="1" t="n">
        <v>45204</v>
      </c>
      <c r="C11836" s="1" t="n">
        <v>45736</v>
      </c>
      <c r="D11836" t="inlineStr">
        <is>
          <t>VÄRMLANDS LÄN</t>
        </is>
      </c>
      <c r="E11836" t="inlineStr">
        <is>
          <t>SUNNE</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47796-2023</t>
        </is>
      </c>
      <c r="B11837" s="1" t="n">
        <v>45204</v>
      </c>
      <c r="C11837" s="1" t="n">
        <v>45736</v>
      </c>
      <c r="D11837" t="inlineStr">
        <is>
          <t>VÄRMLANDS LÄN</t>
        </is>
      </c>
      <c r="E11837" t="inlineStr">
        <is>
          <t>EDA</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47857-2023</t>
        </is>
      </c>
      <c r="B11838" s="1" t="n">
        <v>45204</v>
      </c>
      <c r="C11838" s="1" t="n">
        <v>45736</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48040-2023</t>
        </is>
      </c>
      <c r="B11839" s="1" t="n">
        <v>45204</v>
      </c>
      <c r="C11839" s="1" t="n">
        <v>45736</v>
      </c>
      <c r="D11839" t="inlineStr">
        <is>
          <t>VÄRMLANDS LÄN</t>
        </is>
      </c>
      <c r="E11839" t="inlineStr">
        <is>
          <t>FILIPSTAD</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48052-2023</t>
        </is>
      </c>
      <c r="B11840" s="1" t="n">
        <v>45204</v>
      </c>
      <c r="C11840" s="1" t="n">
        <v>45736</v>
      </c>
      <c r="D11840" t="inlineStr">
        <is>
          <t>VÄRMLANDS LÄN</t>
        </is>
      </c>
      <c r="E11840" t="inlineStr">
        <is>
          <t>SUNNE</t>
        </is>
      </c>
      <c r="G11840" t="n">
        <v>11.9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48878-2023</t>
        </is>
      </c>
      <c r="B11841" s="1" t="n">
        <v>45204</v>
      </c>
      <c r="C11841" s="1" t="n">
        <v>45736</v>
      </c>
      <c r="D11841" t="inlineStr">
        <is>
          <t>VÄRMLANDS LÄN</t>
        </is>
      </c>
      <c r="E11841" t="inlineStr">
        <is>
          <t>SÄFFLE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48106-2023</t>
        </is>
      </c>
      <c r="B11842" s="1" t="n">
        <v>45205</v>
      </c>
      <c r="C11842" s="1" t="n">
        <v>45736</v>
      </c>
      <c r="D11842" t="inlineStr">
        <is>
          <t>VÄRMLANDS LÄN</t>
        </is>
      </c>
      <c r="E11842" t="inlineStr">
        <is>
          <t>TORSBY</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48108-2023</t>
        </is>
      </c>
      <c r="B11843" s="1" t="n">
        <v>45205</v>
      </c>
      <c r="C11843" s="1" t="n">
        <v>45736</v>
      </c>
      <c r="D11843" t="inlineStr">
        <is>
          <t>VÄRMLANDS LÄN</t>
        </is>
      </c>
      <c r="E11843" t="inlineStr">
        <is>
          <t>SUNNE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48145-2023</t>
        </is>
      </c>
      <c r="B11844" s="1" t="n">
        <v>45205</v>
      </c>
      <c r="C11844" s="1" t="n">
        <v>45736</v>
      </c>
      <c r="D11844" t="inlineStr">
        <is>
          <t>VÄRMLANDS LÄN</t>
        </is>
      </c>
      <c r="E11844" t="inlineStr">
        <is>
          <t>TORSBY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48178-2023</t>
        </is>
      </c>
      <c r="B11845" s="1" t="n">
        <v>45205</v>
      </c>
      <c r="C11845" s="1" t="n">
        <v>45736</v>
      </c>
      <c r="D11845" t="inlineStr">
        <is>
          <t>VÄRMLANDS LÄN</t>
        </is>
      </c>
      <c r="E11845" t="inlineStr">
        <is>
          <t>SUNNE</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48141-2023</t>
        </is>
      </c>
      <c r="B11846" s="1" t="n">
        <v>45205</v>
      </c>
      <c r="C11846" s="1" t="n">
        <v>45736</v>
      </c>
      <c r="D11846" t="inlineStr">
        <is>
          <t>VÄRMLANDS LÄN</t>
        </is>
      </c>
      <c r="E11846" t="inlineStr">
        <is>
          <t>HAGFORS</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48236-2023</t>
        </is>
      </c>
      <c r="B11847" s="1" t="n">
        <v>45205</v>
      </c>
      <c r="C11847" s="1" t="n">
        <v>45736</v>
      </c>
      <c r="D11847" t="inlineStr">
        <is>
          <t>VÄRMLANDS LÄN</t>
        </is>
      </c>
      <c r="E11847" t="inlineStr">
        <is>
          <t>TORSBY</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48155-2023</t>
        </is>
      </c>
      <c r="B11848" s="1" t="n">
        <v>45205</v>
      </c>
      <c r="C11848" s="1" t="n">
        <v>45736</v>
      </c>
      <c r="D11848" t="inlineStr">
        <is>
          <t>VÄRMLANDS LÄN</t>
        </is>
      </c>
      <c r="E11848" t="inlineStr">
        <is>
          <t>TORSBY</t>
        </is>
      </c>
      <c r="F11848" t="inlineStr">
        <is>
          <t>Kyrkan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48170-2023</t>
        </is>
      </c>
      <c r="B11849" s="1" t="n">
        <v>45205</v>
      </c>
      <c r="C11849" s="1" t="n">
        <v>45736</v>
      </c>
      <c r="D11849" t="inlineStr">
        <is>
          <t>VÄRMLANDS LÄN</t>
        </is>
      </c>
      <c r="E11849" t="inlineStr">
        <is>
          <t>TORSBY</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48184-2023</t>
        </is>
      </c>
      <c r="B11850" s="1" t="n">
        <v>45205</v>
      </c>
      <c r="C11850" s="1" t="n">
        <v>45736</v>
      </c>
      <c r="D11850" t="inlineStr">
        <is>
          <t>VÄRMLANDS LÄN</t>
        </is>
      </c>
      <c r="E11850" t="inlineStr">
        <is>
          <t>SÄFFLE</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48324-2023</t>
        </is>
      </c>
      <c r="B11851" s="1" t="n">
        <v>45205</v>
      </c>
      <c r="C11851" s="1" t="n">
        <v>45736</v>
      </c>
      <c r="D11851" t="inlineStr">
        <is>
          <t>VÄRMLANDS LÄN</t>
        </is>
      </c>
      <c r="E11851" t="inlineStr">
        <is>
          <t>TORSBY</t>
        </is>
      </c>
      <c r="F11851" t="inlineStr">
        <is>
          <t>Bergvik skog väst AB</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48381-2023</t>
        </is>
      </c>
      <c r="B11852" s="1" t="n">
        <v>45205</v>
      </c>
      <c r="C11852" s="1" t="n">
        <v>45736</v>
      </c>
      <c r="D11852" t="inlineStr">
        <is>
          <t>VÄRMLANDS LÄN</t>
        </is>
      </c>
      <c r="E11852" t="inlineStr">
        <is>
          <t>TORSBY</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48294-2023</t>
        </is>
      </c>
      <c r="B11853" s="1" t="n">
        <v>45205</v>
      </c>
      <c r="C11853" s="1" t="n">
        <v>45736</v>
      </c>
      <c r="D11853" t="inlineStr">
        <is>
          <t>VÄRMLANDS LÄN</t>
        </is>
      </c>
      <c r="E11853" t="inlineStr">
        <is>
          <t>ARVIKA</t>
        </is>
      </c>
      <c r="F11853" t="inlineStr">
        <is>
          <t>Bergvik skog väst AB</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48384-2023</t>
        </is>
      </c>
      <c r="B11854" s="1" t="n">
        <v>45205</v>
      </c>
      <c r="C11854" s="1" t="n">
        <v>45736</v>
      </c>
      <c r="D11854" t="inlineStr">
        <is>
          <t>VÄRMLANDS LÄN</t>
        </is>
      </c>
      <c r="E11854" t="inlineStr">
        <is>
          <t>TORSBY</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48383-2023</t>
        </is>
      </c>
      <c r="B11855" s="1" t="n">
        <v>45205</v>
      </c>
      <c r="C11855" s="1" t="n">
        <v>45736</v>
      </c>
      <c r="D11855" t="inlineStr">
        <is>
          <t>VÄRMLANDS LÄN</t>
        </is>
      </c>
      <c r="E11855" t="inlineStr">
        <is>
          <t>TORSBY</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48453-2023</t>
        </is>
      </c>
      <c r="B11856" s="1" t="n">
        <v>45206</v>
      </c>
      <c r="C11856" s="1" t="n">
        <v>45736</v>
      </c>
      <c r="D11856" t="inlineStr">
        <is>
          <t>VÄRMLANDS LÄN</t>
        </is>
      </c>
      <c r="E11856" t="inlineStr">
        <is>
          <t>ÅRJÄNG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48457-2023</t>
        </is>
      </c>
      <c r="B11857" s="1" t="n">
        <v>45206</v>
      </c>
      <c r="C11857" s="1" t="n">
        <v>45736</v>
      </c>
      <c r="D11857" t="inlineStr">
        <is>
          <t>VÄRMLANDS LÄN</t>
        </is>
      </c>
      <c r="E11857" t="inlineStr">
        <is>
          <t>ARVIKA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48444-2023</t>
        </is>
      </c>
      <c r="B11858" s="1" t="n">
        <v>45206</v>
      </c>
      <c r="C11858" s="1" t="n">
        <v>45736</v>
      </c>
      <c r="D11858" t="inlineStr">
        <is>
          <t>VÄRMLANDS LÄN</t>
        </is>
      </c>
      <c r="E11858" t="inlineStr">
        <is>
          <t>ÅRJÄNG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48456-2023</t>
        </is>
      </c>
      <c r="B11859" s="1" t="n">
        <v>45206</v>
      </c>
      <c r="C11859" s="1" t="n">
        <v>45736</v>
      </c>
      <c r="D11859" t="inlineStr">
        <is>
          <t>VÄRMLANDS LÄN</t>
        </is>
      </c>
      <c r="E11859" t="inlineStr">
        <is>
          <t>TORSBY</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48455-2023</t>
        </is>
      </c>
      <c r="B11860" s="1" t="n">
        <v>45206</v>
      </c>
      <c r="C11860" s="1" t="n">
        <v>45736</v>
      </c>
      <c r="D11860" t="inlineStr">
        <is>
          <t>VÄRMLANDS LÄN</t>
        </is>
      </c>
      <c r="E11860" t="inlineStr">
        <is>
          <t>EDA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48442-2023</t>
        </is>
      </c>
      <c r="B11861" s="1" t="n">
        <v>45206</v>
      </c>
      <c r="C11861" s="1" t="n">
        <v>45736</v>
      </c>
      <c r="D11861" t="inlineStr">
        <is>
          <t>VÄRMLANDS LÄN</t>
        </is>
      </c>
      <c r="E11861" t="inlineStr">
        <is>
          <t>ÅRJÄNG</t>
        </is>
      </c>
      <c r="G11861" t="n">
        <v>10.4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48462-2023</t>
        </is>
      </c>
      <c r="B11862" s="1" t="n">
        <v>45206</v>
      </c>
      <c r="C11862" s="1" t="n">
        <v>45736</v>
      </c>
      <c r="D11862" t="inlineStr">
        <is>
          <t>VÄRMLANDS LÄN</t>
        </is>
      </c>
      <c r="E11862" t="inlineStr">
        <is>
          <t>ARVIKA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49599-2023</t>
        </is>
      </c>
      <c r="B11863" s="1" t="n">
        <v>45207</v>
      </c>
      <c r="C11863" s="1" t="n">
        <v>45736</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49602-2023</t>
        </is>
      </c>
      <c r="B11864" s="1" t="n">
        <v>45207</v>
      </c>
      <c r="C11864" s="1" t="n">
        <v>45736</v>
      </c>
      <c r="D11864" t="inlineStr">
        <is>
          <t>VÄRMLANDS LÄN</t>
        </is>
      </c>
      <c r="E11864" t="inlineStr">
        <is>
          <t>ARVIKA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49603-2023</t>
        </is>
      </c>
      <c r="B11865" s="1" t="n">
        <v>45207</v>
      </c>
      <c r="C11865" s="1" t="n">
        <v>45736</v>
      </c>
      <c r="D11865" t="inlineStr">
        <is>
          <t>VÄRMLANDS LÄN</t>
        </is>
      </c>
      <c r="E11865" t="inlineStr">
        <is>
          <t>ARVIKA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48510-2023</t>
        </is>
      </c>
      <c r="B11866" s="1" t="n">
        <v>45207</v>
      </c>
      <c r="C11866" s="1" t="n">
        <v>45736</v>
      </c>
      <c r="D11866" t="inlineStr">
        <is>
          <t>VÄRMLANDS LÄN</t>
        </is>
      </c>
      <c r="E11866" t="inlineStr">
        <is>
          <t>ARVIKA</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49604-2023</t>
        </is>
      </c>
      <c r="B11867" s="1" t="n">
        <v>45207</v>
      </c>
      <c r="C11867" s="1" t="n">
        <v>45736</v>
      </c>
      <c r="D11867" t="inlineStr">
        <is>
          <t>VÄRMLANDS LÄN</t>
        </is>
      </c>
      <c r="E11867" t="inlineStr">
        <is>
          <t>KIL</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48593-2023</t>
        </is>
      </c>
      <c r="B11868" s="1" t="n">
        <v>45208</v>
      </c>
      <c r="C11868" s="1" t="n">
        <v>45736</v>
      </c>
      <c r="D11868" t="inlineStr">
        <is>
          <t>VÄRMLANDS LÄN</t>
        </is>
      </c>
      <c r="E11868" t="inlineStr">
        <is>
          <t>KRISTINEHAMN</t>
        </is>
      </c>
      <c r="F11868" t="inlineStr">
        <is>
          <t>Naturvårdsverket</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48551-2023</t>
        </is>
      </c>
      <c r="B11869" s="1" t="n">
        <v>45208</v>
      </c>
      <c r="C11869" s="1" t="n">
        <v>45736</v>
      </c>
      <c r="D11869" t="inlineStr">
        <is>
          <t>VÄRMLANDS LÄN</t>
        </is>
      </c>
      <c r="E11869" t="inlineStr">
        <is>
          <t>GRUMS</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48561-2023</t>
        </is>
      </c>
      <c r="B11870" s="1" t="n">
        <v>45208</v>
      </c>
      <c r="C11870" s="1" t="n">
        <v>45736</v>
      </c>
      <c r="D11870" t="inlineStr">
        <is>
          <t>VÄRMLANDS LÄN</t>
        </is>
      </c>
      <c r="E11870" t="inlineStr">
        <is>
          <t>ÅRJÄNG</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48625-2023</t>
        </is>
      </c>
      <c r="B11871" s="1" t="n">
        <v>45208</v>
      </c>
      <c r="C11871" s="1" t="n">
        <v>45736</v>
      </c>
      <c r="D11871" t="inlineStr">
        <is>
          <t>VÄRMLANDS LÄN</t>
        </is>
      </c>
      <c r="E11871" t="inlineStr">
        <is>
          <t>TORSBY</t>
        </is>
      </c>
      <c r="F11871" t="inlineStr">
        <is>
          <t>Bergvik skog väst AB</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48616-2023</t>
        </is>
      </c>
      <c r="B11872" s="1" t="n">
        <v>45208</v>
      </c>
      <c r="C11872" s="1" t="n">
        <v>45736</v>
      </c>
      <c r="D11872" t="inlineStr">
        <is>
          <t>VÄRMLANDS LÄN</t>
        </is>
      </c>
      <c r="E11872" t="inlineStr">
        <is>
          <t>KARLSTAD</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48643-2023</t>
        </is>
      </c>
      <c r="B11873" s="1" t="n">
        <v>45208</v>
      </c>
      <c r="C11873" s="1" t="n">
        <v>45736</v>
      </c>
      <c r="D11873" t="inlineStr">
        <is>
          <t>VÄRMLANDS LÄN</t>
        </is>
      </c>
      <c r="E11873" t="inlineStr">
        <is>
          <t>KRISTINEHAMN</t>
        </is>
      </c>
      <c r="F11873" t="inlineStr">
        <is>
          <t>Naturvårdsverket</t>
        </is>
      </c>
      <c r="G11873" t="n">
        <v>5.5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48660-2023</t>
        </is>
      </c>
      <c r="B11874" s="1" t="n">
        <v>45208</v>
      </c>
      <c r="C11874" s="1" t="n">
        <v>45736</v>
      </c>
      <c r="D11874" t="inlineStr">
        <is>
          <t>VÄRMLANDS LÄN</t>
        </is>
      </c>
      <c r="E11874" t="inlineStr">
        <is>
          <t>HAGFORS</t>
        </is>
      </c>
      <c r="F11874" t="inlineStr">
        <is>
          <t>Bergvik skog väst AB</t>
        </is>
      </c>
      <c r="G11874" t="n">
        <v>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48692-2023</t>
        </is>
      </c>
      <c r="B11875" s="1" t="n">
        <v>45208</v>
      </c>
      <c r="C11875" s="1" t="n">
        <v>45736</v>
      </c>
      <c r="D11875" t="inlineStr">
        <is>
          <t>VÄRMLANDS LÄN</t>
        </is>
      </c>
      <c r="E11875" t="inlineStr">
        <is>
          <t>KRISTINEHAMN</t>
        </is>
      </c>
      <c r="F11875" t="inlineStr">
        <is>
          <t>Bergvik skog väst AB</t>
        </is>
      </c>
      <c r="G11875" t="n">
        <v>20.5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48635-2023</t>
        </is>
      </c>
      <c r="B11876" s="1" t="n">
        <v>45208</v>
      </c>
      <c r="C11876" s="1" t="n">
        <v>45736</v>
      </c>
      <c r="D11876" t="inlineStr">
        <is>
          <t>VÄRMLANDS LÄN</t>
        </is>
      </c>
      <c r="E11876" t="inlineStr">
        <is>
          <t>HAGFORS</t>
        </is>
      </c>
      <c r="F11876" t="inlineStr">
        <is>
          <t>Bergvik skog väst AB</t>
        </is>
      </c>
      <c r="G11876" t="n">
        <v>10.7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48727-2023</t>
        </is>
      </c>
      <c r="B11877" s="1" t="n">
        <v>45208</v>
      </c>
      <c r="C11877" s="1" t="n">
        <v>45736</v>
      </c>
      <c r="D11877" t="inlineStr">
        <is>
          <t>VÄRMLANDS LÄN</t>
        </is>
      </c>
      <c r="E11877" t="inlineStr">
        <is>
          <t>TORSBY</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48710-2023</t>
        </is>
      </c>
      <c r="B11878" s="1" t="n">
        <v>45208</v>
      </c>
      <c r="C11878" s="1" t="n">
        <v>45736</v>
      </c>
      <c r="D11878" t="inlineStr">
        <is>
          <t>VÄRMLANDS LÄN</t>
        </is>
      </c>
      <c r="E11878" t="inlineStr">
        <is>
          <t>ARVIKA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48713-2023</t>
        </is>
      </c>
      <c r="B11879" s="1" t="n">
        <v>45208</v>
      </c>
      <c r="C11879" s="1" t="n">
        <v>45736</v>
      </c>
      <c r="D11879" t="inlineStr">
        <is>
          <t>VÄRMLANDS LÄN</t>
        </is>
      </c>
      <c r="E11879" t="inlineStr">
        <is>
          <t>ARVIKA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48753-2023</t>
        </is>
      </c>
      <c r="B11880" s="1" t="n">
        <v>45208</v>
      </c>
      <c r="C11880" s="1" t="n">
        <v>45736</v>
      </c>
      <c r="D11880" t="inlineStr">
        <is>
          <t>VÄRMLANDS LÄN</t>
        </is>
      </c>
      <c r="E11880" t="inlineStr">
        <is>
          <t>TORSBY</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48762-2023</t>
        </is>
      </c>
      <c r="B11881" s="1" t="n">
        <v>45208</v>
      </c>
      <c r="C11881" s="1" t="n">
        <v>45736</v>
      </c>
      <c r="D11881" t="inlineStr">
        <is>
          <t>VÄRMLANDS LÄN</t>
        </is>
      </c>
      <c r="E11881" t="inlineStr">
        <is>
          <t>TORSBY</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48524-2023</t>
        </is>
      </c>
      <c r="B11882" s="1" t="n">
        <v>45208</v>
      </c>
      <c r="C11882" s="1" t="n">
        <v>45736</v>
      </c>
      <c r="D11882" t="inlineStr">
        <is>
          <t>VÄRMLANDS LÄN</t>
        </is>
      </c>
      <c r="E11882" t="inlineStr">
        <is>
          <t>FILIPSTAD</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48553-2023</t>
        </is>
      </c>
      <c r="B11883" s="1" t="n">
        <v>45208</v>
      </c>
      <c r="C11883" s="1" t="n">
        <v>45736</v>
      </c>
      <c r="D11883" t="inlineStr">
        <is>
          <t>VÄRMLANDS LÄN</t>
        </is>
      </c>
      <c r="E11883" t="inlineStr">
        <is>
          <t>GRUMS</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48711-2023</t>
        </is>
      </c>
      <c r="B11884" s="1" t="n">
        <v>45208</v>
      </c>
      <c r="C11884" s="1" t="n">
        <v>45736</v>
      </c>
      <c r="D11884" t="inlineStr">
        <is>
          <t>VÄRMLANDS LÄN</t>
        </is>
      </c>
      <c r="E11884" t="inlineStr">
        <is>
          <t>ARVIKA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49717-2023</t>
        </is>
      </c>
      <c r="B11885" s="1" t="n">
        <v>45208</v>
      </c>
      <c r="C11885" s="1" t="n">
        <v>45736</v>
      </c>
      <c r="D11885" t="inlineStr">
        <is>
          <t>VÄRMLANDS LÄN</t>
        </is>
      </c>
      <c r="E11885" t="inlineStr">
        <is>
          <t>TORSBY</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50083-2023</t>
        </is>
      </c>
      <c r="B11886" s="1" t="n">
        <v>45208</v>
      </c>
      <c r="C11886" s="1" t="n">
        <v>45736</v>
      </c>
      <c r="D11886" t="inlineStr">
        <is>
          <t>VÄRMLANDS LÄN</t>
        </is>
      </c>
      <c r="E11886" t="inlineStr">
        <is>
          <t>SÄFFLE</t>
        </is>
      </c>
      <c r="G11886" t="n">
        <v>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50103-2023</t>
        </is>
      </c>
      <c r="B11887" s="1" t="n">
        <v>45208</v>
      </c>
      <c r="C11887" s="1" t="n">
        <v>45736</v>
      </c>
      <c r="D11887" t="inlineStr">
        <is>
          <t>VÄRMLANDS LÄN</t>
        </is>
      </c>
      <c r="E11887" t="inlineStr">
        <is>
          <t>KRISTINEHAMN</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50076-2023</t>
        </is>
      </c>
      <c r="B11888" s="1" t="n">
        <v>45208</v>
      </c>
      <c r="C11888" s="1" t="n">
        <v>45736</v>
      </c>
      <c r="D11888" t="inlineStr">
        <is>
          <t>VÄRMLANDS LÄN</t>
        </is>
      </c>
      <c r="E11888" t="inlineStr">
        <is>
          <t>SÄFFLE</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50166-2023</t>
        </is>
      </c>
      <c r="B11889" s="1" t="n">
        <v>45208</v>
      </c>
      <c r="C11889" s="1" t="n">
        <v>45736</v>
      </c>
      <c r="D11889" t="inlineStr">
        <is>
          <t>VÄRMLANDS LÄN</t>
        </is>
      </c>
      <c r="E11889" t="inlineStr">
        <is>
          <t>TORSBY</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50149-2023</t>
        </is>
      </c>
      <c r="B11890" s="1" t="n">
        <v>45208</v>
      </c>
      <c r="C11890" s="1" t="n">
        <v>45736</v>
      </c>
      <c r="D11890" t="inlineStr">
        <is>
          <t>VÄRMLANDS LÄN</t>
        </is>
      </c>
      <c r="E11890" t="inlineStr">
        <is>
          <t>TORSBY</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48812-2023</t>
        </is>
      </c>
      <c r="B11891" s="1" t="n">
        <v>45209</v>
      </c>
      <c r="C11891" s="1" t="n">
        <v>45736</v>
      </c>
      <c r="D11891" t="inlineStr">
        <is>
          <t>VÄRMLANDS LÄN</t>
        </is>
      </c>
      <c r="E11891" t="inlineStr">
        <is>
          <t>SUNNE</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48805-2023</t>
        </is>
      </c>
      <c r="B11892" s="1" t="n">
        <v>45209</v>
      </c>
      <c r="C11892" s="1" t="n">
        <v>45736</v>
      </c>
      <c r="D11892" t="inlineStr">
        <is>
          <t>VÄRMLANDS LÄN</t>
        </is>
      </c>
      <c r="E11892" t="inlineStr">
        <is>
          <t>TORSBY</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48814-2023</t>
        </is>
      </c>
      <c r="B11893" s="1" t="n">
        <v>45209</v>
      </c>
      <c r="C11893" s="1" t="n">
        <v>45736</v>
      </c>
      <c r="D11893" t="inlineStr">
        <is>
          <t>VÄRMLANDS LÄN</t>
        </is>
      </c>
      <c r="E11893" t="inlineStr">
        <is>
          <t>SUNNE</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48820-2023</t>
        </is>
      </c>
      <c r="B11894" s="1" t="n">
        <v>45209</v>
      </c>
      <c r="C11894" s="1" t="n">
        <v>45736</v>
      </c>
      <c r="D11894" t="inlineStr">
        <is>
          <t>VÄRMLANDS LÄN</t>
        </is>
      </c>
      <c r="E11894" t="inlineStr">
        <is>
          <t>HAGFORS</t>
        </is>
      </c>
      <c r="F11894" t="inlineStr">
        <is>
          <t>Bergvik skog väst AB</t>
        </is>
      </c>
      <c r="G11894" t="n">
        <v>23.8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48842-2023</t>
        </is>
      </c>
      <c r="B11895" s="1" t="n">
        <v>45209</v>
      </c>
      <c r="C11895" s="1" t="n">
        <v>45736</v>
      </c>
      <c r="D11895" t="inlineStr">
        <is>
          <t>VÄRMLANDS LÄN</t>
        </is>
      </c>
      <c r="E11895" t="inlineStr">
        <is>
          <t>TORSBY</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48967-2023</t>
        </is>
      </c>
      <c r="B11896" s="1" t="n">
        <v>45209</v>
      </c>
      <c r="C11896" s="1" t="n">
        <v>45736</v>
      </c>
      <c r="D11896" t="inlineStr">
        <is>
          <t>VÄRMLANDS LÄN</t>
        </is>
      </c>
      <c r="E11896" t="inlineStr">
        <is>
          <t>MUNKFORS</t>
        </is>
      </c>
      <c r="F11896" t="inlineStr">
        <is>
          <t>Bergvik skog väst AB</t>
        </is>
      </c>
      <c r="G11896" t="n">
        <v>8.699999999999999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48929-2023</t>
        </is>
      </c>
      <c r="B11897" s="1" t="n">
        <v>45209</v>
      </c>
      <c r="C11897" s="1" t="n">
        <v>45736</v>
      </c>
      <c r="D11897" t="inlineStr">
        <is>
          <t>VÄRMLANDS LÄN</t>
        </is>
      </c>
      <c r="E11897" t="inlineStr">
        <is>
          <t>EDA</t>
        </is>
      </c>
      <c r="G11897" t="n">
        <v>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48975-2023</t>
        </is>
      </c>
      <c r="B11898" s="1" t="n">
        <v>45209</v>
      </c>
      <c r="C11898" s="1" t="n">
        <v>45736</v>
      </c>
      <c r="D11898" t="inlineStr">
        <is>
          <t>VÄRMLANDS LÄN</t>
        </is>
      </c>
      <c r="E11898" t="inlineStr">
        <is>
          <t>ARVIKA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48928-2023</t>
        </is>
      </c>
      <c r="B11899" s="1" t="n">
        <v>45209</v>
      </c>
      <c r="C11899" s="1" t="n">
        <v>45736</v>
      </c>
      <c r="D11899" t="inlineStr">
        <is>
          <t>VÄRMLANDS LÄN</t>
        </is>
      </c>
      <c r="E11899" t="inlineStr">
        <is>
          <t>HAGFORS</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48963-2023</t>
        </is>
      </c>
      <c r="B11900" s="1" t="n">
        <v>45209</v>
      </c>
      <c r="C11900" s="1" t="n">
        <v>45736</v>
      </c>
      <c r="D11900" t="inlineStr">
        <is>
          <t>VÄRMLANDS LÄN</t>
        </is>
      </c>
      <c r="E11900" t="inlineStr">
        <is>
          <t>FILIPSTAD</t>
        </is>
      </c>
      <c r="F11900" t="inlineStr">
        <is>
          <t>Bergvik skog väst AB</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48981-2023</t>
        </is>
      </c>
      <c r="B11901" s="1" t="n">
        <v>45209</v>
      </c>
      <c r="C11901" s="1" t="n">
        <v>45736</v>
      </c>
      <c r="D11901" t="inlineStr">
        <is>
          <t>VÄRMLANDS LÄN</t>
        </is>
      </c>
      <c r="E11901" t="inlineStr">
        <is>
          <t>EDA</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49024-2023</t>
        </is>
      </c>
      <c r="B11902" s="1" t="n">
        <v>45209</v>
      </c>
      <c r="C11902" s="1" t="n">
        <v>45736</v>
      </c>
      <c r="D11902" t="inlineStr">
        <is>
          <t>VÄRMLANDS LÄN</t>
        </is>
      </c>
      <c r="E11902" t="inlineStr">
        <is>
          <t>KRISTINEHAMN</t>
        </is>
      </c>
      <c r="G11902" t="n">
        <v>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49054-2023</t>
        </is>
      </c>
      <c r="B11903" s="1" t="n">
        <v>45210</v>
      </c>
      <c r="C11903" s="1" t="n">
        <v>45736</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49067-2023</t>
        </is>
      </c>
      <c r="B11904" s="1" t="n">
        <v>45210</v>
      </c>
      <c r="C11904" s="1" t="n">
        <v>45736</v>
      </c>
      <c r="D11904" t="inlineStr">
        <is>
          <t>VÄRMLANDS LÄN</t>
        </is>
      </c>
      <c r="E11904" t="inlineStr">
        <is>
          <t>KRISTINEHAMN</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49214-2023</t>
        </is>
      </c>
      <c r="B11905" s="1" t="n">
        <v>45210</v>
      </c>
      <c r="C11905" s="1" t="n">
        <v>45736</v>
      </c>
      <c r="D11905" t="inlineStr">
        <is>
          <t>VÄRMLANDS LÄN</t>
        </is>
      </c>
      <c r="E11905" t="inlineStr">
        <is>
          <t>SUNNE</t>
        </is>
      </c>
      <c r="F11905" t="inlineStr">
        <is>
          <t>Kommuner</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49145-2023</t>
        </is>
      </c>
      <c r="B11906" s="1" t="n">
        <v>45210</v>
      </c>
      <c r="C11906" s="1" t="n">
        <v>45736</v>
      </c>
      <c r="D11906" t="inlineStr">
        <is>
          <t>VÄRMLANDS LÄN</t>
        </is>
      </c>
      <c r="E11906" t="inlineStr">
        <is>
          <t>KRISTINEHAMN</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49167-2023</t>
        </is>
      </c>
      <c r="B11907" s="1" t="n">
        <v>45210</v>
      </c>
      <c r="C11907" s="1" t="n">
        <v>45736</v>
      </c>
      <c r="D11907" t="inlineStr">
        <is>
          <t>VÄRMLANDS LÄN</t>
        </is>
      </c>
      <c r="E11907" t="inlineStr">
        <is>
          <t>FILIPSTAD</t>
        </is>
      </c>
      <c r="F11907" t="inlineStr">
        <is>
          <t>Bergvik skog väst AB</t>
        </is>
      </c>
      <c r="G11907" t="n">
        <v>27.4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49208-2023</t>
        </is>
      </c>
      <c r="B11908" s="1" t="n">
        <v>45210</v>
      </c>
      <c r="C11908" s="1" t="n">
        <v>45736</v>
      </c>
      <c r="D11908" t="inlineStr">
        <is>
          <t>VÄRMLANDS LÄN</t>
        </is>
      </c>
      <c r="E11908" t="inlineStr">
        <is>
          <t>FILIPSTAD</t>
        </is>
      </c>
      <c r="F11908" t="inlineStr">
        <is>
          <t>Bergvik skog väst AB</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49222-2023</t>
        </is>
      </c>
      <c r="B11909" s="1" t="n">
        <v>45210</v>
      </c>
      <c r="C11909" s="1" t="n">
        <v>45736</v>
      </c>
      <c r="D11909" t="inlineStr">
        <is>
          <t>VÄRMLANDS LÄN</t>
        </is>
      </c>
      <c r="E11909" t="inlineStr">
        <is>
          <t>EDA</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49293-2023</t>
        </is>
      </c>
      <c r="B11910" s="1" t="n">
        <v>45210</v>
      </c>
      <c r="C11910" s="1" t="n">
        <v>45736</v>
      </c>
      <c r="D11910" t="inlineStr">
        <is>
          <t>VÄRMLANDS LÄN</t>
        </is>
      </c>
      <c r="E11910" t="inlineStr">
        <is>
          <t>KRISTINEHAMN</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49097-2023</t>
        </is>
      </c>
      <c r="B11911" s="1" t="n">
        <v>45210</v>
      </c>
      <c r="C11911" s="1" t="n">
        <v>45736</v>
      </c>
      <c r="D11911" t="inlineStr">
        <is>
          <t>VÄRMLANDS LÄN</t>
        </is>
      </c>
      <c r="E11911" t="inlineStr">
        <is>
          <t>ARVIKA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49057-2023</t>
        </is>
      </c>
      <c r="B11912" s="1" t="n">
        <v>45210</v>
      </c>
      <c r="C11912" s="1" t="n">
        <v>45736</v>
      </c>
      <c r="D11912" t="inlineStr">
        <is>
          <t>VÄRMLANDS LÄN</t>
        </is>
      </c>
      <c r="E11912" t="inlineStr">
        <is>
          <t>SÄFFLE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49164-2023</t>
        </is>
      </c>
      <c r="B11913" s="1" t="n">
        <v>45210</v>
      </c>
      <c r="C11913" s="1" t="n">
        <v>45736</v>
      </c>
      <c r="D11913" t="inlineStr">
        <is>
          <t>VÄRMLANDS LÄN</t>
        </is>
      </c>
      <c r="E11913" t="inlineStr">
        <is>
          <t>KARLSTAD</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49213-2023</t>
        </is>
      </c>
      <c r="B11914" s="1" t="n">
        <v>45210</v>
      </c>
      <c r="C11914" s="1" t="n">
        <v>45736</v>
      </c>
      <c r="D11914" t="inlineStr">
        <is>
          <t>VÄRMLANDS LÄN</t>
        </is>
      </c>
      <c r="E11914" t="inlineStr">
        <is>
          <t>SUNNE</t>
        </is>
      </c>
      <c r="F11914" t="inlineStr">
        <is>
          <t>Kommuner</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49217-2023</t>
        </is>
      </c>
      <c r="B11915" s="1" t="n">
        <v>45210</v>
      </c>
      <c r="C11915" s="1" t="n">
        <v>45736</v>
      </c>
      <c r="D11915" t="inlineStr">
        <is>
          <t>VÄRMLANDS LÄN</t>
        </is>
      </c>
      <c r="E11915" t="inlineStr">
        <is>
          <t>SUNNE</t>
        </is>
      </c>
      <c r="F11915" t="inlineStr">
        <is>
          <t>Kommuner</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49227-2023</t>
        </is>
      </c>
      <c r="B11916" s="1" t="n">
        <v>45210</v>
      </c>
      <c r="C11916" s="1" t="n">
        <v>45736</v>
      </c>
      <c r="D11916" t="inlineStr">
        <is>
          <t>VÄRMLANDS LÄN</t>
        </is>
      </c>
      <c r="E11916" t="inlineStr">
        <is>
          <t>EDA</t>
        </is>
      </c>
      <c r="G11916" t="n">
        <v>13.5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49245-2023</t>
        </is>
      </c>
      <c r="B11917" s="1" t="n">
        <v>45210</v>
      </c>
      <c r="C11917" s="1" t="n">
        <v>45736</v>
      </c>
      <c r="D11917" t="inlineStr">
        <is>
          <t>VÄRMLANDS LÄN</t>
        </is>
      </c>
      <c r="E11917" t="inlineStr">
        <is>
          <t>ARVIKA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49250-2023</t>
        </is>
      </c>
      <c r="B11918" s="1" t="n">
        <v>45210</v>
      </c>
      <c r="C11918" s="1" t="n">
        <v>45736</v>
      </c>
      <c r="D11918" t="inlineStr">
        <is>
          <t>VÄRMLANDS LÄN</t>
        </is>
      </c>
      <c r="E11918" t="inlineStr">
        <is>
          <t>ARVIKA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49149-2023</t>
        </is>
      </c>
      <c r="B11919" s="1" t="n">
        <v>45210</v>
      </c>
      <c r="C11919" s="1" t="n">
        <v>45736</v>
      </c>
      <c r="D11919" t="inlineStr">
        <is>
          <t>VÄRMLANDS LÄN</t>
        </is>
      </c>
      <c r="E11919" t="inlineStr">
        <is>
          <t>KRISTINEHAMN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49170-2023</t>
        </is>
      </c>
      <c r="B11920" s="1" t="n">
        <v>45210</v>
      </c>
      <c r="C11920" s="1" t="n">
        <v>45736</v>
      </c>
      <c r="D11920" t="inlineStr">
        <is>
          <t>VÄRMLANDS LÄN</t>
        </is>
      </c>
      <c r="E11920" t="inlineStr">
        <is>
          <t>TORSBY</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49179-2023</t>
        </is>
      </c>
      <c r="B11921" s="1" t="n">
        <v>45210</v>
      </c>
      <c r="C11921" s="1" t="n">
        <v>45736</v>
      </c>
      <c r="D11921" t="inlineStr">
        <is>
          <t>VÄRMLANDS LÄN</t>
        </is>
      </c>
      <c r="E11921" t="inlineStr">
        <is>
          <t>TORSBY</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49229-2023</t>
        </is>
      </c>
      <c r="B11922" s="1" t="n">
        <v>45210</v>
      </c>
      <c r="C11922" s="1" t="n">
        <v>45736</v>
      </c>
      <c r="D11922" t="inlineStr">
        <is>
          <t>VÄRMLANDS LÄN</t>
        </is>
      </c>
      <c r="E11922" t="inlineStr">
        <is>
          <t>EDA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49294-2023</t>
        </is>
      </c>
      <c r="B11923" s="1" t="n">
        <v>45210</v>
      </c>
      <c r="C11923" s="1" t="n">
        <v>45736</v>
      </c>
      <c r="D11923" t="inlineStr">
        <is>
          <t>VÄRMLANDS LÄN</t>
        </is>
      </c>
      <c r="E11923" t="inlineStr">
        <is>
          <t>KRISTINEHAMN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49295-2023</t>
        </is>
      </c>
      <c r="B11924" s="1" t="n">
        <v>45210</v>
      </c>
      <c r="C11924" s="1" t="n">
        <v>45736</v>
      </c>
      <c r="D11924" t="inlineStr">
        <is>
          <t>VÄRMLANDS LÄN</t>
        </is>
      </c>
      <c r="E11924" t="inlineStr">
        <is>
          <t>ARVIKA</t>
        </is>
      </c>
      <c r="G11924" t="n">
        <v>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49337-2023</t>
        </is>
      </c>
      <c r="B11925" s="1" t="n">
        <v>45211</v>
      </c>
      <c r="C11925" s="1" t="n">
        <v>45736</v>
      </c>
      <c r="D11925" t="inlineStr">
        <is>
          <t>VÄRMLANDS LÄN</t>
        </is>
      </c>
      <c r="E11925" t="inlineStr">
        <is>
          <t>ARVIKA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49296-2023</t>
        </is>
      </c>
      <c r="B11926" s="1" t="n">
        <v>45210</v>
      </c>
      <c r="C11926" s="1" t="n">
        <v>45736</v>
      </c>
      <c r="D11926" t="inlineStr">
        <is>
          <t>VÄRMLANDS LÄN</t>
        </is>
      </c>
      <c r="E11926" t="inlineStr">
        <is>
          <t>TORSBY</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49312-2023</t>
        </is>
      </c>
      <c r="B11927" s="1" t="n">
        <v>45210</v>
      </c>
      <c r="C11927" s="1" t="n">
        <v>45736</v>
      </c>
      <c r="D11927" t="inlineStr">
        <is>
          <t>VÄRMLANDS LÄN</t>
        </is>
      </c>
      <c r="E11927" t="inlineStr">
        <is>
          <t>ARVIKA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50580-2023</t>
        </is>
      </c>
      <c r="B11928" s="1" t="n">
        <v>45210</v>
      </c>
      <c r="C11928" s="1" t="n">
        <v>45736</v>
      </c>
      <c r="D11928" t="inlineStr">
        <is>
          <t>VÄRMLANDS LÄN</t>
        </is>
      </c>
      <c r="E11928" t="inlineStr">
        <is>
          <t>ARVIKA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50602-2023</t>
        </is>
      </c>
      <c r="B11929" s="1" t="n">
        <v>45210</v>
      </c>
      <c r="C11929" s="1" t="n">
        <v>45736</v>
      </c>
      <c r="D11929" t="inlineStr">
        <is>
          <t>VÄRMLANDS LÄN</t>
        </is>
      </c>
      <c r="E11929" t="inlineStr">
        <is>
          <t>ARVIKA</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50563-2023</t>
        </is>
      </c>
      <c r="B11930" s="1" t="n">
        <v>45210</v>
      </c>
      <c r="C11930" s="1" t="n">
        <v>45736</v>
      </c>
      <c r="D11930" t="inlineStr">
        <is>
          <t>VÄRMLANDS LÄN</t>
        </is>
      </c>
      <c r="E11930" t="inlineStr">
        <is>
          <t>ARVIKA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50584-2023</t>
        </is>
      </c>
      <c r="B11931" s="1" t="n">
        <v>45210</v>
      </c>
      <c r="C11931" s="1" t="n">
        <v>45736</v>
      </c>
      <c r="D11931" t="inlineStr">
        <is>
          <t>VÄRMLANDS LÄN</t>
        </is>
      </c>
      <c r="E11931" t="inlineStr">
        <is>
          <t>ARVIKA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49520-2023</t>
        </is>
      </c>
      <c r="B11932" s="1" t="n">
        <v>45211</v>
      </c>
      <c r="C11932" s="1" t="n">
        <v>45736</v>
      </c>
      <c r="D11932" t="inlineStr">
        <is>
          <t>VÄRMLANDS LÄN</t>
        </is>
      </c>
      <c r="E11932" t="inlineStr">
        <is>
          <t>SÄFFLE</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49436-2023</t>
        </is>
      </c>
      <c r="B11933" s="1" t="n">
        <v>45211</v>
      </c>
      <c r="C11933" s="1" t="n">
        <v>45736</v>
      </c>
      <c r="D11933" t="inlineStr">
        <is>
          <t>VÄRMLANDS LÄN</t>
        </is>
      </c>
      <c r="E11933" t="inlineStr">
        <is>
          <t>FILIPSTAD</t>
        </is>
      </c>
      <c r="F11933" t="inlineStr">
        <is>
          <t>Bergvik skog väst AB</t>
        </is>
      </c>
      <c r="G11933" t="n">
        <v>15.7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49500-2023</t>
        </is>
      </c>
      <c r="B11934" s="1" t="n">
        <v>45211</v>
      </c>
      <c r="C11934" s="1" t="n">
        <v>45736</v>
      </c>
      <c r="D11934" t="inlineStr">
        <is>
          <t>VÄRMLANDS LÄN</t>
        </is>
      </c>
      <c r="E11934" t="inlineStr">
        <is>
          <t>MUNKFORS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49528-2023</t>
        </is>
      </c>
      <c r="B11935" s="1" t="n">
        <v>45211</v>
      </c>
      <c r="C11935" s="1" t="n">
        <v>45736</v>
      </c>
      <c r="D11935" t="inlineStr">
        <is>
          <t>VÄRMLANDS LÄN</t>
        </is>
      </c>
      <c r="E11935" t="inlineStr">
        <is>
          <t>SÄFFLE</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49585-2023</t>
        </is>
      </c>
      <c r="B11936" s="1" t="n">
        <v>45211</v>
      </c>
      <c r="C11936" s="1" t="n">
        <v>45736</v>
      </c>
      <c r="D11936" t="inlineStr">
        <is>
          <t>VÄRMLANDS LÄN</t>
        </is>
      </c>
      <c r="E11936" t="inlineStr">
        <is>
          <t>HAGFORS</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49628-2023</t>
        </is>
      </c>
      <c r="B11937" s="1" t="n">
        <v>45211</v>
      </c>
      <c r="C11937" s="1" t="n">
        <v>45736</v>
      </c>
      <c r="D11937" t="inlineStr">
        <is>
          <t>VÄRMLANDS LÄN</t>
        </is>
      </c>
      <c r="E11937" t="inlineStr">
        <is>
          <t>KARLSTAD</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51079-2023</t>
        </is>
      </c>
      <c r="B11938" s="1" t="n">
        <v>45211</v>
      </c>
      <c r="C11938" s="1" t="n">
        <v>45736</v>
      </c>
      <c r="D11938" t="inlineStr">
        <is>
          <t>VÄRMLANDS LÄN</t>
        </is>
      </c>
      <c r="E11938" t="inlineStr">
        <is>
          <t>TORSBY</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50931-2023</t>
        </is>
      </c>
      <c r="B11939" s="1" t="n">
        <v>45211</v>
      </c>
      <c r="C11939" s="1" t="n">
        <v>45736</v>
      </c>
      <c r="D11939" t="inlineStr">
        <is>
          <t>VÄRMLANDS LÄN</t>
        </is>
      </c>
      <c r="E11939" t="inlineStr">
        <is>
          <t>HAGFORS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50929-2023</t>
        </is>
      </c>
      <c r="B11940" s="1" t="n">
        <v>45211</v>
      </c>
      <c r="C11940" s="1" t="n">
        <v>45736</v>
      </c>
      <c r="D11940" t="inlineStr">
        <is>
          <t>VÄRMLANDS LÄN</t>
        </is>
      </c>
      <c r="E11940" t="inlineStr">
        <is>
          <t>HAGFORS</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50933-2023</t>
        </is>
      </c>
      <c r="B11941" s="1" t="n">
        <v>45211</v>
      </c>
      <c r="C11941" s="1" t="n">
        <v>45736</v>
      </c>
      <c r="D11941" t="inlineStr">
        <is>
          <t>VÄRMLANDS LÄN</t>
        </is>
      </c>
      <c r="E11941" t="inlineStr">
        <is>
          <t>HAGFORS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50999-2023</t>
        </is>
      </c>
      <c r="B11942" s="1" t="n">
        <v>45211</v>
      </c>
      <c r="C11942" s="1" t="n">
        <v>45736</v>
      </c>
      <c r="D11942" t="inlineStr">
        <is>
          <t>VÄRMLANDS LÄN</t>
        </is>
      </c>
      <c r="E11942" t="inlineStr">
        <is>
          <t>KRISTINEHAMN</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50922-2023</t>
        </is>
      </c>
      <c r="B11943" s="1" t="n">
        <v>45211</v>
      </c>
      <c r="C11943" s="1" t="n">
        <v>45736</v>
      </c>
      <c r="D11943" t="inlineStr">
        <is>
          <t>VÄRMLANDS LÄN</t>
        </is>
      </c>
      <c r="E11943" t="inlineStr">
        <is>
          <t>HAGFORS</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51076-2023</t>
        </is>
      </c>
      <c r="B11944" s="1" t="n">
        <v>45211</v>
      </c>
      <c r="C11944" s="1" t="n">
        <v>45736</v>
      </c>
      <c r="D11944" t="inlineStr">
        <is>
          <t>VÄRMLANDS LÄN</t>
        </is>
      </c>
      <c r="E11944" t="inlineStr">
        <is>
          <t>SUNNE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49683-2023</t>
        </is>
      </c>
      <c r="B11945" s="1" t="n">
        <v>45212</v>
      </c>
      <c r="C11945" s="1" t="n">
        <v>45736</v>
      </c>
      <c r="D11945" t="inlineStr">
        <is>
          <t>VÄRMLANDS LÄN</t>
        </is>
      </c>
      <c r="E11945" t="inlineStr">
        <is>
          <t>SUNNE</t>
        </is>
      </c>
      <c r="F11945" t="inlineStr">
        <is>
          <t>Kommuner</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49755-2023</t>
        </is>
      </c>
      <c r="B11946" s="1" t="n">
        <v>45212</v>
      </c>
      <c r="C11946" s="1" t="n">
        <v>45736</v>
      </c>
      <c r="D11946" t="inlineStr">
        <is>
          <t>VÄRMLANDS LÄN</t>
        </is>
      </c>
      <c r="E11946" t="inlineStr">
        <is>
          <t>TORSBY</t>
        </is>
      </c>
      <c r="F11946" t="inlineStr">
        <is>
          <t>Bergvik skog väst AB</t>
        </is>
      </c>
      <c r="G11946" t="n">
        <v>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49732-2023</t>
        </is>
      </c>
      <c r="B11947" s="1" t="n">
        <v>45212</v>
      </c>
      <c r="C11947" s="1" t="n">
        <v>45736</v>
      </c>
      <c r="D11947" t="inlineStr">
        <is>
          <t>VÄRMLANDS LÄN</t>
        </is>
      </c>
      <c r="E11947" t="inlineStr">
        <is>
          <t>HAGFORS</t>
        </is>
      </c>
      <c r="F11947" t="inlineStr">
        <is>
          <t>Bergvik skog väst AB</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49738-2023</t>
        </is>
      </c>
      <c r="B11948" s="1" t="n">
        <v>45212</v>
      </c>
      <c r="C11948" s="1" t="n">
        <v>45736</v>
      </c>
      <c r="D11948" t="inlineStr">
        <is>
          <t>VÄRMLANDS LÄN</t>
        </is>
      </c>
      <c r="E11948" t="inlineStr">
        <is>
          <t>STORFORS</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49777-2023</t>
        </is>
      </c>
      <c r="B11949" s="1" t="n">
        <v>45212</v>
      </c>
      <c r="C11949" s="1" t="n">
        <v>45736</v>
      </c>
      <c r="D11949" t="inlineStr">
        <is>
          <t>VÄRMLANDS LÄN</t>
        </is>
      </c>
      <c r="E11949" t="inlineStr">
        <is>
          <t>TORSBY</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49766-2023</t>
        </is>
      </c>
      <c r="B11950" s="1" t="n">
        <v>45212</v>
      </c>
      <c r="C11950" s="1" t="n">
        <v>45736</v>
      </c>
      <c r="D11950" t="inlineStr">
        <is>
          <t>VÄRMLANDS LÄN</t>
        </is>
      </c>
      <c r="E11950" t="inlineStr">
        <is>
          <t>HAGFORS</t>
        </is>
      </c>
      <c r="F11950" t="inlineStr">
        <is>
          <t>Bergvik skog väst AB</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49815-2023</t>
        </is>
      </c>
      <c r="B11951" s="1" t="n">
        <v>45212</v>
      </c>
      <c r="C11951" s="1" t="n">
        <v>45736</v>
      </c>
      <c r="D11951" t="inlineStr">
        <is>
          <t>VÄRMLANDS LÄN</t>
        </is>
      </c>
      <c r="E11951" t="inlineStr">
        <is>
          <t>TORSBY</t>
        </is>
      </c>
      <c r="F11951" t="inlineStr">
        <is>
          <t>Bergvik skog väst AB</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49770-2023</t>
        </is>
      </c>
      <c r="B11952" s="1" t="n">
        <v>45212</v>
      </c>
      <c r="C11952" s="1" t="n">
        <v>45736</v>
      </c>
      <c r="D11952" t="inlineStr">
        <is>
          <t>VÄRMLANDS LÄN</t>
        </is>
      </c>
      <c r="E11952" t="inlineStr">
        <is>
          <t>SÄFFLE</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49741-2023</t>
        </is>
      </c>
      <c r="B11953" s="1" t="n">
        <v>45212</v>
      </c>
      <c r="C11953" s="1" t="n">
        <v>45736</v>
      </c>
      <c r="D11953" t="inlineStr">
        <is>
          <t>VÄRMLANDS LÄN</t>
        </is>
      </c>
      <c r="E11953" t="inlineStr">
        <is>
          <t>STORFORS</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49745-2023</t>
        </is>
      </c>
      <c r="B11954" s="1" t="n">
        <v>45212</v>
      </c>
      <c r="C11954" s="1" t="n">
        <v>45736</v>
      </c>
      <c r="D11954" t="inlineStr">
        <is>
          <t>VÄRMLANDS LÄN</t>
        </is>
      </c>
      <c r="E11954" t="inlineStr">
        <is>
          <t>TORSBY</t>
        </is>
      </c>
      <c r="F11954" t="inlineStr">
        <is>
          <t>Bergvik skog väst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49753-2023</t>
        </is>
      </c>
      <c r="B11955" s="1" t="n">
        <v>45212</v>
      </c>
      <c r="C11955" s="1" t="n">
        <v>45736</v>
      </c>
      <c r="D11955" t="inlineStr">
        <is>
          <t>VÄRMLANDS LÄN</t>
        </is>
      </c>
      <c r="E11955" t="inlineStr">
        <is>
          <t>HAGFORS</t>
        </is>
      </c>
      <c r="F11955" t="inlineStr">
        <is>
          <t>Bergvik skog väst AB</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49769-2023</t>
        </is>
      </c>
      <c r="B11956" s="1" t="n">
        <v>45212</v>
      </c>
      <c r="C11956" s="1" t="n">
        <v>45736</v>
      </c>
      <c r="D11956" t="inlineStr">
        <is>
          <t>VÄRMLANDS LÄN</t>
        </is>
      </c>
      <c r="E11956" t="inlineStr">
        <is>
          <t>SUNNE</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49773-2023</t>
        </is>
      </c>
      <c r="B11957" s="1" t="n">
        <v>45212</v>
      </c>
      <c r="C11957" s="1" t="n">
        <v>45736</v>
      </c>
      <c r="D11957" t="inlineStr">
        <is>
          <t>VÄRMLANDS LÄN</t>
        </is>
      </c>
      <c r="E11957" t="inlineStr">
        <is>
          <t>HAGFORS</t>
        </is>
      </c>
      <c r="F11957" t="inlineStr">
        <is>
          <t>Bergvik skog väst AB</t>
        </is>
      </c>
      <c r="G11957" t="n">
        <v>15.9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49779-2023</t>
        </is>
      </c>
      <c r="B11958" s="1" t="n">
        <v>45212</v>
      </c>
      <c r="C11958" s="1" t="n">
        <v>45736</v>
      </c>
      <c r="D11958" t="inlineStr">
        <is>
          <t>VÄRMLANDS LÄN</t>
        </is>
      </c>
      <c r="E11958" t="inlineStr">
        <is>
          <t>SUNNE</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49818-2023</t>
        </is>
      </c>
      <c r="B11959" s="1" t="n">
        <v>45212</v>
      </c>
      <c r="C11959" s="1" t="n">
        <v>45736</v>
      </c>
      <c r="D11959" t="inlineStr">
        <is>
          <t>VÄRMLANDS LÄN</t>
        </is>
      </c>
      <c r="E11959" t="inlineStr">
        <is>
          <t>FILIPSTAD</t>
        </is>
      </c>
      <c r="F11959" t="inlineStr">
        <is>
          <t>Bergvik skog väst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49850-2023</t>
        </is>
      </c>
      <c r="B11960" s="1" t="n">
        <v>45212</v>
      </c>
      <c r="C11960" s="1" t="n">
        <v>45736</v>
      </c>
      <c r="D11960" t="inlineStr">
        <is>
          <t>VÄRMLANDS LÄN</t>
        </is>
      </c>
      <c r="E11960" t="inlineStr">
        <is>
          <t>ARVIKA</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49849-2023</t>
        </is>
      </c>
      <c r="B11961" s="1" t="n">
        <v>45212</v>
      </c>
      <c r="C11961" s="1" t="n">
        <v>45736</v>
      </c>
      <c r="D11961" t="inlineStr">
        <is>
          <t>VÄRMLANDS LÄN</t>
        </is>
      </c>
      <c r="E11961" t="inlineStr">
        <is>
          <t>ARVIKA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51144-2023</t>
        </is>
      </c>
      <c r="B11962" s="1" t="n">
        <v>45212</v>
      </c>
      <c r="C11962" s="1" t="n">
        <v>45736</v>
      </c>
      <c r="D11962" t="inlineStr">
        <is>
          <t>VÄRMLANDS LÄN</t>
        </is>
      </c>
      <c r="E11962" t="inlineStr">
        <is>
          <t>TORSBY</t>
        </is>
      </c>
      <c r="G11962" t="n">
        <v>7.3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49927-2023</t>
        </is>
      </c>
      <c r="B11963" s="1" t="n">
        <v>45214</v>
      </c>
      <c r="C11963" s="1" t="n">
        <v>45736</v>
      </c>
      <c r="D11963" t="inlineStr">
        <is>
          <t>VÄRMLANDS LÄN</t>
        </is>
      </c>
      <c r="E11963" t="inlineStr">
        <is>
          <t>EDA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49947-2023</t>
        </is>
      </c>
      <c r="B11964" s="1" t="n">
        <v>45215</v>
      </c>
      <c r="C11964" s="1" t="n">
        <v>45736</v>
      </c>
      <c r="D11964" t="inlineStr">
        <is>
          <t>VÄRMLANDS LÄN</t>
        </is>
      </c>
      <c r="E11964" t="inlineStr">
        <is>
          <t>EDA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49978-2023</t>
        </is>
      </c>
      <c r="B11965" s="1" t="n">
        <v>45215</v>
      </c>
      <c r="C11965" s="1" t="n">
        <v>45736</v>
      </c>
      <c r="D11965" t="inlineStr">
        <is>
          <t>VÄRMLANDS LÄN</t>
        </is>
      </c>
      <c r="E11965" t="inlineStr">
        <is>
          <t>ÅRJÄNG</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49982-2023</t>
        </is>
      </c>
      <c r="B11966" s="1" t="n">
        <v>45215</v>
      </c>
      <c r="C11966" s="1" t="n">
        <v>45736</v>
      </c>
      <c r="D11966" t="inlineStr">
        <is>
          <t>VÄRMLANDS LÄN</t>
        </is>
      </c>
      <c r="E11966" t="inlineStr">
        <is>
          <t>TORSBY</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49946-2023</t>
        </is>
      </c>
      <c r="B11967" s="1" t="n">
        <v>45215</v>
      </c>
      <c r="C11967" s="1" t="n">
        <v>45736</v>
      </c>
      <c r="D11967" t="inlineStr">
        <is>
          <t>VÄRMLANDS LÄN</t>
        </is>
      </c>
      <c r="E11967" t="inlineStr">
        <is>
          <t>KIL</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50067-2023</t>
        </is>
      </c>
      <c r="B11968" s="1" t="n">
        <v>45215</v>
      </c>
      <c r="C11968" s="1" t="n">
        <v>45736</v>
      </c>
      <c r="D11968" t="inlineStr">
        <is>
          <t>VÄRMLANDS LÄN</t>
        </is>
      </c>
      <c r="E11968" t="inlineStr">
        <is>
          <t>ARVIKA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50101-2023</t>
        </is>
      </c>
      <c r="B11969" s="1" t="n">
        <v>45215</v>
      </c>
      <c r="C11969" s="1" t="n">
        <v>45736</v>
      </c>
      <c r="D11969" t="inlineStr">
        <is>
          <t>VÄRMLANDS LÄN</t>
        </is>
      </c>
      <c r="E11969" t="inlineStr">
        <is>
          <t>SUNNE</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50147-2023</t>
        </is>
      </c>
      <c r="B11970" s="1" t="n">
        <v>45215</v>
      </c>
      <c r="C11970" s="1" t="n">
        <v>45736</v>
      </c>
      <c r="D11970" t="inlineStr">
        <is>
          <t>VÄRMLANDS LÄN</t>
        </is>
      </c>
      <c r="E11970" t="inlineStr">
        <is>
          <t>TORSBY</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50068-2023</t>
        </is>
      </c>
      <c r="B11971" s="1" t="n">
        <v>45215</v>
      </c>
      <c r="C11971" s="1" t="n">
        <v>45736</v>
      </c>
      <c r="D11971" t="inlineStr">
        <is>
          <t>VÄRMLANDS LÄN</t>
        </is>
      </c>
      <c r="E11971" t="inlineStr">
        <is>
          <t>ARVIKA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50138-2023</t>
        </is>
      </c>
      <c r="B11972" s="1" t="n">
        <v>45215</v>
      </c>
      <c r="C11972" s="1" t="n">
        <v>45736</v>
      </c>
      <c r="D11972" t="inlineStr">
        <is>
          <t>VÄRMLANDS LÄN</t>
        </is>
      </c>
      <c r="E11972" t="inlineStr">
        <is>
          <t>TORSBY</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50144-2023</t>
        </is>
      </c>
      <c r="B11973" s="1" t="n">
        <v>45215</v>
      </c>
      <c r="C11973" s="1" t="n">
        <v>45736</v>
      </c>
      <c r="D11973" t="inlineStr">
        <is>
          <t>VÄRMLANDS LÄN</t>
        </is>
      </c>
      <c r="E11973" t="inlineStr">
        <is>
          <t>TORSBY</t>
        </is>
      </c>
      <c r="G11973" t="n">
        <v>7.8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50171-2023</t>
        </is>
      </c>
      <c r="B11974" s="1" t="n">
        <v>45215</v>
      </c>
      <c r="C11974" s="1" t="n">
        <v>45736</v>
      </c>
      <c r="D11974" t="inlineStr">
        <is>
          <t>VÄRMLANDS LÄN</t>
        </is>
      </c>
      <c r="E11974" t="inlineStr">
        <is>
          <t>TORSBY</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50199-2023</t>
        </is>
      </c>
      <c r="B11975" s="1" t="n">
        <v>45215</v>
      </c>
      <c r="C11975" s="1" t="n">
        <v>45736</v>
      </c>
      <c r="D11975" t="inlineStr">
        <is>
          <t>VÄRMLANDS LÄN</t>
        </is>
      </c>
      <c r="E11975" t="inlineStr">
        <is>
          <t>HAGFORS</t>
        </is>
      </c>
      <c r="F11975" t="inlineStr">
        <is>
          <t>Bergvik skog väst AB</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51493-2023</t>
        </is>
      </c>
      <c r="B11976" s="1" t="n">
        <v>45215</v>
      </c>
      <c r="C11976" s="1" t="n">
        <v>45736</v>
      </c>
      <c r="D11976" t="inlineStr">
        <is>
          <t>VÄRMLANDS LÄN</t>
        </is>
      </c>
      <c r="E11976" t="inlineStr">
        <is>
          <t>ÅRJÄNG</t>
        </is>
      </c>
      <c r="F11976" t="inlineStr">
        <is>
          <t>Övriga Aktiebolag</t>
        </is>
      </c>
      <c r="G11976" t="n">
        <v>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50080-2023</t>
        </is>
      </c>
      <c r="B11977" s="1" t="n">
        <v>45215</v>
      </c>
      <c r="C11977" s="1" t="n">
        <v>45736</v>
      </c>
      <c r="D11977" t="inlineStr">
        <is>
          <t>VÄRMLANDS LÄN</t>
        </is>
      </c>
      <c r="E11977" t="inlineStr">
        <is>
          <t>SÄFFLE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50130-2023</t>
        </is>
      </c>
      <c r="B11978" s="1" t="n">
        <v>45215</v>
      </c>
      <c r="C11978" s="1" t="n">
        <v>45736</v>
      </c>
      <c r="D11978" t="inlineStr">
        <is>
          <t>VÄRMLANDS LÄN</t>
        </is>
      </c>
      <c r="E11978" t="inlineStr">
        <is>
          <t>SUNNE</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50167-2023</t>
        </is>
      </c>
      <c r="B11979" s="1" t="n">
        <v>45215</v>
      </c>
      <c r="C11979" s="1" t="n">
        <v>45736</v>
      </c>
      <c r="D11979" t="inlineStr">
        <is>
          <t>VÄRMLANDS LÄN</t>
        </is>
      </c>
      <c r="E11979" t="inlineStr">
        <is>
          <t>ARVIKA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50145-2023</t>
        </is>
      </c>
      <c r="B11980" s="1" t="n">
        <v>45215</v>
      </c>
      <c r="C11980" s="1" t="n">
        <v>45736</v>
      </c>
      <c r="D11980" t="inlineStr">
        <is>
          <t>VÄRMLANDS LÄN</t>
        </is>
      </c>
      <c r="E11980" t="inlineStr">
        <is>
          <t>FORSHAGA</t>
        </is>
      </c>
      <c r="F11980" t="inlineStr">
        <is>
          <t>Bergvik skog väst AB</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50398-2023</t>
        </is>
      </c>
      <c r="B11981" s="1" t="n">
        <v>45216</v>
      </c>
      <c r="C11981" s="1" t="n">
        <v>45736</v>
      </c>
      <c r="D11981" t="inlineStr">
        <is>
          <t>VÄRMLANDS LÄN</t>
        </is>
      </c>
      <c r="E11981" t="inlineStr">
        <is>
          <t>ARVIKA</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50353-2023</t>
        </is>
      </c>
      <c r="B11982" s="1" t="n">
        <v>45216</v>
      </c>
      <c r="C11982" s="1" t="n">
        <v>45736</v>
      </c>
      <c r="D11982" t="inlineStr">
        <is>
          <t>VÄRMLANDS LÄN</t>
        </is>
      </c>
      <c r="E11982" t="inlineStr">
        <is>
          <t>SUNNE</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50348-2023</t>
        </is>
      </c>
      <c r="B11983" s="1" t="n">
        <v>45216</v>
      </c>
      <c r="C11983" s="1" t="n">
        <v>45736</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50469-2023</t>
        </is>
      </c>
      <c r="B11984" s="1" t="n">
        <v>45216</v>
      </c>
      <c r="C11984" s="1" t="n">
        <v>45736</v>
      </c>
      <c r="D11984" t="inlineStr">
        <is>
          <t>VÄRMLANDS LÄN</t>
        </is>
      </c>
      <c r="E11984" t="inlineStr">
        <is>
          <t>SUNNE</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50445-2023</t>
        </is>
      </c>
      <c r="B11985" s="1" t="n">
        <v>45216</v>
      </c>
      <c r="C11985" s="1" t="n">
        <v>45736</v>
      </c>
      <c r="D11985" t="inlineStr">
        <is>
          <t>VÄRMLANDS LÄN</t>
        </is>
      </c>
      <c r="E11985" t="inlineStr">
        <is>
          <t>TORSBY</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50429-2023</t>
        </is>
      </c>
      <c r="B11986" s="1" t="n">
        <v>45216</v>
      </c>
      <c r="C11986" s="1" t="n">
        <v>45736</v>
      </c>
      <c r="D11986" t="inlineStr">
        <is>
          <t>VÄRMLANDS LÄN</t>
        </is>
      </c>
      <c r="E11986" t="inlineStr">
        <is>
          <t>TORSBY</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50425-2023</t>
        </is>
      </c>
      <c r="B11987" s="1" t="n">
        <v>45216</v>
      </c>
      <c r="C11987" s="1" t="n">
        <v>45736</v>
      </c>
      <c r="D11987" t="inlineStr">
        <is>
          <t>VÄRMLANDS LÄN</t>
        </is>
      </c>
      <c r="E11987" t="inlineStr">
        <is>
          <t>SUNNE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50421-2023</t>
        </is>
      </c>
      <c r="B11988" s="1" t="n">
        <v>45216</v>
      </c>
      <c r="C11988" s="1" t="n">
        <v>45736</v>
      </c>
      <c r="D11988" t="inlineStr">
        <is>
          <t>VÄRMLANDS LÄN</t>
        </is>
      </c>
      <c r="E11988" t="inlineStr">
        <is>
          <t>MUNKFORS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50393-2023</t>
        </is>
      </c>
      <c r="B11989" s="1" t="n">
        <v>45216</v>
      </c>
      <c r="C11989" s="1" t="n">
        <v>45736</v>
      </c>
      <c r="D11989" t="inlineStr">
        <is>
          <t>VÄRMLANDS LÄN</t>
        </is>
      </c>
      <c r="E11989" t="inlineStr">
        <is>
          <t>ARVIKA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50371-2023</t>
        </is>
      </c>
      <c r="B11990" s="1" t="n">
        <v>45216</v>
      </c>
      <c r="C11990" s="1" t="n">
        <v>45736</v>
      </c>
      <c r="D11990" t="inlineStr">
        <is>
          <t>VÄRMLANDS LÄN</t>
        </is>
      </c>
      <c r="E11990" t="inlineStr">
        <is>
          <t>ARVIKA</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50346-2023</t>
        </is>
      </c>
      <c r="B11991" s="1" t="n">
        <v>45216</v>
      </c>
      <c r="C11991" s="1" t="n">
        <v>45736</v>
      </c>
      <c r="D11991" t="inlineStr">
        <is>
          <t>VÄRMLANDS LÄN</t>
        </is>
      </c>
      <c r="E11991" t="inlineStr">
        <is>
          <t>SUNNE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50467-2023</t>
        </is>
      </c>
      <c r="B11992" s="1" t="n">
        <v>45216</v>
      </c>
      <c r="C11992" s="1" t="n">
        <v>45736</v>
      </c>
      <c r="D11992" t="inlineStr">
        <is>
          <t>VÄRMLANDS LÄN</t>
        </is>
      </c>
      <c r="E11992" t="inlineStr">
        <is>
          <t>SUNNE</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50455-2023</t>
        </is>
      </c>
      <c r="B11993" s="1" t="n">
        <v>45216</v>
      </c>
      <c r="C11993" s="1" t="n">
        <v>45736</v>
      </c>
      <c r="D11993" t="inlineStr">
        <is>
          <t>VÄRMLANDS LÄN</t>
        </is>
      </c>
      <c r="E11993" t="inlineStr">
        <is>
          <t>SUNNE</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50439-2023</t>
        </is>
      </c>
      <c r="B11994" s="1" t="n">
        <v>45216</v>
      </c>
      <c r="C11994" s="1" t="n">
        <v>45736</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50234-2023</t>
        </is>
      </c>
      <c r="B11995" s="1" t="n">
        <v>45216</v>
      </c>
      <c r="C11995" s="1" t="n">
        <v>45736</v>
      </c>
      <c r="D11995" t="inlineStr">
        <is>
          <t>VÄRMLANDS LÄN</t>
        </is>
      </c>
      <c r="E11995" t="inlineStr">
        <is>
          <t>ARVIKA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50318-2023</t>
        </is>
      </c>
      <c r="B11996" s="1" t="n">
        <v>45216</v>
      </c>
      <c r="C11996" s="1" t="n">
        <v>45736</v>
      </c>
      <c r="D11996" t="inlineStr">
        <is>
          <t>VÄRMLANDS LÄN</t>
        </is>
      </c>
      <c r="E11996" t="inlineStr">
        <is>
          <t>HAGFORS</t>
        </is>
      </c>
      <c r="F11996" t="inlineStr">
        <is>
          <t>Bergvik skog väst AB</t>
        </is>
      </c>
      <c r="G11996" t="n">
        <v>18.1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50243-2023</t>
        </is>
      </c>
      <c r="B11997" s="1" t="n">
        <v>45216</v>
      </c>
      <c r="C11997" s="1" t="n">
        <v>45736</v>
      </c>
      <c r="D11997" t="inlineStr">
        <is>
          <t>VÄRMLANDS LÄN</t>
        </is>
      </c>
      <c r="E11997" t="inlineStr">
        <is>
          <t>FILIPSTAD</t>
        </is>
      </c>
      <c r="F11997" t="inlineStr">
        <is>
          <t>Bergvik skog väst AB</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50253-2023</t>
        </is>
      </c>
      <c r="B11998" s="1" t="n">
        <v>45216</v>
      </c>
      <c r="C11998" s="1" t="n">
        <v>45736</v>
      </c>
      <c r="D11998" t="inlineStr">
        <is>
          <t>VÄRMLANDS LÄN</t>
        </is>
      </c>
      <c r="E11998" t="inlineStr">
        <is>
          <t>HAGFORS</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50428-2023</t>
        </is>
      </c>
      <c r="B11999" s="1" t="n">
        <v>45216</v>
      </c>
      <c r="C11999" s="1" t="n">
        <v>45736</v>
      </c>
      <c r="D11999" t="inlineStr">
        <is>
          <t>VÄRMLANDS LÄN</t>
        </is>
      </c>
      <c r="E11999" t="inlineStr">
        <is>
          <t>MUNKFORS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50396-2023</t>
        </is>
      </c>
      <c r="B12000" s="1" t="n">
        <v>45216</v>
      </c>
      <c r="C12000" s="1" t="n">
        <v>45736</v>
      </c>
      <c r="D12000" t="inlineStr">
        <is>
          <t>VÄRMLANDS LÄN</t>
        </is>
      </c>
      <c r="E12000" t="inlineStr">
        <is>
          <t>ARVIKA</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50337-2023</t>
        </is>
      </c>
      <c r="B12001" s="1" t="n">
        <v>45216</v>
      </c>
      <c r="C12001" s="1" t="n">
        <v>45736</v>
      </c>
      <c r="D12001" t="inlineStr">
        <is>
          <t>VÄRMLANDS LÄN</t>
        </is>
      </c>
      <c r="E12001" t="inlineStr">
        <is>
          <t>HAGFORS</t>
        </is>
      </c>
      <c r="F12001" t="inlineStr">
        <is>
          <t>Bergvik skog väst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50618-2023</t>
        </is>
      </c>
      <c r="B12002" s="1" t="n">
        <v>45217</v>
      </c>
      <c r="C12002" s="1" t="n">
        <v>45736</v>
      </c>
      <c r="D12002" t="inlineStr">
        <is>
          <t>VÄRMLANDS LÄN</t>
        </is>
      </c>
      <c r="E12002" t="inlineStr">
        <is>
          <t>HAGFORS</t>
        </is>
      </c>
      <c r="F12002" t="inlineStr">
        <is>
          <t>Bergvik skog väst AB</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50522-2023</t>
        </is>
      </c>
      <c r="B12003" s="1" t="n">
        <v>45217</v>
      </c>
      <c r="C12003" s="1" t="n">
        <v>45736</v>
      </c>
      <c r="D12003" t="inlineStr">
        <is>
          <t>VÄRMLANDS LÄN</t>
        </is>
      </c>
      <c r="E12003" t="inlineStr">
        <is>
          <t>KRISTINEHAMN</t>
        </is>
      </c>
      <c r="F12003" t="inlineStr">
        <is>
          <t>Naturvårdsverket</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50526-2023</t>
        </is>
      </c>
      <c r="B12004" s="1" t="n">
        <v>45217</v>
      </c>
      <c r="C12004" s="1" t="n">
        <v>45736</v>
      </c>
      <c r="D12004" t="inlineStr">
        <is>
          <t>VÄRMLANDS LÄN</t>
        </is>
      </c>
      <c r="E12004" t="inlineStr">
        <is>
          <t>KARLSTAD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50530-2023</t>
        </is>
      </c>
      <c r="B12005" s="1" t="n">
        <v>45217</v>
      </c>
      <c r="C12005" s="1" t="n">
        <v>45736</v>
      </c>
      <c r="D12005" t="inlineStr">
        <is>
          <t>VÄRMLANDS LÄN</t>
        </is>
      </c>
      <c r="E12005" t="inlineStr">
        <is>
          <t>ARVIKA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50538-2023</t>
        </is>
      </c>
      <c r="B12006" s="1" t="n">
        <v>45217</v>
      </c>
      <c r="C12006" s="1" t="n">
        <v>45736</v>
      </c>
      <c r="D12006" t="inlineStr">
        <is>
          <t>VÄRMLANDS LÄN</t>
        </is>
      </c>
      <c r="E12006" t="inlineStr">
        <is>
          <t>HAGFORS</t>
        </is>
      </c>
      <c r="F12006" t="inlineStr">
        <is>
          <t>Bergvik skog väst AB</t>
        </is>
      </c>
      <c r="G12006" t="n">
        <v>31.9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50537-2023</t>
        </is>
      </c>
      <c r="B12007" s="1" t="n">
        <v>45217</v>
      </c>
      <c r="C12007" s="1" t="n">
        <v>45736</v>
      </c>
      <c r="D12007" t="inlineStr">
        <is>
          <t>VÄRMLANDS LÄN</t>
        </is>
      </c>
      <c r="E12007" t="inlineStr">
        <is>
          <t>ÅRJÄNG</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50605-2023</t>
        </is>
      </c>
      <c r="B12008" s="1" t="n">
        <v>45217</v>
      </c>
      <c r="C12008" s="1" t="n">
        <v>45736</v>
      </c>
      <c r="D12008" t="inlineStr">
        <is>
          <t>VÄRMLANDS LÄN</t>
        </is>
      </c>
      <c r="E12008" t="inlineStr">
        <is>
          <t>HAGFORS</t>
        </is>
      </c>
      <c r="F12008" t="inlineStr">
        <is>
          <t>Bergvik skog väst AB</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50614-2023</t>
        </is>
      </c>
      <c r="B12009" s="1" t="n">
        <v>45217</v>
      </c>
      <c r="C12009" s="1" t="n">
        <v>45736</v>
      </c>
      <c r="D12009" t="inlineStr">
        <is>
          <t>VÄRMLANDS LÄN</t>
        </is>
      </c>
      <c r="E12009" t="inlineStr">
        <is>
          <t>HAGFORS</t>
        </is>
      </c>
      <c r="F12009" t="inlineStr">
        <is>
          <t>Bergvik skog väst AB</t>
        </is>
      </c>
      <c r="G12009" t="n">
        <v>11.3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50619-2023</t>
        </is>
      </c>
      <c r="B12010" s="1" t="n">
        <v>45217</v>
      </c>
      <c r="C12010" s="1" t="n">
        <v>45736</v>
      </c>
      <c r="D12010" t="inlineStr">
        <is>
          <t>VÄRMLANDS LÄN</t>
        </is>
      </c>
      <c r="E12010" t="inlineStr">
        <is>
          <t>SUNNE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50660-2023</t>
        </is>
      </c>
      <c r="B12011" s="1" t="n">
        <v>45217</v>
      </c>
      <c r="C12011" s="1" t="n">
        <v>45736</v>
      </c>
      <c r="D12011" t="inlineStr">
        <is>
          <t>VÄRMLANDS LÄN</t>
        </is>
      </c>
      <c r="E12011" t="inlineStr">
        <is>
          <t>TORSBY</t>
        </is>
      </c>
      <c r="F12011" t="inlineStr">
        <is>
          <t>Bergvik skog väst AB</t>
        </is>
      </c>
      <c r="G12011" t="n">
        <v>26.5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50735-2023</t>
        </is>
      </c>
      <c r="B12012" s="1" t="n">
        <v>45217</v>
      </c>
      <c r="C12012" s="1" t="n">
        <v>45736</v>
      </c>
      <c r="D12012" t="inlineStr">
        <is>
          <t>VÄRMLANDS LÄN</t>
        </is>
      </c>
      <c r="E12012" t="inlineStr">
        <is>
          <t>KIL</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50788-2023</t>
        </is>
      </c>
      <c r="B12013" s="1" t="n">
        <v>45217</v>
      </c>
      <c r="C12013" s="1" t="n">
        <v>45736</v>
      </c>
      <c r="D12013" t="inlineStr">
        <is>
          <t>VÄRMLANDS LÄN</t>
        </is>
      </c>
      <c r="E12013" t="inlineStr">
        <is>
          <t>ÅRJÄNG</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50792-2023</t>
        </is>
      </c>
      <c r="B12014" s="1" t="n">
        <v>45217</v>
      </c>
      <c r="C12014" s="1" t="n">
        <v>45736</v>
      </c>
      <c r="D12014" t="inlineStr">
        <is>
          <t>VÄRMLANDS LÄN</t>
        </is>
      </c>
      <c r="E12014" t="inlineStr">
        <is>
          <t>ARVIKA</t>
        </is>
      </c>
      <c r="G12014" t="n">
        <v>10.4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50817-2023</t>
        </is>
      </c>
      <c r="B12015" s="1" t="n">
        <v>45217</v>
      </c>
      <c r="C12015" s="1" t="n">
        <v>45736</v>
      </c>
      <c r="D12015" t="inlineStr">
        <is>
          <t>VÄRMLANDS LÄN</t>
        </is>
      </c>
      <c r="E12015" t="inlineStr">
        <is>
          <t>FORSHAGA</t>
        </is>
      </c>
      <c r="F12015" t="inlineStr">
        <is>
          <t>Bergvik skog väst AB</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50523-2023</t>
        </is>
      </c>
      <c r="B12016" s="1" t="n">
        <v>45217</v>
      </c>
      <c r="C12016" s="1" t="n">
        <v>45736</v>
      </c>
      <c r="D12016" t="inlineStr">
        <is>
          <t>VÄRMLANDS LÄN</t>
        </is>
      </c>
      <c r="E12016" t="inlineStr">
        <is>
          <t>TORSBY</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50608-2023</t>
        </is>
      </c>
      <c r="B12017" s="1" t="n">
        <v>45217</v>
      </c>
      <c r="C12017" s="1" t="n">
        <v>45736</v>
      </c>
      <c r="D12017" t="inlineStr">
        <is>
          <t>VÄRMLANDS LÄN</t>
        </is>
      </c>
      <c r="E12017" t="inlineStr">
        <is>
          <t>TORSBY</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50635-2023</t>
        </is>
      </c>
      <c r="B12018" s="1" t="n">
        <v>45217</v>
      </c>
      <c r="C12018" s="1" t="n">
        <v>45736</v>
      </c>
      <c r="D12018" t="inlineStr">
        <is>
          <t>VÄRMLANDS LÄN</t>
        </is>
      </c>
      <c r="E12018" t="inlineStr">
        <is>
          <t>FORSHAGA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50592-2023</t>
        </is>
      </c>
      <c r="B12019" s="1" t="n">
        <v>45217</v>
      </c>
      <c r="C12019" s="1" t="n">
        <v>45736</v>
      </c>
      <c r="D12019" t="inlineStr">
        <is>
          <t>VÄRMLANDS LÄN</t>
        </is>
      </c>
      <c r="E12019" t="inlineStr">
        <is>
          <t>ARVIKA</t>
        </is>
      </c>
      <c r="F12019" t="inlineStr">
        <is>
          <t>Bergvik skog väst AB</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50640-2023</t>
        </is>
      </c>
      <c r="B12020" s="1" t="n">
        <v>45217</v>
      </c>
      <c r="C12020" s="1" t="n">
        <v>45736</v>
      </c>
      <c r="D12020" t="inlineStr">
        <is>
          <t>VÄRMLANDS LÄN</t>
        </is>
      </c>
      <c r="E12020" t="inlineStr">
        <is>
          <t>GRUMS</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50645-2023</t>
        </is>
      </c>
      <c r="B12021" s="1" t="n">
        <v>45217</v>
      </c>
      <c r="C12021" s="1" t="n">
        <v>45736</v>
      </c>
      <c r="D12021" t="inlineStr">
        <is>
          <t>VÄRMLANDS LÄN</t>
        </is>
      </c>
      <c r="E12021" t="inlineStr">
        <is>
          <t>ARVIKA</t>
        </is>
      </c>
      <c r="F12021" t="inlineStr">
        <is>
          <t>Bergvik skog väst AB</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50680-2023</t>
        </is>
      </c>
      <c r="B12022" s="1" t="n">
        <v>45217</v>
      </c>
      <c r="C12022" s="1" t="n">
        <v>45736</v>
      </c>
      <c r="D12022" t="inlineStr">
        <is>
          <t>VÄRMLANDS LÄN</t>
        </is>
      </c>
      <c r="E12022" t="inlineStr">
        <is>
          <t>TORSBY</t>
        </is>
      </c>
      <c r="F12022" t="inlineStr">
        <is>
          <t>Bergvik skog väst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50686-2023</t>
        </is>
      </c>
      <c r="B12023" s="1" t="n">
        <v>45217</v>
      </c>
      <c r="C12023" s="1" t="n">
        <v>45736</v>
      </c>
      <c r="D12023" t="inlineStr">
        <is>
          <t>VÄRMLANDS LÄN</t>
        </is>
      </c>
      <c r="E12023" t="inlineStr">
        <is>
          <t>HAGFORS</t>
        </is>
      </c>
      <c r="F12023" t="inlineStr">
        <is>
          <t>Bergvik skog väst AB</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50815-2023</t>
        </is>
      </c>
      <c r="B12024" s="1" t="n">
        <v>45217</v>
      </c>
      <c r="C12024" s="1" t="n">
        <v>45736</v>
      </c>
      <c r="D12024" t="inlineStr">
        <is>
          <t>VÄRMLANDS LÄN</t>
        </is>
      </c>
      <c r="E12024" t="inlineStr">
        <is>
          <t>FORSHAGA</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50820-2023</t>
        </is>
      </c>
      <c r="B12025" s="1" t="n">
        <v>45217</v>
      </c>
      <c r="C12025" s="1" t="n">
        <v>45736</v>
      </c>
      <c r="D12025" t="inlineStr">
        <is>
          <t>VÄRMLANDS LÄN</t>
        </is>
      </c>
      <c r="E12025" t="inlineStr">
        <is>
          <t>HAGFORS</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50857-2023</t>
        </is>
      </c>
      <c r="B12026" s="1" t="n">
        <v>45218</v>
      </c>
      <c r="C12026" s="1" t="n">
        <v>45736</v>
      </c>
      <c r="D12026" t="inlineStr">
        <is>
          <t>VÄRMLANDS LÄN</t>
        </is>
      </c>
      <c r="E12026" t="inlineStr">
        <is>
          <t>ARVIKA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50881-2023</t>
        </is>
      </c>
      <c r="B12027" s="1" t="n">
        <v>45218</v>
      </c>
      <c r="C12027" s="1" t="n">
        <v>45736</v>
      </c>
      <c r="D12027" t="inlineStr">
        <is>
          <t>VÄRMLANDS LÄN</t>
        </is>
      </c>
      <c r="E12027" t="inlineStr">
        <is>
          <t>SUNNE</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50877-2023</t>
        </is>
      </c>
      <c r="B12028" s="1" t="n">
        <v>45218</v>
      </c>
      <c r="C12028" s="1" t="n">
        <v>45736</v>
      </c>
      <c r="D12028" t="inlineStr">
        <is>
          <t>VÄRMLANDS LÄN</t>
        </is>
      </c>
      <c r="E12028" t="inlineStr">
        <is>
          <t>SUNNE</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50903-2023</t>
        </is>
      </c>
      <c r="B12029" s="1" t="n">
        <v>45218</v>
      </c>
      <c r="C12029" s="1" t="n">
        <v>45736</v>
      </c>
      <c r="D12029" t="inlineStr">
        <is>
          <t>VÄRMLANDS LÄN</t>
        </is>
      </c>
      <c r="E12029" t="inlineStr">
        <is>
          <t>EDA</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50906-2023</t>
        </is>
      </c>
      <c r="B12030" s="1" t="n">
        <v>45218</v>
      </c>
      <c r="C12030" s="1" t="n">
        <v>45736</v>
      </c>
      <c r="D12030" t="inlineStr">
        <is>
          <t>VÄRMLANDS LÄN</t>
        </is>
      </c>
      <c r="E12030" t="inlineStr">
        <is>
          <t>EDA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50918-2023</t>
        </is>
      </c>
      <c r="B12031" s="1" t="n">
        <v>45218</v>
      </c>
      <c r="C12031" s="1" t="n">
        <v>45736</v>
      </c>
      <c r="D12031" t="inlineStr">
        <is>
          <t>VÄRMLANDS LÄN</t>
        </is>
      </c>
      <c r="E12031" t="inlineStr">
        <is>
          <t>ÅRJÄNG</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50904-2023</t>
        </is>
      </c>
      <c r="B12032" s="1" t="n">
        <v>45218</v>
      </c>
      <c r="C12032" s="1" t="n">
        <v>45736</v>
      </c>
      <c r="D12032" t="inlineStr">
        <is>
          <t>VÄRMLANDS LÄN</t>
        </is>
      </c>
      <c r="E12032" t="inlineStr">
        <is>
          <t>FILIPSTAD</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50911-2023</t>
        </is>
      </c>
      <c r="B12033" s="1" t="n">
        <v>45218</v>
      </c>
      <c r="C12033" s="1" t="n">
        <v>45736</v>
      </c>
      <c r="D12033" t="inlineStr">
        <is>
          <t>VÄRMLANDS LÄN</t>
        </is>
      </c>
      <c r="E12033" t="inlineStr">
        <is>
          <t>ARVIKA</t>
        </is>
      </c>
      <c r="F12033" t="inlineStr">
        <is>
          <t>Kyrkan</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50936-2023</t>
        </is>
      </c>
      <c r="B12034" s="1" t="n">
        <v>45218</v>
      </c>
      <c r="C12034" s="1" t="n">
        <v>45736</v>
      </c>
      <c r="D12034" t="inlineStr">
        <is>
          <t>VÄRMLANDS LÄN</t>
        </is>
      </c>
      <c r="E12034" t="inlineStr">
        <is>
          <t>ARVIKA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51008-2023</t>
        </is>
      </c>
      <c r="B12035" s="1" t="n">
        <v>45218</v>
      </c>
      <c r="C12035" s="1" t="n">
        <v>45736</v>
      </c>
      <c r="D12035" t="inlineStr">
        <is>
          <t>VÄRMLANDS LÄN</t>
        </is>
      </c>
      <c r="E12035" t="inlineStr">
        <is>
          <t>HAMMARÖ</t>
        </is>
      </c>
      <c r="F12035" t="inlineStr">
        <is>
          <t>Kommuner</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50852-2023</t>
        </is>
      </c>
      <c r="B12036" s="1" t="n">
        <v>45218</v>
      </c>
      <c r="C12036" s="1" t="n">
        <v>45736</v>
      </c>
      <c r="D12036" t="inlineStr">
        <is>
          <t>VÄRMLANDS LÄN</t>
        </is>
      </c>
      <c r="E12036" t="inlineStr">
        <is>
          <t>TORSBY</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50895-2023</t>
        </is>
      </c>
      <c r="B12037" s="1" t="n">
        <v>45218</v>
      </c>
      <c r="C12037" s="1" t="n">
        <v>45736</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50973-2023</t>
        </is>
      </c>
      <c r="B12038" s="1" t="n">
        <v>45218</v>
      </c>
      <c r="C12038" s="1" t="n">
        <v>45736</v>
      </c>
      <c r="D12038" t="inlineStr">
        <is>
          <t>VÄRMLANDS LÄN</t>
        </is>
      </c>
      <c r="E12038" t="inlineStr">
        <is>
          <t>TORSBY</t>
        </is>
      </c>
      <c r="G12038" t="n">
        <v>10.7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50941-2023</t>
        </is>
      </c>
      <c r="B12039" s="1" t="n">
        <v>45218</v>
      </c>
      <c r="C12039" s="1" t="n">
        <v>45736</v>
      </c>
      <c r="D12039" t="inlineStr">
        <is>
          <t>VÄRMLANDS LÄN</t>
        </is>
      </c>
      <c r="E12039" t="inlineStr">
        <is>
          <t>ÅRJÄNG</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50971-2023</t>
        </is>
      </c>
      <c r="B12040" s="1" t="n">
        <v>45218</v>
      </c>
      <c r="C12040" s="1" t="n">
        <v>45736</v>
      </c>
      <c r="D12040" t="inlineStr">
        <is>
          <t>VÄRMLANDS LÄN</t>
        </is>
      </c>
      <c r="E12040" t="inlineStr">
        <is>
          <t>MUNKFORS</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50995-2023</t>
        </is>
      </c>
      <c r="B12041" s="1" t="n">
        <v>45218</v>
      </c>
      <c r="C12041" s="1" t="n">
        <v>45736</v>
      </c>
      <c r="D12041" t="inlineStr">
        <is>
          <t>VÄRMLANDS LÄN</t>
        </is>
      </c>
      <c r="E12041" t="inlineStr">
        <is>
          <t>FILIPSTAD</t>
        </is>
      </c>
      <c r="F12041" t="inlineStr">
        <is>
          <t>Bergvik skog väst AB</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51084-2023</t>
        </is>
      </c>
      <c r="B12042" s="1" t="n">
        <v>45218</v>
      </c>
      <c r="C12042" s="1" t="n">
        <v>45736</v>
      </c>
      <c r="D12042" t="inlineStr">
        <is>
          <t>VÄRMLANDS LÄN</t>
        </is>
      </c>
      <c r="E12042" t="inlineStr">
        <is>
          <t>SUNNE</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51088-2023</t>
        </is>
      </c>
      <c r="B12043" s="1" t="n">
        <v>45218</v>
      </c>
      <c r="C12043" s="1" t="n">
        <v>45736</v>
      </c>
      <c r="D12043" t="inlineStr">
        <is>
          <t>VÄRMLANDS LÄN</t>
        </is>
      </c>
      <c r="E12043" t="inlineStr">
        <is>
          <t>KARLSTAD</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50932-2023</t>
        </is>
      </c>
      <c r="B12044" s="1" t="n">
        <v>45218</v>
      </c>
      <c r="C12044" s="1" t="n">
        <v>45736</v>
      </c>
      <c r="D12044" t="inlineStr">
        <is>
          <t>VÄRMLANDS LÄN</t>
        </is>
      </c>
      <c r="E12044" t="inlineStr">
        <is>
          <t>ÅRJÄNG</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50996-2023</t>
        </is>
      </c>
      <c r="B12045" s="1" t="n">
        <v>45218</v>
      </c>
      <c r="C12045" s="1" t="n">
        <v>45736</v>
      </c>
      <c r="D12045" t="inlineStr">
        <is>
          <t>VÄRMLANDS LÄN</t>
        </is>
      </c>
      <c r="E12045" t="inlineStr">
        <is>
          <t>SUNNE</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51014-2023</t>
        </is>
      </c>
      <c r="B12046" s="1" t="n">
        <v>45218</v>
      </c>
      <c r="C12046" s="1" t="n">
        <v>45736</v>
      </c>
      <c r="D12046" t="inlineStr">
        <is>
          <t>VÄRMLANDS LÄN</t>
        </is>
      </c>
      <c r="E12046" t="inlineStr">
        <is>
          <t>FILIPSTAD</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51335-2023</t>
        </is>
      </c>
      <c r="B12047" s="1" t="n">
        <v>45219</v>
      </c>
      <c r="C12047" s="1" t="n">
        <v>45736</v>
      </c>
      <c r="D12047" t="inlineStr">
        <is>
          <t>VÄRMLANDS LÄN</t>
        </is>
      </c>
      <c r="E12047" t="inlineStr">
        <is>
          <t>ÅRJÄNG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51302-2023</t>
        </is>
      </c>
      <c r="B12048" s="1" t="n">
        <v>45219</v>
      </c>
      <c r="C12048" s="1" t="n">
        <v>45736</v>
      </c>
      <c r="D12048" t="inlineStr">
        <is>
          <t>VÄRMLANDS LÄN</t>
        </is>
      </c>
      <c r="E12048" t="inlineStr">
        <is>
          <t>HAGFORS</t>
        </is>
      </c>
      <c r="F12048" t="inlineStr">
        <is>
          <t>Bergvik skog väst AB</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51199-2023</t>
        </is>
      </c>
      <c r="B12049" s="1" t="n">
        <v>45219</v>
      </c>
      <c r="C12049" s="1" t="n">
        <v>45736</v>
      </c>
      <c r="D12049" t="inlineStr">
        <is>
          <t>VÄRMLANDS LÄN</t>
        </is>
      </c>
      <c r="E12049" t="inlineStr">
        <is>
          <t>TORSBY</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51143-2023</t>
        </is>
      </c>
      <c r="B12050" s="1" t="n">
        <v>45219</v>
      </c>
      <c r="C12050" s="1" t="n">
        <v>45736</v>
      </c>
      <c r="D12050" t="inlineStr">
        <is>
          <t>VÄRMLANDS LÄN</t>
        </is>
      </c>
      <c r="E12050" t="inlineStr">
        <is>
          <t>SUNNE</t>
        </is>
      </c>
      <c r="F12050" t="inlineStr">
        <is>
          <t>Bergvik skog väst AB</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51215-2023</t>
        </is>
      </c>
      <c r="B12051" s="1" t="n">
        <v>45219</v>
      </c>
      <c r="C12051" s="1" t="n">
        <v>45736</v>
      </c>
      <c r="D12051" t="inlineStr">
        <is>
          <t>VÄRMLANDS LÄN</t>
        </is>
      </c>
      <c r="E12051" t="inlineStr">
        <is>
          <t>TORSBY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51296-2023</t>
        </is>
      </c>
      <c r="B12052" s="1" t="n">
        <v>45219</v>
      </c>
      <c r="C12052" s="1" t="n">
        <v>45736</v>
      </c>
      <c r="D12052" t="inlineStr">
        <is>
          <t>VÄRMLANDS LÄN</t>
        </is>
      </c>
      <c r="E12052" t="inlineStr">
        <is>
          <t>HAGFORS</t>
        </is>
      </c>
      <c r="F12052" t="inlineStr">
        <is>
          <t>Bergvik skog väst AB</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52799-2023</t>
        </is>
      </c>
      <c r="B12053" s="1" t="n">
        <v>45219</v>
      </c>
      <c r="C12053" s="1" t="n">
        <v>45736</v>
      </c>
      <c r="D12053" t="inlineStr">
        <is>
          <t>VÄRMLANDS LÄN</t>
        </is>
      </c>
      <c r="E12053" t="inlineStr">
        <is>
          <t>KARLSTAD</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51343-2023</t>
        </is>
      </c>
      <c r="B12054" s="1" t="n">
        <v>45219</v>
      </c>
      <c r="C12054" s="1" t="n">
        <v>45736</v>
      </c>
      <c r="D12054" t="inlineStr">
        <is>
          <t>VÄRMLANDS LÄN</t>
        </is>
      </c>
      <c r="E12054" t="inlineStr">
        <is>
          <t>TORSBY</t>
        </is>
      </c>
      <c r="F12054" t="inlineStr">
        <is>
          <t>Bergvik skog väst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51318-2023</t>
        </is>
      </c>
      <c r="B12055" s="1" t="n">
        <v>45219</v>
      </c>
      <c r="C12055" s="1" t="n">
        <v>45736</v>
      </c>
      <c r="D12055" t="inlineStr">
        <is>
          <t>VÄRMLANDS LÄN</t>
        </is>
      </c>
      <c r="E12055" t="inlineStr">
        <is>
          <t>SUNNE</t>
        </is>
      </c>
      <c r="G12055" t="n">
        <v>10.2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51304-2023</t>
        </is>
      </c>
      <c r="B12056" s="1" t="n">
        <v>45219</v>
      </c>
      <c r="C12056" s="1" t="n">
        <v>45736</v>
      </c>
      <c r="D12056" t="inlineStr">
        <is>
          <t>VÄRMLANDS LÄN</t>
        </is>
      </c>
      <c r="E12056" t="inlineStr">
        <is>
          <t>HAGFORS</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51258-2023</t>
        </is>
      </c>
      <c r="B12057" s="1" t="n">
        <v>45219</v>
      </c>
      <c r="C12057" s="1" t="n">
        <v>45736</v>
      </c>
      <c r="D12057" t="inlineStr">
        <is>
          <t>VÄRMLANDS LÄN</t>
        </is>
      </c>
      <c r="E12057" t="inlineStr">
        <is>
          <t>HAGFORS</t>
        </is>
      </c>
      <c r="F12057" t="inlineStr">
        <is>
          <t>Bergvik skog väst AB</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51235-2023</t>
        </is>
      </c>
      <c r="B12058" s="1" t="n">
        <v>45219</v>
      </c>
      <c r="C12058" s="1" t="n">
        <v>45736</v>
      </c>
      <c r="D12058" t="inlineStr">
        <is>
          <t>VÄRMLANDS LÄN</t>
        </is>
      </c>
      <c r="E12058" t="inlineStr">
        <is>
          <t>STORFORS</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51169-2023</t>
        </is>
      </c>
      <c r="B12059" s="1" t="n">
        <v>45219</v>
      </c>
      <c r="C12059" s="1" t="n">
        <v>45736</v>
      </c>
      <c r="D12059" t="inlineStr">
        <is>
          <t>VÄRMLANDS LÄN</t>
        </is>
      </c>
      <c r="E12059" t="inlineStr">
        <is>
          <t>ÅRJÄNG</t>
        </is>
      </c>
      <c r="F12059" t="inlineStr">
        <is>
          <t>Bergvik skog väst AB</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51225-2023</t>
        </is>
      </c>
      <c r="B12060" s="1" t="n">
        <v>45219</v>
      </c>
      <c r="C12060" s="1" t="n">
        <v>45736</v>
      </c>
      <c r="D12060" t="inlineStr">
        <is>
          <t>VÄRMLANDS LÄN</t>
        </is>
      </c>
      <c r="E12060" t="inlineStr">
        <is>
          <t>HAGFORS</t>
        </is>
      </c>
      <c r="F12060" t="inlineStr">
        <is>
          <t>Bergvik skog väst AB</t>
        </is>
      </c>
      <c r="G12060" t="n">
        <v>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51229-2023</t>
        </is>
      </c>
      <c r="B12061" s="1" t="n">
        <v>45219</v>
      </c>
      <c r="C12061" s="1" t="n">
        <v>45736</v>
      </c>
      <c r="D12061" t="inlineStr">
        <is>
          <t>VÄRMLANDS LÄN</t>
        </is>
      </c>
      <c r="E12061" t="inlineStr">
        <is>
          <t>HAGFORS</t>
        </is>
      </c>
      <c r="F12061" t="inlineStr">
        <is>
          <t>Bergvik skog väst AB</t>
        </is>
      </c>
      <c r="G12061" t="n">
        <v>8.6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51307-2023</t>
        </is>
      </c>
      <c r="B12062" s="1" t="n">
        <v>45219</v>
      </c>
      <c r="C12062" s="1" t="n">
        <v>45736</v>
      </c>
      <c r="D12062" t="inlineStr">
        <is>
          <t>VÄRMLANDS LÄN</t>
        </is>
      </c>
      <c r="E12062" t="inlineStr">
        <is>
          <t>HAGFORS</t>
        </is>
      </c>
      <c r="F12062" t="inlineStr">
        <is>
          <t>Bergvik skog väst AB</t>
        </is>
      </c>
      <c r="G12062" t="n">
        <v>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51349-2023</t>
        </is>
      </c>
      <c r="B12063" s="1" t="n">
        <v>45219</v>
      </c>
      <c r="C12063" s="1" t="n">
        <v>45736</v>
      </c>
      <c r="D12063" t="inlineStr">
        <is>
          <t>VÄRMLANDS LÄN</t>
        </is>
      </c>
      <c r="E12063" t="inlineStr">
        <is>
          <t>KARLSTAD</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51386-2023</t>
        </is>
      </c>
      <c r="B12064" s="1" t="n">
        <v>45219</v>
      </c>
      <c r="C12064" s="1" t="n">
        <v>45736</v>
      </c>
      <c r="D12064" t="inlineStr">
        <is>
          <t>VÄRMLANDS LÄN</t>
        </is>
      </c>
      <c r="E12064" t="inlineStr">
        <is>
          <t>TORSBY</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51183-2023</t>
        </is>
      </c>
      <c r="B12065" s="1" t="n">
        <v>45219</v>
      </c>
      <c r="C12065" s="1" t="n">
        <v>45736</v>
      </c>
      <c r="D12065" t="inlineStr">
        <is>
          <t>VÄRMLANDS LÄN</t>
        </is>
      </c>
      <c r="E12065" t="inlineStr">
        <is>
          <t>SUNNE</t>
        </is>
      </c>
      <c r="F12065" t="inlineStr">
        <is>
          <t>Bergvik skog väst AB</t>
        </is>
      </c>
      <c r="G12065" t="n">
        <v>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51218-2023</t>
        </is>
      </c>
      <c r="B12066" s="1" t="n">
        <v>45219</v>
      </c>
      <c r="C12066" s="1" t="n">
        <v>45736</v>
      </c>
      <c r="D12066" t="inlineStr">
        <is>
          <t>VÄRMLANDS LÄN</t>
        </is>
      </c>
      <c r="E12066" t="inlineStr">
        <is>
          <t>STORFORS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51299-2023</t>
        </is>
      </c>
      <c r="B12067" s="1" t="n">
        <v>45219</v>
      </c>
      <c r="C12067" s="1" t="n">
        <v>45736</v>
      </c>
      <c r="D12067" t="inlineStr">
        <is>
          <t>VÄRMLANDS LÄN</t>
        </is>
      </c>
      <c r="E12067" t="inlineStr">
        <is>
          <t>HAGFORS</t>
        </is>
      </c>
      <c r="F12067" t="inlineStr">
        <is>
          <t>Bergvik skog väst AB</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51309-2023</t>
        </is>
      </c>
      <c r="B12068" s="1" t="n">
        <v>45219</v>
      </c>
      <c r="C12068" s="1" t="n">
        <v>45736</v>
      </c>
      <c r="D12068" t="inlineStr">
        <is>
          <t>VÄRMLANDS LÄN</t>
        </is>
      </c>
      <c r="E12068" t="inlineStr">
        <is>
          <t>TORSBY</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51459-2023</t>
        </is>
      </c>
      <c r="B12069" s="1" t="n">
        <v>45221</v>
      </c>
      <c r="C12069" s="1" t="n">
        <v>45736</v>
      </c>
      <c r="D12069" t="inlineStr">
        <is>
          <t>VÄRMLANDS LÄN</t>
        </is>
      </c>
      <c r="E12069" t="inlineStr">
        <is>
          <t>SÄFFLE</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51468-2023</t>
        </is>
      </c>
      <c r="B12070" s="1" t="n">
        <v>45221</v>
      </c>
      <c r="C12070" s="1" t="n">
        <v>45736</v>
      </c>
      <c r="D12070" t="inlineStr">
        <is>
          <t>VÄRMLANDS LÄN</t>
        </is>
      </c>
      <c r="E12070" t="inlineStr">
        <is>
          <t>EDA</t>
        </is>
      </c>
      <c r="F12070" t="inlineStr">
        <is>
          <t>Kommuner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51469-2023</t>
        </is>
      </c>
      <c r="B12071" s="1" t="n">
        <v>45221</v>
      </c>
      <c r="C12071" s="1" t="n">
        <v>45736</v>
      </c>
      <c r="D12071" t="inlineStr">
        <is>
          <t>VÄRMLANDS LÄN</t>
        </is>
      </c>
      <c r="E12071" t="inlineStr">
        <is>
          <t>EDA</t>
        </is>
      </c>
      <c r="F12071" t="inlineStr">
        <is>
          <t>Kommuner</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51471-2023</t>
        </is>
      </c>
      <c r="B12072" s="1" t="n">
        <v>45221</v>
      </c>
      <c r="C12072" s="1" t="n">
        <v>45736</v>
      </c>
      <c r="D12072" t="inlineStr">
        <is>
          <t>VÄRMLANDS LÄN</t>
        </is>
      </c>
      <c r="E12072" t="inlineStr">
        <is>
          <t>EDA</t>
        </is>
      </c>
      <c r="F12072" t="inlineStr">
        <is>
          <t>Kommuner</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52803-2023</t>
        </is>
      </c>
      <c r="B12073" s="1" t="n">
        <v>45221</v>
      </c>
      <c r="C12073" s="1" t="n">
        <v>45736</v>
      </c>
      <c r="D12073" t="inlineStr">
        <is>
          <t>VÄRMLANDS LÄN</t>
        </is>
      </c>
      <c r="E12073" t="inlineStr">
        <is>
          <t>ÅRJÄNG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51512-2023</t>
        </is>
      </c>
      <c r="B12074" s="1" t="n">
        <v>45222</v>
      </c>
      <c r="C12074" s="1" t="n">
        <v>45736</v>
      </c>
      <c r="D12074" t="inlineStr">
        <is>
          <t>VÄRMLANDS LÄN</t>
        </is>
      </c>
      <c r="E12074" t="inlineStr">
        <is>
          <t>EDA</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51654-2023</t>
        </is>
      </c>
      <c r="B12075" s="1" t="n">
        <v>45222</v>
      </c>
      <c r="C12075" s="1" t="n">
        <v>45736</v>
      </c>
      <c r="D12075" t="inlineStr">
        <is>
          <t>VÄRMLANDS LÄN</t>
        </is>
      </c>
      <c r="E12075" t="inlineStr">
        <is>
          <t>FILIPSTAD</t>
        </is>
      </c>
      <c r="F12075" t="inlineStr">
        <is>
          <t>Bergvik skog väst AB</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51698-2023</t>
        </is>
      </c>
      <c r="B12076" s="1" t="n">
        <v>45222</v>
      </c>
      <c r="C12076" s="1" t="n">
        <v>45736</v>
      </c>
      <c r="D12076" t="inlineStr">
        <is>
          <t>VÄRMLANDS LÄN</t>
        </is>
      </c>
      <c r="E12076" t="inlineStr">
        <is>
          <t>ARVIKA</t>
        </is>
      </c>
      <c r="F12076" t="inlineStr">
        <is>
          <t>Bergvik skog väst AB</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51751-2023</t>
        </is>
      </c>
      <c r="B12077" s="1" t="n">
        <v>45222</v>
      </c>
      <c r="C12077" s="1" t="n">
        <v>45736</v>
      </c>
      <c r="D12077" t="inlineStr">
        <is>
          <t>VÄRMLANDS LÄN</t>
        </is>
      </c>
      <c r="E12077" t="inlineStr">
        <is>
          <t>TORSBY</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51509-2023</t>
        </is>
      </c>
      <c r="B12078" s="1" t="n">
        <v>45222</v>
      </c>
      <c r="C12078" s="1" t="n">
        <v>45736</v>
      </c>
      <c r="D12078" t="inlineStr">
        <is>
          <t>VÄRMLANDS LÄN</t>
        </is>
      </c>
      <c r="E12078" t="inlineStr">
        <is>
          <t>KARLSTAD</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51600-2023</t>
        </is>
      </c>
      <c r="B12079" s="1" t="n">
        <v>45222</v>
      </c>
      <c r="C12079" s="1" t="n">
        <v>45736</v>
      </c>
      <c r="D12079" t="inlineStr">
        <is>
          <t>VÄRMLANDS LÄN</t>
        </is>
      </c>
      <c r="E12079" t="inlineStr">
        <is>
          <t>SÄFFLE</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51651-2023</t>
        </is>
      </c>
      <c r="B12080" s="1" t="n">
        <v>45222</v>
      </c>
      <c r="C12080" s="1" t="n">
        <v>45736</v>
      </c>
      <c r="D12080" t="inlineStr">
        <is>
          <t>VÄRMLANDS LÄN</t>
        </is>
      </c>
      <c r="E12080" t="inlineStr">
        <is>
          <t>KARLSTAD</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51666-2023</t>
        </is>
      </c>
      <c r="B12081" s="1" t="n">
        <v>45222</v>
      </c>
      <c r="C12081" s="1" t="n">
        <v>45736</v>
      </c>
      <c r="D12081" t="inlineStr">
        <is>
          <t>VÄRMLANDS LÄN</t>
        </is>
      </c>
      <c r="E12081" t="inlineStr">
        <is>
          <t>KRISTINEHAMN</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51679-2023</t>
        </is>
      </c>
      <c r="B12082" s="1" t="n">
        <v>45222</v>
      </c>
      <c r="C12082" s="1" t="n">
        <v>45736</v>
      </c>
      <c r="D12082" t="inlineStr">
        <is>
          <t>VÄRMLANDS LÄN</t>
        </is>
      </c>
      <c r="E12082" t="inlineStr">
        <is>
          <t>HAGFORS</t>
        </is>
      </c>
      <c r="F12082" t="inlineStr">
        <is>
          <t>Bergvik skog väst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51691-2023</t>
        </is>
      </c>
      <c r="B12083" s="1" t="n">
        <v>45222</v>
      </c>
      <c r="C12083" s="1" t="n">
        <v>45736</v>
      </c>
      <c r="D12083" t="inlineStr">
        <is>
          <t>VÄRMLANDS LÄN</t>
        </is>
      </c>
      <c r="E12083" t="inlineStr">
        <is>
          <t>SUNNE</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51704-2023</t>
        </is>
      </c>
      <c r="B12084" s="1" t="n">
        <v>45222</v>
      </c>
      <c r="C12084" s="1" t="n">
        <v>45736</v>
      </c>
      <c r="D12084" t="inlineStr">
        <is>
          <t>VÄRMLANDS LÄN</t>
        </is>
      </c>
      <c r="E12084" t="inlineStr">
        <is>
          <t>EDA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51760-2023</t>
        </is>
      </c>
      <c r="B12085" s="1" t="n">
        <v>45222</v>
      </c>
      <c r="C12085" s="1" t="n">
        <v>45736</v>
      </c>
      <c r="D12085" t="inlineStr">
        <is>
          <t>VÄRMLANDS LÄN</t>
        </is>
      </c>
      <c r="E12085" t="inlineStr">
        <is>
          <t>KARLSTAD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51788-2023</t>
        </is>
      </c>
      <c r="B12086" s="1" t="n">
        <v>45222</v>
      </c>
      <c r="C12086" s="1" t="n">
        <v>45736</v>
      </c>
      <c r="D12086" t="inlineStr">
        <is>
          <t>VÄRMLANDS LÄN</t>
        </is>
      </c>
      <c r="E12086" t="inlineStr">
        <is>
          <t>TORSBY</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51616-2023</t>
        </is>
      </c>
      <c r="B12087" s="1" t="n">
        <v>45222</v>
      </c>
      <c r="C12087" s="1" t="n">
        <v>45736</v>
      </c>
      <c r="D12087" t="inlineStr">
        <is>
          <t>VÄRMLANDS LÄN</t>
        </is>
      </c>
      <c r="E12087" t="inlineStr">
        <is>
          <t>KRISTINEHAMN</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51675-2023</t>
        </is>
      </c>
      <c r="B12088" s="1" t="n">
        <v>45222</v>
      </c>
      <c r="C12088" s="1" t="n">
        <v>45736</v>
      </c>
      <c r="D12088" t="inlineStr">
        <is>
          <t>VÄRMLANDS LÄN</t>
        </is>
      </c>
      <c r="E12088" t="inlineStr">
        <is>
          <t>EDA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51692-2023</t>
        </is>
      </c>
      <c r="B12089" s="1" t="n">
        <v>45222</v>
      </c>
      <c r="C12089" s="1" t="n">
        <v>45736</v>
      </c>
      <c r="D12089" t="inlineStr">
        <is>
          <t>VÄRMLANDS LÄN</t>
        </is>
      </c>
      <c r="E12089" t="inlineStr">
        <is>
          <t>EDA</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51696-2023</t>
        </is>
      </c>
      <c r="B12090" s="1" t="n">
        <v>45222</v>
      </c>
      <c r="C12090" s="1" t="n">
        <v>45736</v>
      </c>
      <c r="D12090" t="inlineStr">
        <is>
          <t>VÄRMLANDS LÄN</t>
        </is>
      </c>
      <c r="E12090" t="inlineStr">
        <is>
          <t>SUNNE</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51700-2023</t>
        </is>
      </c>
      <c r="B12091" s="1" t="n">
        <v>45222</v>
      </c>
      <c r="C12091" s="1" t="n">
        <v>45736</v>
      </c>
      <c r="D12091" t="inlineStr">
        <is>
          <t>VÄRMLANDS LÄN</t>
        </is>
      </c>
      <c r="E12091" t="inlineStr">
        <is>
          <t>KRISTINEHAMN</t>
        </is>
      </c>
      <c r="F12091" t="inlineStr">
        <is>
          <t>Bergvik skog väst AB</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51745-2023</t>
        </is>
      </c>
      <c r="B12092" s="1" t="n">
        <v>45222</v>
      </c>
      <c r="C12092" s="1" t="n">
        <v>45736</v>
      </c>
      <c r="D12092" t="inlineStr">
        <is>
          <t>VÄRMLANDS LÄN</t>
        </is>
      </c>
      <c r="E12092" t="inlineStr">
        <is>
          <t>KARLSTAD</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51753-2023</t>
        </is>
      </c>
      <c r="B12093" s="1" t="n">
        <v>45222</v>
      </c>
      <c r="C12093" s="1" t="n">
        <v>45736</v>
      </c>
      <c r="D12093" t="inlineStr">
        <is>
          <t>VÄRMLANDS LÄN</t>
        </is>
      </c>
      <c r="E12093" t="inlineStr">
        <is>
          <t>TORSBY</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53210-2023</t>
        </is>
      </c>
      <c r="B12094" s="1" t="n">
        <v>45222</v>
      </c>
      <c r="C12094" s="1" t="n">
        <v>45736</v>
      </c>
      <c r="D12094" t="inlineStr">
        <is>
          <t>VÄRMLANDS LÄN</t>
        </is>
      </c>
      <c r="E12094" t="inlineStr">
        <is>
          <t>FILIPSTAD</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51511-2023</t>
        </is>
      </c>
      <c r="B12095" s="1" t="n">
        <v>45222</v>
      </c>
      <c r="C12095" s="1" t="n">
        <v>45736</v>
      </c>
      <c r="D12095" t="inlineStr">
        <is>
          <t>VÄRMLANDS LÄN</t>
        </is>
      </c>
      <c r="E12095" t="inlineStr">
        <is>
          <t>KARLSTAD</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51593-2023</t>
        </is>
      </c>
      <c r="B12096" s="1" t="n">
        <v>45222</v>
      </c>
      <c r="C12096" s="1" t="n">
        <v>45736</v>
      </c>
      <c r="D12096" t="inlineStr">
        <is>
          <t>VÄRMLANDS LÄN</t>
        </is>
      </c>
      <c r="E12096" t="inlineStr">
        <is>
          <t>SÄFFLE</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51598-2023</t>
        </is>
      </c>
      <c r="B12097" s="1" t="n">
        <v>45222</v>
      </c>
      <c r="C12097" s="1" t="n">
        <v>45736</v>
      </c>
      <c r="D12097" t="inlineStr">
        <is>
          <t>VÄRMLANDS LÄN</t>
        </is>
      </c>
      <c r="E12097" t="inlineStr">
        <is>
          <t>SÄFFLE</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51602-2023</t>
        </is>
      </c>
      <c r="B12098" s="1" t="n">
        <v>45222</v>
      </c>
      <c r="C12098" s="1" t="n">
        <v>45736</v>
      </c>
      <c r="D12098" t="inlineStr">
        <is>
          <t>VÄRMLANDS LÄN</t>
        </is>
      </c>
      <c r="E12098" t="inlineStr">
        <is>
          <t>SÄFFLE</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51658-2023</t>
        </is>
      </c>
      <c r="B12099" s="1" t="n">
        <v>45222</v>
      </c>
      <c r="C12099" s="1" t="n">
        <v>45736</v>
      </c>
      <c r="D12099" t="inlineStr">
        <is>
          <t>VÄRMLANDS LÄN</t>
        </is>
      </c>
      <c r="E12099" t="inlineStr">
        <is>
          <t>ARVIKA</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51663-2023</t>
        </is>
      </c>
      <c r="B12100" s="1" t="n">
        <v>45222</v>
      </c>
      <c r="C12100" s="1" t="n">
        <v>45736</v>
      </c>
      <c r="D12100" t="inlineStr">
        <is>
          <t>VÄRMLANDS LÄN</t>
        </is>
      </c>
      <c r="E12100" t="inlineStr">
        <is>
          <t>KARLSTAD</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51668-2023</t>
        </is>
      </c>
      <c r="B12101" s="1" t="n">
        <v>45222</v>
      </c>
      <c r="C12101" s="1" t="n">
        <v>45736</v>
      </c>
      <c r="D12101" t="inlineStr">
        <is>
          <t>VÄRMLANDS LÄN</t>
        </is>
      </c>
      <c r="E12101" t="inlineStr">
        <is>
          <t>ARVIKA</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51672-2023</t>
        </is>
      </c>
      <c r="B12102" s="1" t="n">
        <v>45222</v>
      </c>
      <c r="C12102" s="1" t="n">
        <v>45736</v>
      </c>
      <c r="D12102" t="inlineStr">
        <is>
          <t>VÄRMLANDS LÄN</t>
        </is>
      </c>
      <c r="E12102" t="inlineStr">
        <is>
          <t>ARVIKA</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51758-2023</t>
        </is>
      </c>
      <c r="B12103" s="1" t="n">
        <v>45222</v>
      </c>
      <c r="C12103" s="1" t="n">
        <v>45736</v>
      </c>
      <c r="D12103" t="inlineStr">
        <is>
          <t>VÄRMLANDS LÄN</t>
        </is>
      </c>
      <c r="E12103" t="inlineStr">
        <is>
          <t>KARLSTAD</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51851-2023</t>
        </is>
      </c>
      <c r="B12104" s="1" t="n">
        <v>45223</v>
      </c>
      <c r="C12104" s="1" t="n">
        <v>45736</v>
      </c>
      <c r="D12104" t="inlineStr">
        <is>
          <t>VÄRMLANDS LÄN</t>
        </is>
      </c>
      <c r="E12104" t="inlineStr">
        <is>
          <t>SUNNE</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51888-2023</t>
        </is>
      </c>
      <c r="B12105" s="1" t="n">
        <v>45223</v>
      </c>
      <c r="C12105" s="1" t="n">
        <v>45736</v>
      </c>
      <c r="D12105" t="inlineStr">
        <is>
          <t>VÄRMLANDS LÄN</t>
        </is>
      </c>
      <c r="E12105" t="inlineStr">
        <is>
          <t>KRISTINEHAMN</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51846-2023</t>
        </is>
      </c>
      <c r="B12106" s="1" t="n">
        <v>45223</v>
      </c>
      <c r="C12106" s="1" t="n">
        <v>45736</v>
      </c>
      <c r="D12106" t="inlineStr">
        <is>
          <t>VÄRMLANDS LÄN</t>
        </is>
      </c>
      <c r="E12106" t="inlineStr">
        <is>
          <t>SUNNE</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51886-2023</t>
        </is>
      </c>
      <c r="B12107" s="1" t="n">
        <v>45223</v>
      </c>
      <c r="C12107" s="1" t="n">
        <v>45736</v>
      </c>
      <c r="D12107" t="inlineStr">
        <is>
          <t>VÄRMLANDS LÄN</t>
        </is>
      </c>
      <c r="E12107" t="inlineStr">
        <is>
          <t>KRISTINEHAMN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51985-2023</t>
        </is>
      </c>
      <c r="B12108" s="1" t="n">
        <v>45223</v>
      </c>
      <c r="C12108" s="1" t="n">
        <v>45736</v>
      </c>
      <c r="D12108" t="inlineStr">
        <is>
          <t>VÄRMLANDS LÄN</t>
        </is>
      </c>
      <c r="E12108" t="inlineStr">
        <is>
          <t>FILIPSTAD</t>
        </is>
      </c>
      <c r="F12108" t="inlineStr">
        <is>
          <t>Bergvik skog väst AB</t>
        </is>
      </c>
      <c r="G12108" t="n">
        <v>6.7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52042-2023</t>
        </is>
      </c>
      <c r="B12109" s="1" t="n">
        <v>45223</v>
      </c>
      <c r="C12109" s="1" t="n">
        <v>45736</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52056-2023</t>
        </is>
      </c>
      <c r="B12110" s="1" t="n">
        <v>45223</v>
      </c>
      <c r="C12110" s="1" t="n">
        <v>45736</v>
      </c>
      <c r="D12110" t="inlineStr">
        <is>
          <t>VÄRMLANDS LÄN</t>
        </is>
      </c>
      <c r="E12110" t="inlineStr">
        <is>
          <t>KARLSTAD</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52078-2023</t>
        </is>
      </c>
      <c r="B12111" s="1" t="n">
        <v>45223</v>
      </c>
      <c r="C12111" s="1" t="n">
        <v>45736</v>
      </c>
      <c r="D12111" t="inlineStr">
        <is>
          <t>VÄRMLANDS LÄN</t>
        </is>
      </c>
      <c r="E12111" t="inlineStr">
        <is>
          <t>TORSBY</t>
        </is>
      </c>
      <c r="G12111" t="n">
        <v>7.1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51891-2023</t>
        </is>
      </c>
      <c r="B12112" s="1" t="n">
        <v>45223</v>
      </c>
      <c r="C12112" s="1" t="n">
        <v>45736</v>
      </c>
      <c r="D12112" t="inlineStr">
        <is>
          <t>VÄRMLANDS LÄN</t>
        </is>
      </c>
      <c r="E12112" t="inlineStr">
        <is>
          <t>HAGFORS</t>
        </is>
      </c>
      <c r="F12112" t="inlineStr">
        <is>
          <t>Bergvik skog väst AB</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52077-2023</t>
        </is>
      </c>
      <c r="B12113" s="1" t="n">
        <v>45223</v>
      </c>
      <c r="C12113" s="1" t="n">
        <v>45736</v>
      </c>
      <c r="D12113" t="inlineStr">
        <is>
          <t>VÄRMLANDS LÄN</t>
        </is>
      </c>
      <c r="E12113" t="inlineStr">
        <is>
          <t>ARVIKA</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51842-2023</t>
        </is>
      </c>
      <c r="B12114" s="1" t="n">
        <v>45223</v>
      </c>
      <c r="C12114" s="1" t="n">
        <v>45736</v>
      </c>
      <c r="D12114" t="inlineStr">
        <is>
          <t>VÄRMLANDS LÄN</t>
        </is>
      </c>
      <c r="E12114" t="inlineStr">
        <is>
          <t>SUNNE</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51857-2023</t>
        </is>
      </c>
      <c r="B12115" s="1" t="n">
        <v>45223</v>
      </c>
      <c r="C12115" s="1" t="n">
        <v>45736</v>
      </c>
      <c r="D12115" t="inlineStr">
        <is>
          <t>VÄRMLANDS LÄN</t>
        </is>
      </c>
      <c r="E12115" t="inlineStr">
        <is>
          <t>SUNNE</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51865-2023</t>
        </is>
      </c>
      <c r="B12116" s="1" t="n">
        <v>45223</v>
      </c>
      <c r="C12116" s="1" t="n">
        <v>45736</v>
      </c>
      <c r="D12116" t="inlineStr">
        <is>
          <t>VÄRMLANDS LÄN</t>
        </is>
      </c>
      <c r="E12116" t="inlineStr">
        <is>
          <t>EDA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51869-2023</t>
        </is>
      </c>
      <c r="B12117" s="1" t="n">
        <v>45223</v>
      </c>
      <c r="C12117" s="1" t="n">
        <v>45736</v>
      </c>
      <c r="D12117" t="inlineStr">
        <is>
          <t>VÄRMLANDS LÄN</t>
        </is>
      </c>
      <c r="E12117" t="inlineStr">
        <is>
          <t>SUNNE</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51915-2023</t>
        </is>
      </c>
      <c r="B12118" s="1" t="n">
        <v>45223</v>
      </c>
      <c r="C12118" s="1" t="n">
        <v>45736</v>
      </c>
      <c r="D12118" t="inlineStr">
        <is>
          <t>VÄRMLANDS LÄN</t>
        </is>
      </c>
      <c r="E12118" t="inlineStr">
        <is>
          <t>HAGFORS</t>
        </is>
      </c>
      <c r="F12118" t="inlineStr">
        <is>
          <t>Bergvik skog väst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51945-2023</t>
        </is>
      </c>
      <c r="B12119" s="1" t="n">
        <v>45223</v>
      </c>
      <c r="C12119" s="1" t="n">
        <v>45736</v>
      </c>
      <c r="D12119" t="inlineStr">
        <is>
          <t>VÄRMLANDS LÄN</t>
        </is>
      </c>
      <c r="E12119" t="inlineStr">
        <is>
          <t>FILIPSTAD</t>
        </is>
      </c>
      <c r="F12119" t="inlineStr">
        <is>
          <t>Bergvik skog väst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52050-2023</t>
        </is>
      </c>
      <c r="B12120" s="1" t="n">
        <v>45223</v>
      </c>
      <c r="C12120" s="1" t="n">
        <v>45736</v>
      </c>
      <c r="D12120" t="inlineStr">
        <is>
          <t>VÄRMLANDS LÄN</t>
        </is>
      </c>
      <c r="E12120" t="inlineStr">
        <is>
          <t>TORSBY</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52067-2023</t>
        </is>
      </c>
      <c r="B12121" s="1" t="n">
        <v>45223</v>
      </c>
      <c r="C12121" s="1" t="n">
        <v>45736</v>
      </c>
      <c r="D12121" t="inlineStr">
        <is>
          <t>VÄRMLANDS LÄN</t>
        </is>
      </c>
      <c r="E12121" t="inlineStr">
        <is>
          <t>TORSBY</t>
        </is>
      </c>
      <c r="F12121" t="inlineStr">
        <is>
          <t>Bergvik skog väst AB</t>
        </is>
      </c>
      <c r="G12121" t="n">
        <v>40.4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53502-2023</t>
        </is>
      </c>
      <c r="B12122" s="1" t="n">
        <v>45223</v>
      </c>
      <c r="C12122" s="1" t="n">
        <v>45736</v>
      </c>
      <c r="D12122" t="inlineStr">
        <is>
          <t>VÄRMLANDS LÄN</t>
        </is>
      </c>
      <c r="E12122" t="inlineStr">
        <is>
          <t>SÄFFLE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53440-2023</t>
        </is>
      </c>
      <c r="B12123" s="1" t="n">
        <v>45223</v>
      </c>
      <c r="C12123" s="1" t="n">
        <v>45736</v>
      </c>
      <c r="D12123" t="inlineStr">
        <is>
          <t>VÄRMLANDS LÄN</t>
        </is>
      </c>
      <c r="E12123" t="inlineStr">
        <is>
          <t>SÄFFLE</t>
        </is>
      </c>
      <c r="G12123" t="n">
        <v>19.1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53499-2023</t>
        </is>
      </c>
      <c r="B12124" s="1" t="n">
        <v>45223</v>
      </c>
      <c r="C12124" s="1" t="n">
        <v>45736</v>
      </c>
      <c r="D12124" t="inlineStr">
        <is>
          <t>VÄRMLANDS LÄN</t>
        </is>
      </c>
      <c r="E12124" t="inlineStr">
        <is>
          <t>TORSBY</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52338-2023</t>
        </is>
      </c>
      <c r="B12125" s="1" t="n">
        <v>45224</v>
      </c>
      <c r="C12125" s="1" t="n">
        <v>45736</v>
      </c>
      <c r="D12125" t="inlineStr">
        <is>
          <t>VÄRMLANDS LÄN</t>
        </is>
      </c>
      <c r="E12125" t="inlineStr">
        <is>
          <t>EDA</t>
        </is>
      </c>
      <c r="F12125" t="inlineStr">
        <is>
          <t>Bergvik skog väst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52255-2023</t>
        </is>
      </c>
      <c r="B12126" s="1" t="n">
        <v>45224</v>
      </c>
      <c r="C12126" s="1" t="n">
        <v>45736</v>
      </c>
      <c r="D12126" t="inlineStr">
        <is>
          <t>VÄRMLANDS LÄN</t>
        </is>
      </c>
      <c r="E12126" t="inlineStr">
        <is>
          <t>HAGFORS</t>
        </is>
      </c>
      <c r="F12126" t="inlineStr">
        <is>
          <t>Bergvik skog väst AB</t>
        </is>
      </c>
      <c r="G12126" t="n">
        <v>25.1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52275-2023</t>
        </is>
      </c>
      <c r="B12127" s="1" t="n">
        <v>45224</v>
      </c>
      <c r="C12127" s="1" t="n">
        <v>45736</v>
      </c>
      <c r="D12127" t="inlineStr">
        <is>
          <t>VÄRMLANDS LÄN</t>
        </is>
      </c>
      <c r="E12127" t="inlineStr">
        <is>
          <t>TORSBY</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52344-2023</t>
        </is>
      </c>
      <c r="B12128" s="1" t="n">
        <v>45224</v>
      </c>
      <c r="C12128" s="1" t="n">
        <v>45736</v>
      </c>
      <c r="D12128" t="inlineStr">
        <is>
          <t>VÄRMLANDS LÄN</t>
        </is>
      </c>
      <c r="E12128" t="inlineStr">
        <is>
          <t>SUNNE</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52224-2023</t>
        </is>
      </c>
      <c r="B12129" s="1" t="n">
        <v>45224</v>
      </c>
      <c r="C12129" s="1" t="n">
        <v>45736</v>
      </c>
      <c r="D12129" t="inlineStr">
        <is>
          <t>VÄRMLANDS LÄN</t>
        </is>
      </c>
      <c r="E12129" t="inlineStr">
        <is>
          <t>HAGFORS</t>
        </is>
      </c>
      <c r="G12129" t="n">
        <v>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52264-2023</t>
        </is>
      </c>
      <c r="B12130" s="1" t="n">
        <v>45224</v>
      </c>
      <c r="C12130" s="1" t="n">
        <v>45736</v>
      </c>
      <c r="D12130" t="inlineStr">
        <is>
          <t>VÄRMLANDS LÄN</t>
        </is>
      </c>
      <c r="E12130" t="inlineStr">
        <is>
          <t>KRISTINEHAMN</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52187-2023</t>
        </is>
      </c>
      <c r="B12131" s="1" t="n">
        <v>45224</v>
      </c>
      <c r="C12131" s="1" t="n">
        <v>45736</v>
      </c>
      <c r="D12131" t="inlineStr">
        <is>
          <t>VÄRMLANDS LÄN</t>
        </is>
      </c>
      <c r="E12131" t="inlineStr">
        <is>
          <t>EDA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52236-2023</t>
        </is>
      </c>
      <c r="B12132" s="1" t="n">
        <v>45224</v>
      </c>
      <c r="C12132" s="1" t="n">
        <v>45736</v>
      </c>
      <c r="D12132" t="inlineStr">
        <is>
          <t>VÄRMLANDS LÄN</t>
        </is>
      </c>
      <c r="E12132" t="inlineStr">
        <is>
          <t>SUNNE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52278-2023</t>
        </is>
      </c>
      <c r="B12133" s="1" t="n">
        <v>45224</v>
      </c>
      <c r="C12133" s="1" t="n">
        <v>45736</v>
      </c>
      <c r="D12133" t="inlineStr">
        <is>
          <t>VÄRMLANDS LÄN</t>
        </is>
      </c>
      <c r="E12133" t="inlineStr">
        <is>
          <t>ÅRJÄNG</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52385-2023</t>
        </is>
      </c>
      <c r="B12134" s="1" t="n">
        <v>45224</v>
      </c>
      <c r="C12134" s="1" t="n">
        <v>45736</v>
      </c>
      <c r="D12134" t="inlineStr">
        <is>
          <t>VÄRMLANDS LÄN</t>
        </is>
      </c>
      <c r="E12134" t="inlineStr">
        <is>
          <t>TORSBY</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53652-2023</t>
        </is>
      </c>
      <c r="B12135" s="1" t="n">
        <v>45224</v>
      </c>
      <c r="C12135" s="1" t="n">
        <v>45736</v>
      </c>
      <c r="D12135" t="inlineStr">
        <is>
          <t>VÄRMLANDS LÄN</t>
        </is>
      </c>
      <c r="E12135" t="inlineStr">
        <is>
          <t>TORSBY</t>
        </is>
      </c>
      <c r="F12135" t="inlineStr">
        <is>
          <t>Övriga statliga verk och myndigheter</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52351-2023</t>
        </is>
      </c>
      <c r="B12136" s="1" t="n">
        <v>45224</v>
      </c>
      <c r="C12136" s="1" t="n">
        <v>45736</v>
      </c>
      <c r="D12136" t="inlineStr">
        <is>
          <t>VÄRMLANDS LÄN</t>
        </is>
      </c>
      <c r="E12136" t="inlineStr">
        <is>
          <t>SUNNE</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52521-2023</t>
        </is>
      </c>
      <c r="B12137" s="1" t="n">
        <v>45225</v>
      </c>
      <c r="C12137" s="1" t="n">
        <v>45736</v>
      </c>
      <c r="D12137" t="inlineStr">
        <is>
          <t>VÄRMLANDS LÄN</t>
        </is>
      </c>
      <c r="E12137" t="inlineStr">
        <is>
          <t>SUNNE</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52541-2023</t>
        </is>
      </c>
      <c r="B12138" s="1" t="n">
        <v>45225</v>
      </c>
      <c r="C12138" s="1" t="n">
        <v>45736</v>
      </c>
      <c r="D12138" t="inlineStr">
        <is>
          <t>VÄRMLANDS LÄN</t>
        </is>
      </c>
      <c r="E12138" t="inlineStr">
        <is>
          <t>TORSBY</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52580-2023</t>
        </is>
      </c>
      <c r="B12139" s="1" t="n">
        <v>45225</v>
      </c>
      <c r="C12139" s="1" t="n">
        <v>45736</v>
      </c>
      <c r="D12139" t="inlineStr">
        <is>
          <t>VÄRMLANDS LÄN</t>
        </is>
      </c>
      <c r="E12139" t="inlineStr">
        <is>
          <t>TORSBY</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52512-2023</t>
        </is>
      </c>
      <c r="B12140" s="1" t="n">
        <v>45225</v>
      </c>
      <c r="C12140" s="1" t="n">
        <v>45736</v>
      </c>
      <c r="D12140" t="inlineStr">
        <is>
          <t>VÄRMLANDS LÄN</t>
        </is>
      </c>
      <c r="E12140" t="inlineStr">
        <is>
          <t>SUNNE</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52555-2023</t>
        </is>
      </c>
      <c r="B12141" s="1" t="n">
        <v>45225</v>
      </c>
      <c r="C12141" s="1" t="n">
        <v>45736</v>
      </c>
      <c r="D12141" t="inlineStr">
        <is>
          <t>VÄRMLANDS LÄN</t>
        </is>
      </c>
      <c r="E12141" t="inlineStr">
        <is>
          <t>TORSBY</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52532-2023</t>
        </is>
      </c>
      <c r="B12142" s="1" t="n">
        <v>45225</v>
      </c>
      <c r="C12142" s="1" t="n">
        <v>45736</v>
      </c>
      <c r="D12142" t="inlineStr">
        <is>
          <t>VÄRMLANDS LÄN</t>
        </is>
      </c>
      <c r="E12142" t="inlineStr">
        <is>
          <t>TORSBY</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52591-2023</t>
        </is>
      </c>
      <c r="B12143" s="1" t="n">
        <v>45225</v>
      </c>
      <c r="C12143" s="1" t="n">
        <v>45736</v>
      </c>
      <c r="D12143" t="inlineStr">
        <is>
          <t>VÄRMLANDS LÄN</t>
        </is>
      </c>
      <c r="E12143" t="inlineStr">
        <is>
          <t>TORSBY</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52692-2023</t>
        </is>
      </c>
      <c r="B12144" s="1" t="n">
        <v>45225</v>
      </c>
      <c r="C12144" s="1" t="n">
        <v>45736</v>
      </c>
      <c r="D12144" t="inlineStr">
        <is>
          <t>VÄRMLANDS LÄN</t>
        </is>
      </c>
      <c r="E12144" t="inlineStr">
        <is>
          <t>KRISTINEHAMN</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52757-2023</t>
        </is>
      </c>
      <c r="B12145" s="1" t="n">
        <v>45226</v>
      </c>
      <c r="C12145" s="1" t="n">
        <v>45736</v>
      </c>
      <c r="D12145" t="inlineStr">
        <is>
          <t>VÄRMLANDS LÄN</t>
        </is>
      </c>
      <c r="E12145" t="inlineStr">
        <is>
          <t>KARLSTAD</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54158-2023</t>
        </is>
      </c>
      <c r="B12146" s="1" t="n">
        <v>45225</v>
      </c>
      <c r="C12146" s="1" t="n">
        <v>45736</v>
      </c>
      <c r="D12146" t="inlineStr">
        <is>
          <t>VÄRMLANDS LÄN</t>
        </is>
      </c>
      <c r="E12146" t="inlineStr">
        <is>
          <t>ÅRJÄNG</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54552-2023</t>
        </is>
      </c>
      <c r="B12147" s="1" t="n">
        <v>45226</v>
      </c>
      <c r="C12147" s="1" t="n">
        <v>45736</v>
      </c>
      <c r="D12147" t="inlineStr">
        <is>
          <t>VÄRMLANDS LÄN</t>
        </is>
      </c>
      <c r="E12147" t="inlineStr">
        <is>
          <t>KRISTINEHAMN</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54535-2023</t>
        </is>
      </c>
      <c r="B12148" s="1" t="n">
        <v>45226</v>
      </c>
      <c r="C12148" s="1" t="n">
        <v>45736</v>
      </c>
      <c r="D12148" t="inlineStr">
        <is>
          <t>VÄRMLANDS LÄN</t>
        </is>
      </c>
      <c r="E12148" t="inlineStr">
        <is>
          <t>SUNNE</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52824-2023</t>
        </is>
      </c>
      <c r="B12149" s="1" t="n">
        <v>45226</v>
      </c>
      <c r="C12149" s="1" t="n">
        <v>45736</v>
      </c>
      <c r="D12149" t="inlineStr">
        <is>
          <t>VÄRMLANDS LÄN</t>
        </is>
      </c>
      <c r="E12149" t="inlineStr">
        <is>
          <t>HAGFORS</t>
        </is>
      </c>
      <c r="F12149" t="inlineStr">
        <is>
          <t>Bergvik skog väst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52828-2023</t>
        </is>
      </c>
      <c r="B12150" s="1" t="n">
        <v>45226</v>
      </c>
      <c r="C12150" s="1" t="n">
        <v>45736</v>
      </c>
      <c r="D12150" t="inlineStr">
        <is>
          <t>VÄRMLANDS LÄN</t>
        </is>
      </c>
      <c r="E12150" t="inlineStr">
        <is>
          <t>HAGFORS</t>
        </is>
      </c>
      <c r="F12150" t="inlineStr">
        <is>
          <t>Bergvik skog väst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52836-2023</t>
        </is>
      </c>
      <c r="B12151" s="1" t="n">
        <v>45226</v>
      </c>
      <c r="C12151" s="1" t="n">
        <v>45736</v>
      </c>
      <c r="D12151" t="inlineStr">
        <is>
          <t>VÄRMLANDS LÄN</t>
        </is>
      </c>
      <c r="E12151" t="inlineStr">
        <is>
          <t>EDA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52862-2023</t>
        </is>
      </c>
      <c r="B12152" s="1" t="n">
        <v>45226</v>
      </c>
      <c r="C12152" s="1" t="n">
        <v>45736</v>
      </c>
      <c r="D12152" t="inlineStr">
        <is>
          <t>VÄRMLANDS LÄN</t>
        </is>
      </c>
      <c r="E12152" t="inlineStr">
        <is>
          <t>SUNNE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52872-2023</t>
        </is>
      </c>
      <c r="B12153" s="1" t="n">
        <v>45226</v>
      </c>
      <c r="C12153" s="1" t="n">
        <v>45736</v>
      </c>
      <c r="D12153" t="inlineStr">
        <is>
          <t>VÄRMLANDS LÄN</t>
        </is>
      </c>
      <c r="E12153" t="inlineStr">
        <is>
          <t>STORFORS</t>
        </is>
      </c>
      <c r="F12153" t="inlineStr">
        <is>
          <t>Bergvik skog väst AB</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52984-2023</t>
        </is>
      </c>
      <c r="B12154" s="1" t="n">
        <v>45226</v>
      </c>
      <c r="C12154" s="1" t="n">
        <v>45736</v>
      </c>
      <c r="D12154" t="inlineStr">
        <is>
          <t>VÄRMLANDS LÄN</t>
        </is>
      </c>
      <c r="E12154" t="inlineStr">
        <is>
          <t>TORSBY</t>
        </is>
      </c>
      <c r="F12154" t="inlineStr">
        <is>
          <t>Bergvik skog väst AB</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54429-2023</t>
        </is>
      </c>
      <c r="B12155" s="1" t="n">
        <v>45226</v>
      </c>
      <c r="C12155" s="1" t="n">
        <v>45736</v>
      </c>
      <c r="D12155" t="inlineStr">
        <is>
          <t>VÄRMLANDS LÄN</t>
        </is>
      </c>
      <c r="E12155" t="inlineStr">
        <is>
          <t>SÄFFLE</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52823-2023</t>
        </is>
      </c>
      <c r="B12156" s="1" t="n">
        <v>45226</v>
      </c>
      <c r="C12156" s="1" t="n">
        <v>45736</v>
      </c>
      <c r="D12156" t="inlineStr">
        <is>
          <t>VÄRMLANDS LÄN</t>
        </is>
      </c>
      <c r="E12156" t="inlineStr">
        <is>
          <t>EDA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52994-2023</t>
        </is>
      </c>
      <c r="B12157" s="1" t="n">
        <v>45226</v>
      </c>
      <c r="C12157" s="1" t="n">
        <v>45736</v>
      </c>
      <c r="D12157" t="inlineStr">
        <is>
          <t>VÄRMLANDS LÄN</t>
        </is>
      </c>
      <c r="E12157" t="inlineStr">
        <is>
          <t>FILIPSTAD</t>
        </is>
      </c>
      <c r="F12157" t="inlineStr">
        <is>
          <t>Bergvik skog väst AB</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52839-2023</t>
        </is>
      </c>
      <c r="B12158" s="1" t="n">
        <v>45226</v>
      </c>
      <c r="C12158" s="1" t="n">
        <v>45736</v>
      </c>
      <c r="D12158" t="inlineStr">
        <is>
          <t>VÄRMLANDS LÄN</t>
        </is>
      </c>
      <c r="E12158" t="inlineStr">
        <is>
          <t>ARVIKA</t>
        </is>
      </c>
      <c r="F12158" t="inlineStr">
        <is>
          <t>Bergvik skog väst AB</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52982-2023</t>
        </is>
      </c>
      <c r="B12159" s="1" t="n">
        <v>45226</v>
      </c>
      <c r="C12159" s="1" t="n">
        <v>45736</v>
      </c>
      <c r="D12159" t="inlineStr">
        <is>
          <t>VÄRMLANDS LÄN</t>
        </is>
      </c>
      <c r="E12159" t="inlineStr">
        <is>
          <t>TORSBY</t>
        </is>
      </c>
      <c r="G12159" t="n">
        <v>35.5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52923-2023</t>
        </is>
      </c>
      <c r="B12160" s="1" t="n">
        <v>45226</v>
      </c>
      <c r="C12160" s="1" t="n">
        <v>45736</v>
      </c>
      <c r="D12160" t="inlineStr">
        <is>
          <t>VÄRMLANDS LÄN</t>
        </is>
      </c>
      <c r="E12160" t="inlineStr">
        <is>
          <t>HAGFORS</t>
        </is>
      </c>
      <c r="F12160" t="inlineStr">
        <is>
          <t>Bergvik skog väst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52924-2023</t>
        </is>
      </c>
      <c r="B12161" s="1" t="n">
        <v>45226</v>
      </c>
      <c r="C12161" s="1" t="n">
        <v>45736</v>
      </c>
      <c r="D12161" t="inlineStr">
        <is>
          <t>VÄRMLANDS LÄN</t>
        </is>
      </c>
      <c r="E12161" t="inlineStr">
        <is>
          <t>HAGFORS</t>
        </is>
      </c>
      <c r="F12161" t="inlineStr">
        <is>
          <t>Bergvik skog väst AB</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52979-2023</t>
        </is>
      </c>
      <c r="B12162" s="1" t="n">
        <v>45226</v>
      </c>
      <c r="C12162" s="1" t="n">
        <v>45736</v>
      </c>
      <c r="D12162" t="inlineStr">
        <is>
          <t>VÄRMLANDS LÄN</t>
        </is>
      </c>
      <c r="E12162" t="inlineStr">
        <is>
          <t>STORFORS</t>
        </is>
      </c>
      <c r="F12162" t="inlineStr">
        <is>
          <t>Bergvik skog väst AB</t>
        </is>
      </c>
      <c r="G12162" t="n">
        <v>13.6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52838-2023</t>
        </is>
      </c>
      <c r="B12163" s="1" t="n">
        <v>45226</v>
      </c>
      <c r="C12163" s="1" t="n">
        <v>45736</v>
      </c>
      <c r="D12163" t="inlineStr">
        <is>
          <t>VÄRMLANDS LÄN</t>
        </is>
      </c>
      <c r="E12163" t="inlineStr">
        <is>
          <t>HAGFORS</t>
        </is>
      </c>
      <c r="F12163" t="inlineStr">
        <is>
          <t>Bergvik skog väst AB</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52834-2023</t>
        </is>
      </c>
      <c r="B12164" s="1" t="n">
        <v>45226</v>
      </c>
      <c r="C12164" s="1" t="n">
        <v>45736</v>
      </c>
      <c r="D12164" t="inlineStr">
        <is>
          <t>VÄRMLANDS LÄN</t>
        </is>
      </c>
      <c r="E12164" t="inlineStr">
        <is>
          <t>STORFORS</t>
        </is>
      </c>
      <c r="F12164" t="inlineStr">
        <is>
          <t>Bergvik skog väst AB</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52830-2023</t>
        </is>
      </c>
      <c r="B12165" s="1" t="n">
        <v>45226</v>
      </c>
      <c r="C12165" s="1" t="n">
        <v>45736</v>
      </c>
      <c r="D12165" t="inlineStr">
        <is>
          <t>VÄRMLANDS LÄN</t>
        </is>
      </c>
      <c r="E12165" t="inlineStr">
        <is>
          <t>HAGFORS</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52995-2023</t>
        </is>
      </c>
      <c r="B12166" s="1" t="n">
        <v>45226</v>
      </c>
      <c r="C12166" s="1" t="n">
        <v>45736</v>
      </c>
      <c r="D12166" t="inlineStr">
        <is>
          <t>VÄRMLANDS LÄN</t>
        </is>
      </c>
      <c r="E12166" t="inlineStr">
        <is>
          <t>SUNNE</t>
        </is>
      </c>
      <c r="G12166" t="n">
        <v>9.199999999999999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52810-2023</t>
        </is>
      </c>
      <c r="B12167" s="1" t="n">
        <v>45226</v>
      </c>
      <c r="C12167" s="1" t="n">
        <v>45736</v>
      </c>
      <c r="D12167" t="inlineStr">
        <is>
          <t>VÄRMLANDS LÄN</t>
        </is>
      </c>
      <c r="E12167" t="inlineStr">
        <is>
          <t>TORSBY</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54548-2023</t>
        </is>
      </c>
      <c r="B12168" s="1" t="n">
        <v>45226</v>
      </c>
      <c r="C12168" s="1" t="n">
        <v>45736</v>
      </c>
      <c r="D12168" t="inlineStr">
        <is>
          <t>VÄRMLANDS LÄN</t>
        </is>
      </c>
      <c r="E12168" t="inlineStr">
        <is>
          <t>KRISTINEHAMN</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52998-2023</t>
        </is>
      </c>
      <c r="B12169" s="1" t="n">
        <v>45226</v>
      </c>
      <c r="C12169" s="1" t="n">
        <v>45736</v>
      </c>
      <c r="D12169" t="inlineStr">
        <is>
          <t>VÄRMLANDS LÄN</t>
        </is>
      </c>
      <c r="E12169" t="inlineStr">
        <is>
          <t>SUNNE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52977-2023</t>
        </is>
      </c>
      <c r="B12170" s="1" t="n">
        <v>45226</v>
      </c>
      <c r="C12170" s="1" t="n">
        <v>45736</v>
      </c>
      <c r="D12170" t="inlineStr">
        <is>
          <t>VÄRMLANDS LÄN</t>
        </is>
      </c>
      <c r="E12170" t="inlineStr">
        <is>
          <t>HAGFORS</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52849-2023</t>
        </is>
      </c>
      <c r="B12171" s="1" t="n">
        <v>45226</v>
      </c>
      <c r="C12171" s="1" t="n">
        <v>45736</v>
      </c>
      <c r="D12171" t="inlineStr">
        <is>
          <t>VÄRMLANDS LÄN</t>
        </is>
      </c>
      <c r="E12171" t="inlineStr">
        <is>
          <t>FILIPSTAD</t>
        </is>
      </c>
      <c r="F12171" t="inlineStr">
        <is>
          <t>Bergvik skog väst AB</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52820-2023</t>
        </is>
      </c>
      <c r="B12172" s="1" t="n">
        <v>45226</v>
      </c>
      <c r="C12172" s="1" t="n">
        <v>45736</v>
      </c>
      <c r="D12172" t="inlineStr">
        <is>
          <t>VÄRMLANDS LÄN</t>
        </is>
      </c>
      <c r="E12172" t="inlineStr">
        <is>
          <t>SUNNE</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54591-2023</t>
        </is>
      </c>
      <c r="B12173" s="1" t="n">
        <v>45227</v>
      </c>
      <c r="C12173" s="1" t="n">
        <v>45736</v>
      </c>
      <c r="D12173" t="inlineStr">
        <is>
          <t>VÄRMLANDS LÄN</t>
        </is>
      </c>
      <c r="E12173" t="inlineStr">
        <is>
          <t>ÅRJÄNG</t>
        </is>
      </c>
      <c r="F12173" t="inlineStr">
        <is>
          <t>Övriga Aktiebolag</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53103-2023</t>
        </is>
      </c>
      <c r="B12174" s="1" t="n">
        <v>45228</v>
      </c>
      <c r="C12174" s="1" t="n">
        <v>45736</v>
      </c>
      <c r="D12174" t="inlineStr">
        <is>
          <t>VÄRMLANDS LÄN</t>
        </is>
      </c>
      <c r="E12174" t="inlineStr">
        <is>
          <t>TORSBY</t>
        </is>
      </c>
      <c r="G12174" t="n">
        <v>6.6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53116-2023</t>
        </is>
      </c>
      <c r="B12175" s="1" t="n">
        <v>45228</v>
      </c>
      <c r="C12175" s="1" t="n">
        <v>45736</v>
      </c>
      <c r="D12175" t="inlineStr">
        <is>
          <t>VÄRMLANDS LÄN</t>
        </is>
      </c>
      <c r="E12175" t="inlineStr">
        <is>
          <t>TORSBY</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53137-2023</t>
        </is>
      </c>
      <c r="B12176" s="1" t="n">
        <v>45229</v>
      </c>
      <c r="C12176" s="1" t="n">
        <v>45736</v>
      </c>
      <c r="D12176" t="inlineStr">
        <is>
          <t>VÄRMLANDS LÄN</t>
        </is>
      </c>
      <c r="E12176" t="inlineStr">
        <is>
          <t>GRUMS</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53150-2023</t>
        </is>
      </c>
      <c r="B12177" s="1" t="n">
        <v>45229</v>
      </c>
      <c r="C12177" s="1" t="n">
        <v>45736</v>
      </c>
      <c r="D12177" t="inlineStr">
        <is>
          <t>VÄRMLANDS LÄN</t>
        </is>
      </c>
      <c r="E12177" t="inlineStr">
        <is>
          <t>KARLSTAD</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53175-2023</t>
        </is>
      </c>
      <c r="B12178" s="1" t="n">
        <v>45229</v>
      </c>
      <c r="C12178" s="1" t="n">
        <v>45736</v>
      </c>
      <c r="D12178" t="inlineStr">
        <is>
          <t>VÄRMLANDS LÄN</t>
        </is>
      </c>
      <c r="E12178" t="inlineStr">
        <is>
          <t>HAGFORS</t>
        </is>
      </c>
      <c r="F12178" t="inlineStr">
        <is>
          <t>Bergvik skog väst AB</t>
        </is>
      </c>
      <c r="G12178" t="n">
        <v>12.6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53203-2023</t>
        </is>
      </c>
      <c r="B12179" s="1" t="n">
        <v>45229</v>
      </c>
      <c r="C12179" s="1" t="n">
        <v>45736</v>
      </c>
      <c r="D12179" t="inlineStr">
        <is>
          <t>VÄRMLANDS LÄN</t>
        </is>
      </c>
      <c r="E12179" t="inlineStr">
        <is>
          <t>ARVIKA</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53263-2023</t>
        </is>
      </c>
      <c r="B12180" s="1" t="n">
        <v>45229</v>
      </c>
      <c r="C12180" s="1" t="n">
        <v>45736</v>
      </c>
      <c r="D12180" t="inlineStr">
        <is>
          <t>VÄRMLANDS LÄN</t>
        </is>
      </c>
      <c r="E12180" t="inlineStr">
        <is>
          <t>EDA</t>
        </is>
      </c>
      <c r="F12180" t="inlineStr">
        <is>
          <t>Bergvik skog väst AB</t>
        </is>
      </c>
      <c r="G12180" t="n">
        <v>8.5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53144-2023</t>
        </is>
      </c>
      <c r="B12181" s="1" t="n">
        <v>45229</v>
      </c>
      <c r="C12181" s="1" t="n">
        <v>45736</v>
      </c>
      <c r="D12181" t="inlineStr">
        <is>
          <t>VÄRMLANDS LÄN</t>
        </is>
      </c>
      <c r="E12181" t="inlineStr">
        <is>
          <t>SUNNE</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53148-2023</t>
        </is>
      </c>
      <c r="B12182" s="1" t="n">
        <v>45229</v>
      </c>
      <c r="C12182" s="1" t="n">
        <v>45736</v>
      </c>
      <c r="D12182" t="inlineStr">
        <is>
          <t>VÄRMLANDS LÄN</t>
        </is>
      </c>
      <c r="E12182" t="inlineStr">
        <is>
          <t>GRUMS</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53245-2023</t>
        </is>
      </c>
      <c r="B12183" s="1" t="n">
        <v>45229</v>
      </c>
      <c r="C12183" s="1" t="n">
        <v>45736</v>
      </c>
      <c r="D12183" t="inlineStr">
        <is>
          <t>VÄRMLANDS LÄN</t>
        </is>
      </c>
      <c r="E12183" t="inlineStr">
        <is>
          <t>EDA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53250-2023</t>
        </is>
      </c>
      <c r="B12184" s="1" t="n">
        <v>45229</v>
      </c>
      <c r="C12184" s="1" t="n">
        <v>45736</v>
      </c>
      <c r="D12184" t="inlineStr">
        <is>
          <t>VÄRMLANDS LÄN</t>
        </is>
      </c>
      <c r="E12184" t="inlineStr">
        <is>
          <t>KARLSTAD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53288-2023</t>
        </is>
      </c>
      <c r="B12185" s="1" t="n">
        <v>45229</v>
      </c>
      <c r="C12185" s="1" t="n">
        <v>45736</v>
      </c>
      <c r="D12185" t="inlineStr">
        <is>
          <t>VÄRMLANDS LÄN</t>
        </is>
      </c>
      <c r="E12185" t="inlineStr">
        <is>
          <t>HAMMARÖ</t>
        </is>
      </c>
      <c r="F12185" t="inlineStr">
        <is>
          <t>Övriga Aktiebolag</t>
        </is>
      </c>
      <c r="G12185" t="n">
        <v>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53300-2023</t>
        </is>
      </c>
      <c r="B12186" s="1" t="n">
        <v>45229</v>
      </c>
      <c r="C12186" s="1" t="n">
        <v>45736</v>
      </c>
      <c r="D12186" t="inlineStr">
        <is>
          <t>VÄRMLANDS LÄN</t>
        </is>
      </c>
      <c r="E12186" t="inlineStr">
        <is>
          <t>SÄFFLE</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53416-2023</t>
        </is>
      </c>
      <c r="B12187" s="1" t="n">
        <v>45229</v>
      </c>
      <c r="C12187" s="1" t="n">
        <v>45736</v>
      </c>
      <c r="D12187" t="inlineStr">
        <is>
          <t>VÄRMLANDS LÄN</t>
        </is>
      </c>
      <c r="E12187" t="inlineStr">
        <is>
          <t>KIL</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53332-2023</t>
        </is>
      </c>
      <c r="B12188" s="1" t="n">
        <v>45229</v>
      </c>
      <c r="C12188" s="1" t="n">
        <v>45736</v>
      </c>
      <c r="D12188" t="inlineStr">
        <is>
          <t>VÄRMLANDS LÄN</t>
        </is>
      </c>
      <c r="E12188" t="inlineStr">
        <is>
          <t>ÅRJÄNG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53346-2023</t>
        </is>
      </c>
      <c r="B12189" s="1" t="n">
        <v>45229</v>
      </c>
      <c r="C12189" s="1" t="n">
        <v>45736</v>
      </c>
      <c r="D12189" t="inlineStr">
        <is>
          <t>VÄRMLANDS LÄN</t>
        </is>
      </c>
      <c r="E12189" t="inlineStr">
        <is>
          <t>TORSBY</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53414-2023</t>
        </is>
      </c>
      <c r="B12190" s="1" t="n">
        <v>45229</v>
      </c>
      <c r="C12190" s="1" t="n">
        <v>45736</v>
      </c>
      <c r="D12190" t="inlineStr">
        <is>
          <t>VÄRMLANDS LÄN</t>
        </is>
      </c>
      <c r="E12190" t="inlineStr">
        <is>
          <t>KIL</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53202-2023</t>
        </is>
      </c>
      <c r="B12191" s="1" t="n">
        <v>45229</v>
      </c>
      <c r="C12191" s="1" t="n">
        <v>45736</v>
      </c>
      <c r="D12191" t="inlineStr">
        <is>
          <t>VÄRMLANDS LÄN</t>
        </is>
      </c>
      <c r="E12191" t="inlineStr">
        <is>
          <t>STORFORS</t>
        </is>
      </c>
      <c r="G12191" t="n">
        <v>7.6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53305-2023</t>
        </is>
      </c>
      <c r="B12192" s="1" t="n">
        <v>45229</v>
      </c>
      <c r="C12192" s="1" t="n">
        <v>45736</v>
      </c>
      <c r="D12192" t="inlineStr">
        <is>
          <t>VÄRMLANDS LÄN</t>
        </is>
      </c>
      <c r="E12192" t="inlineStr">
        <is>
          <t>KARLSTAD</t>
        </is>
      </c>
      <c r="F12192" t="inlineStr">
        <is>
          <t>Övriga Aktiebolag</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53348-2023</t>
        </is>
      </c>
      <c r="B12193" s="1" t="n">
        <v>45229</v>
      </c>
      <c r="C12193" s="1" t="n">
        <v>45736</v>
      </c>
      <c r="D12193" t="inlineStr">
        <is>
          <t>VÄRMLANDS LÄN</t>
        </is>
      </c>
      <c r="E12193" t="inlineStr">
        <is>
          <t>FILIPSTAD</t>
        </is>
      </c>
      <c r="F12193" t="inlineStr">
        <is>
          <t>Bergvik skog väst AB</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53138-2023</t>
        </is>
      </c>
      <c r="B12194" s="1" t="n">
        <v>45229</v>
      </c>
      <c r="C12194" s="1" t="n">
        <v>45736</v>
      </c>
      <c r="D12194" t="inlineStr">
        <is>
          <t>VÄRMLANDS LÄN</t>
        </is>
      </c>
      <c r="E12194" t="inlineStr">
        <is>
          <t>GRUMS</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53156-2023</t>
        </is>
      </c>
      <c r="B12195" s="1" t="n">
        <v>45229</v>
      </c>
      <c r="C12195" s="1" t="n">
        <v>45736</v>
      </c>
      <c r="D12195" t="inlineStr">
        <is>
          <t>VÄRMLANDS LÄN</t>
        </is>
      </c>
      <c r="E12195" t="inlineStr">
        <is>
          <t>HAGFORS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53176-2023</t>
        </is>
      </c>
      <c r="B12196" s="1" t="n">
        <v>45229</v>
      </c>
      <c r="C12196" s="1" t="n">
        <v>45736</v>
      </c>
      <c r="D12196" t="inlineStr">
        <is>
          <t>VÄRMLANDS LÄN</t>
        </is>
      </c>
      <c r="E12196" t="inlineStr">
        <is>
          <t>STORFORS</t>
        </is>
      </c>
      <c r="F12196" t="inlineStr">
        <is>
          <t>Bergvik skog väst AB</t>
        </is>
      </c>
      <c r="G12196" t="n">
        <v>12.8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53216-2023</t>
        </is>
      </c>
      <c r="B12197" s="1" t="n">
        <v>45229</v>
      </c>
      <c r="C12197" s="1" t="n">
        <v>45736</v>
      </c>
      <c r="D12197" t="inlineStr">
        <is>
          <t>VÄRMLANDS LÄN</t>
        </is>
      </c>
      <c r="E12197" t="inlineStr">
        <is>
          <t>FILIPSTAD</t>
        </is>
      </c>
      <c r="F12197" t="inlineStr">
        <is>
          <t>Bergvik skog väst AB</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53303-2023</t>
        </is>
      </c>
      <c r="B12198" s="1" t="n">
        <v>45229</v>
      </c>
      <c r="C12198" s="1" t="n">
        <v>45736</v>
      </c>
      <c r="D12198" t="inlineStr">
        <is>
          <t>VÄRMLANDS LÄN</t>
        </is>
      </c>
      <c r="E12198" t="inlineStr">
        <is>
          <t>SÄFFLE</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53396-2023</t>
        </is>
      </c>
      <c r="B12199" s="1" t="n">
        <v>45229</v>
      </c>
      <c r="C12199" s="1" t="n">
        <v>45736</v>
      </c>
      <c r="D12199" t="inlineStr">
        <is>
          <t>VÄRMLANDS LÄN</t>
        </is>
      </c>
      <c r="E12199" t="inlineStr">
        <is>
          <t>EDA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54828-2023</t>
        </is>
      </c>
      <c r="B12200" s="1" t="n">
        <v>45229</v>
      </c>
      <c r="C12200" s="1" t="n">
        <v>45736</v>
      </c>
      <c r="D12200" t="inlineStr">
        <is>
          <t>VÄRMLANDS LÄN</t>
        </is>
      </c>
      <c r="E12200" t="inlineStr">
        <is>
          <t>FILIPSTAD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54879-2023</t>
        </is>
      </c>
      <c r="B12201" s="1" t="n">
        <v>45229</v>
      </c>
      <c r="C12201" s="1" t="n">
        <v>45736</v>
      </c>
      <c r="D12201" t="inlineStr">
        <is>
          <t>VÄRMLANDS LÄN</t>
        </is>
      </c>
      <c r="E12201" t="inlineStr">
        <is>
          <t>TORSBY</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54822-2023</t>
        </is>
      </c>
      <c r="B12202" s="1" t="n">
        <v>45229</v>
      </c>
      <c r="C12202" s="1" t="n">
        <v>45736</v>
      </c>
      <c r="D12202" t="inlineStr">
        <is>
          <t>VÄRMLANDS LÄN</t>
        </is>
      </c>
      <c r="E12202" t="inlineStr">
        <is>
          <t>TORSBY</t>
        </is>
      </c>
      <c r="F12202" t="inlineStr">
        <is>
          <t>Övriga Aktiebolag</t>
        </is>
      </c>
      <c r="G12202" t="n">
        <v>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54836-2023</t>
        </is>
      </c>
      <c r="B12203" s="1" t="n">
        <v>45229</v>
      </c>
      <c r="C12203" s="1" t="n">
        <v>45736</v>
      </c>
      <c r="D12203" t="inlineStr">
        <is>
          <t>VÄRMLANDS LÄN</t>
        </is>
      </c>
      <c r="E12203" t="inlineStr">
        <is>
          <t>FILIPSTAD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53557-2023</t>
        </is>
      </c>
      <c r="B12204" s="1" t="n">
        <v>45230</v>
      </c>
      <c r="C12204" s="1" t="n">
        <v>45736</v>
      </c>
      <c r="D12204" t="inlineStr">
        <is>
          <t>VÄRMLANDS LÄN</t>
        </is>
      </c>
      <c r="E12204" t="inlineStr">
        <is>
          <t>TORSBY</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53720-2023</t>
        </is>
      </c>
      <c r="B12205" s="1" t="n">
        <v>45230</v>
      </c>
      <c r="C12205" s="1" t="n">
        <v>45736</v>
      </c>
      <c r="D12205" t="inlineStr">
        <is>
          <t>VÄRMLANDS LÄN</t>
        </is>
      </c>
      <c r="E12205" t="inlineStr">
        <is>
          <t>KRISTINEHAMN</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53744-2023</t>
        </is>
      </c>
      <c r="B12206" s="1" t="n">
        <v>45230</v>
      </c>
      <c r="C12206" s="1" t="n">
        <v>45736</v>
      </c>
      <c r="D12206" t="inlineStr">
        <is>
          <t>VÄRMLANDS LÄN</t>
        </is>
      </c>
      <c r="E12206" t="inlineStr">
        <is>
          <t>FILIPSTAD</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53599-2023</t>
        </is>
      </c>
      <c r="B12207" s="1" t="n">
        <v>45230</v>
      </c>
      <c r="C12207" s="1" t="n">
        <v>45736</v>
      </c>
      <c r="D12207" t="inlineStr">
        <is>
          <t>VÄRMLANDS LÄN</t>
        </is>
      </c>
      <c r="E12207" t="inlineStr">
        <is>
          <t>HAGFORS</t>
        </is>
      </c>
      <c r="F12207" t="inlineStr">
        <is>
          <t>Bergvik skog väst AB</t>
        </is>
      </c>
      <c r="G12207" t="n">
        <v>34.7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53613-2023</t>
        </is>
      </c>
      <c r="B12208" s="1" t="n">
        <v>45230</v>
      </c>
      <c r="C12208" s="1" t="n">
        <v>45736</v>
      </c>
      <c r="D12208" t="inlineStr">
        <is>
          <t>VÄRMLANDS LÄN</t>
        </is>
      </c>
      <c r="E12208" t="inlineStr">
        <is>
          <t>ÅRJÄNG</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53611-2023</t>
        </is>
      </c>
      <c r="B12209" s="1" t="n">
        <v>45230</v>
      </c>
      <c r="C12209" s="1" t="n">
        <v>45736</v>
      </c>
      <c r="D12209" t="inlineStr">
        <is>
          <t>VÄRMLANDS LÄN</t>
        </is>
      </c>
      <c r="E12209" t="inlineStr">
        <is>
          <t>ÅRJÄNG</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53601-2023</t>
        </is>
      </c>
      <c r="B12210" s="1" t="n">
        <v>45230</v>
      </c>
      <c r="C12210" s="1" t="n">
        <v>45736</v>
      </c>
      <c r="D12210" t="inlineStr">
        <is>
          <t>VÄRMLANDS LÄN</t>
        </is>
      </c>
      <c r="E12210" t="inlineStr">
        <is>
          <t>SUNNE</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53567-2023</t>
        </is>
      </c>
      <c r="B12211" s="1" t="n">
        <v>45230</v>
      </c>
      <c r="C12211" s="1" t="n">
        <v>45736</v>
      </c>
      <c r="D12211" t="inlineStr">
        <is>
          <t>VÄRMLANDS LÄN</t>
        </is>
      </c>
      <c r="E12211" t="inlineStr">
        <is>
          <t>ÅRJÄNG</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53560-2023</t>
        </is>
      </c>
      <c r="B12212" s="1" t="n">
        <v>45230</v>
      </c>
      <c r="C12212" s="1" t="n">
        <v>45736</v>
      </c>
      <c r="D12212" t="inlineStr">
        <is>
          <t>VÄRMLANDS LÄN</t>
        </is>
      </c>
      <c r="E12212" t="inlineStr">
        <is>
          <t>ARVIKA</t>
        </is>
      </c>
      <c r="F12212" t="inlineStr">
        <is>
          <t>Bergvik skog väst AB</t>
        </is>
      </c>
      <c r="G12212" t="n">
        <v>8.699999999999999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53554-2023</t>
        </is>
      </c>
      <c r="B12213" s="1" t="n">
        <v>45230</v>
      </c>
      <c r="C12213" s="1" t="n">
        <v>45736</v>
      </c>
      <c r="D12213" t="inlineStr">
        <is>
          <t>VÄRMLANDS LÄN</t>
        </is>
      </c>
      <c r="E12213" t="inlineStr">
        <is>
          <t>ÅRJÄNG</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53516-2023</t>
        </is>
      </c>
      <c r="B12214" s="1" t="n">
        <v>45230</v>
      </c>
      <c r="C12214" s="1" t="n">
        <v>45736</v>
      </c>
      <c r="D12214" t="inlineStr">
        <is>
          <t>VÄRMLANDS LÄN</t>
        </is>
      </c>
      <c r="E12214" t="inlineStr">
        <is>
          <t>ÅRJÄNG</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53638-2023</t>
        </is>
      </c>
      <c r="B12215" s="1" t="n">
        <v>45230</v>
      </c>
      <c r="C12215" s="1" t="n">
        <v>45736</v>
      </c>
      <c r="D12215" t="inlineStr">
        <is>
          <t>VÄRMLANDS LÄN</t>
        </is>
      </c>
      <c r="E12215" t="inlineStr">
        <is>
          <t>ARVIKA</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53619-2023</t>
        </is>
      </c>
      <c r="B12216" s="1" t="n">
        <v>45230</v>
      </c>
      <c r="C12216" s="1" t="n">
        <v>45736</v>
      </c>
      <c r="D12216" t="inlineStr">
        <is>
          <t>VÄRMLANDS LÄN</t>
        </is>
      </c>
      <c r="E12216" t="inlineStr">
        <is>
          <t>FILIPSTAD</t>
        </is>
      </c>
      <c r="F12216" t="inlineStr">
        <is>
          <t>Bergvik skog väst AB</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53562-2023</t>
        </is>
      </c>
      <c r="B12217" s="1" t="n">
        <v>45230</v>
      </c>
      <c r="C12217" s="1" t="n">
        <v>45736</v>
      </c>
      <c r="D12217" t="inlineStr">
        <is>
          <t>VÄRMLANDS LÄN</t>
        </is>
      </c>
      <c r="E12217" t="inlineStr">
        <is>
          <t>FILIPSTAD</t>
        </is>
      </c>
      <c r="F12217" t="inlineStr">
        <is>
          <t>Bergvik skog väst AB</t>
        </is>
      </c>
      <c r="G12217" t="n">
        <v>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53539-2023</t>
        </is>
      </c>
      <c r="B12218" s="1" t="n">
        <v>45230</v>
      </c>
      <c r="C12218" s="1" t="n">
        <v>45736</v>
      </c>
      <c r="D12218" t="inlineStr">
        <is>
          <t>VÄRMLANDS LÄN</t>
        </is>
      </c>
      <c r="E12218" t="inlineStr">
        <is>
          <t>ARVIKA</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53498-2023</t>
        </is>
      </c>
      <c r="B12219" s="1" t="n">
        <v>45230</v>
      </c>
      <c r="C12219" s="1" t="n">
        <v>45736</v>
      </c>
      <c r="D12219" t="inlineStr">
        <is>
          <t>VÄRMLANDS LÄN</t>
        </is>
      </c>
      <c r="E12219" t="inlineStr">
        <is>
          <t>KIL</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53495-2023</t>
        </is>
      </c>
      <c r="B12220" s="1" t="n">
        <v>45230</v>
      </c>
      <c r="C12220" s="1" t="n">
        <v>45736</v>
      </c>
      <c r="D12220" t="inlineStr">
        <is>
          <t>VÄRMLANDS LÄN</t>
        </is>
      </c>
      <c r="E12220" t="inlineStr">
        <is>
          <t>TORSBY</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53786-2023</t>
        </is>
      </c>
      <c r="B12221" s="1" t="n">
        <v>45231</v>
      </c>
      <c r="C12221" s="1" t="n">
        <v>45736</v>
      </c>
      <c r="D12221" t="inlineStr">
        <is>
          <t>VÄRMLANDS LÄN</t>
        </is>
      </c>
      <c r="E12221" t="inlineStr">
        <is>
          <t>ARVIKA</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53794-2023</t>
        </is>
      </c>
      <c r="B12222" s="1" t="n">
        <v>45231</v>
      </c>
      <c r="C12222" s="1" t="n">
        <v>45736</v>
      </c>
      <c r="D12222" t="inlineStr">
        <is>
          <t>VÄRMLANDS LÄN</t>
        </is>
      </c>
      <c r="E12222" t="inlineStr">
        <is>
          <t>TORSBY</t>
        </is>
      </c>
      <c r="G12222" t="n">
        <v>17.3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53872-2023</t>
        </is>
      </c>
      <c r="B12223" s="1" t="n">
        <v>45231</v>
      </c>
      <c r="C12223" s="1" t="n">
        <v>45736</v>
      </c>
      <c r="D12223" t="inlineStr">
        <is>
          <t>VÄRMLANDS LÄN</t>
        </is>
      </c>
      <c r="E12223" t="inlineStr">
        <is>
          <t>FILIPSTAD</t>
        </is>
      </c>
      <c r="F12223" t="inlineStr">
        <is>
          <t>Bergvik skog väst AB</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53915-2023</t>
        </is>
      </c>
      <c r="B12224" s="1" t="n">
        <v>45231</v>
      </c>
      <c r="C12224" s="1" t="n">
        <v>45736</v>
      </c>
      <c r="D12224" t="inlineStr">
        <is>
          <t>VÄRMLANDS LÄN</t>
        </is>
      </c>
      <c r="E12224" t="inlineStr">
        <is>
          <t>SÄFFLE</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53904-2023</t>
        </is>
      </c>
      <c r="B12225" s="1" t="n">
        <v>45231</v>
      </c>
      <c r="C12225" s="1" t="n">
        <v>45736</v>
      </c>
      <c r="D12225" t="inlineStr">
        <is>
          <t>VÄRMLANDS LÄN</t>
        </is>
      </c>
      <c r="E12225" t="inlineStr">
        <is>
          <t>HAGFORS</t>
        </is>
      </c>
      <c r="F12225" t="inlineStr">
        <is>
          <t>Bergvik skog väst AB</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53975-2023</t>
        </is>
      </c>
      <c r="B12226" s="1" t="n">
        <v>45231</v>
      </c>
      <c r="C12226" s="1" t="n">
        <v>45736</v>
      </c>
      <c r="D12226" t="inlineStr">
        <is>
          <t>VÄRMLANDS LÄN</t>
        </is>
      </c>
      <c r="E12226" t="inlineStr">
        <is>
          <t>KIL</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54011-2023</t>
        </is>
      </c>
      <c r="B12227" s="1" t="n">
        <v>45231</v>
      </c>
      <c r="C12227" s="1" t="n">
        <v>45736</v>
      </c>
      <c r="D12227" t="inlineStr">
        <is>
          <t>VÄRMLANDS LÄN</t>
        </is>
      </c>
      <c r="E12227" t="inlineStr">
        <is>
          <t>ÅRJÄNG</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54019-2023</t>
        </is>
      </c>
      <c r="B12228" s="1" t="n">
        <v>45231</v>
      </c>
      <c r="C12228" s="1" t="n">
        <v>45736</v>
      </c>
      <c r="D12228" t="inlineStr">
        <is>
          <t>VÄRMLANDS LÄN</t>
        </is>
      </c>
      <c r="E12228" t="inlineStr">
        <is>
          <t>EDA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53921-2023</t>
        </is>
      </c>
      <c r="B12229" s="1" t="n">
        <v>45231</v>
      </c>
      <c r="C12229" s="1" t="n">
        <v>45736</v>
      </c>
      <c r="D12229" t="inlineStr">
        <is>
          <t>VÄRMLANDS LÄN</t>
        </is>
      </c>
      <c r="E12229" t="inlineStr">
        <is>
          <t>TORSBY</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53925-2023</t>
        </is>
      </c>
      <c r="B12230" s="1" t="n">
        <v>45231</v>
      </c>
      <c r="C12230" s="1" t="n">
        <v>45736</v>
      </c>
      <c r="D12230" t="inlineStr">
        <is>
          <t>VÄRMLANDS LÄN</t>
        </is>
      </c>
      <c r="E12230" t="inlineStr">
        <is>
          <t>EDA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53945-2023</t>
        </is>
      </c>
      <c r="B12231" s="1" t="n">
        <v>45231</v>
      </c>
      <c r="C12231" s="1" t="n">
        <v>45736</v>
      </c>
      <c r="D12231" t="inlineStr">
        <is>
          <t>VÄRMLANDS LÄN</t>
        </is>
      </c>
      <c r="E12231" t="inlineStr">
        <is>
          <t>TORSBY</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55217-2023</t>
        </is>
      </c>
      <c r="B12232" s="1" t="n">
        <v>45231</v>
      </c>
      <c r="C12232" s="1" t="n">
        <v>45736</v>
      </c>
      <c r="D12232" t="inlineStr">
        <is>
          <t>VÄRMLANDS LÄN</t>
        </is>
      </c>
      <c r="E12232" t="inlineStr">
        <is>
          <t>ÅRJÄNG</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54013-2023</t>
        </is>
      </c>
      <c r="B12233" s="1" t="n">
        <v>45231</v>
      </c>
      <c r="C12233" s="1" t="n">
        <v>45736</v>
      </c>
      <c r="D12233" t="inlineStr">
        <is>
          <t>VÄRMLANDS LÄN</t>
        </is>
      </c>
      <c r="E12233" t="inlineStr">
        <is>
          <t>ÅRJÄNG</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53853-2023</t>
        </is>
      </c>
      <c r="B12234" s="1" t="n">
        <v>45231</v>
      </c>
      <c r="C12234" s="1" t="n">
        <v>45736</v>
      </c>
      <c r="D12234" t="inlineStr">
        <is>
          <t>VÄRMLANDS LÄN</t>
        </is>
      </c>
      <c r="E12234" t="inlineStr">
        <is>
          <t>FILIPSTAD</t>
        </is>
      </c>
      <c r="F12234" t="inlineStr">
        <is>
          <t>Bergvik skog väst AB</t>
        </is>
      </c>
      <c r="G12234" t="n">
        <v>12.7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53914-2023</t>
        </is>
      </c>
      <c r="B12235" s="1" t="n">
        <v>45231</v>
      </c>
      <c r="C12235" s="1" t="n">
        <v>45736</v>
      </c>
      <c r="D12235" t="inlineStr">
        <is>
          <t>VÄRMLANDS LÄN</t>
        </is>
      </c>
      <c r="E12235" t="inlineStr">
        <is>
          <t>SUNNE</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53922-2023</t>
        </is>
      </c>
      <c r="B12236" s="1" t="n">
        <v>45231</v>
      </c>
      <c r="C12236" s="1" t="n">
        <v>45736</v>
      </c>
      <c r="D12236" t="inlineStr">
        <is>
          <t>VÄRMLANDS LÄN</t>
        </is>
      </c>
      <c r="E12236" t="inlineStr">
        <is>
          <t>TORSBY</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55227-2023</t>
        </is>
      </c>
      <c r="B12237" s="1" t="n">
        <v>45231</v>
      </c>
      <c r="C12237" s="1" t="n">
        <v>45736</v>
      </c>
      <c r="D12237" t="inlineStr">
        <is>
          <t>VÄRMLANDS LÄN</t>
        </is>
      </c>
      <c r="E12237" t="inlineStr">
        <is>
          <t>GRUMS</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54103-2023</t>
        </is>
      </c>
      <c r="B12238" s="1" t="n">
        <v>45232</v>
      </c>
      <c r="C12238" s="1" t="n">
        <v>45736</v>
      </c>
      <c r="D12238" t="inlineStr">
        <is>
          <t>VÄRMLANDS LÄN</t>
        </is>
      </c>
      <c r="E12238" t="inlineStr">
        <is>
          <t>KARLSTAD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54107-2023</t>
        </is>
      </c>
      <c r="B12239" s="1" t="n">
        <v>45232</v>
      </c>
      <c r="C12239" s="1" t="n">
        <v>45736</v>
      </c>
      <c r="D12239" t="inlineStr">
        <is>
          <t>VÄRMLANDS LÄN</t>
        </is>
      </c>
      <c r="E12239" t="inlineStr">
        <is>
          <t>ARVIKA</t>
        </is>
      </c>
      <c r="F12239" t="inlineStr">
        <is>
          <t>Bergvik skog väst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54115-2023</t>
        </is>
      </c>
      <c r="B12240" s="1" t="n">
        <v>45232</v>
      </c>
      <c r="C12240" s="1" t="n">
        <v>45736</v>
      </c>
      <c r="D12240" t="inlineStr">
        <is>
          <t>VÄRMLANDS LÄN</t>
        </is>
      </c>
      <c r="E12240" t="inlineStr">
        <is>
          <t>HAGFORS</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54123-2023</t>
        </is>
      </c>
      <c r="B12241" s="1" t="n">
        <v>45232</v>
      </c>
      <c r="C12241" s="1" t="n">
        <v>45736</v>
      </c>
      <c r="D12241" t="inlineStr">
        <is>
          <t>VÄRMLANDS LÄN</t>
        </is>
      </c>
      <c r="E12241" t="inlineStr">
        <is>
          <t>KARLSTAD</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54127-2023</t>
        </is>
      </c>
      <c r="B12242" s="1" t="n">
        <v>45232</v>
      </c>
      <c r="C12242" s="1" t="n">
        <v>45736</v>
      </c>
      <c r="D12242" t="inlineStr">
        <is>
          <t>VÄRMLANDS LÄN</t>
        </is>
      </c>
      <c r="E12242" t="inlineStr">
        <is>
          <t>FILIPSTAD</t>
        </is>
      </c>
      <c r="G12242" t="n">
        <v>15.5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54145-2023</t>
        </is>
      </c>
      <c r="B12243" s="1" t="n">
        <v>45232</v>
      </c>
      <c r="C12243" s="1" t="n">
        <v>45736</v>
      </c>
      <c r="D12243" t="inlineStr">
        <is>
          <t>VÄRMLANDS LÄN</t>
        </is>
      </c>
      <c r="E12243" t="inlineStr">
        <is>
          <t>STORFORS</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54174-2023</t>
        </is>
      </c>
      <c r="B12244" s="1" t="n">
        <v>45232</v>
      </c>
      <c r="C12244" s="1" t="n">
        <v>45736</v>
      </c>
      <c r="D12244" t="inlineStr">
        <is>
          <t>VÄRMLANDS LÄN</t>
        </is>
      </c>
      <c r="E12244" t="inlineStr">
        <is>
          <t>STORFORS</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54189-2023</t>
        </is>
      </c>
      <c r="B12245" s="1" t="n">
        <v>45232</v>
      </c>
      <c r="C12245" s="1" t="n">
        <v>45736</v>
      </c>
      <c r="D12245" t="inlineStr">
        <is>
          <t>VÄRMLANDS LÄN</t>
        </is>
      </c>
      <c r="E12245" t="inlineStr">
        <is>
          <t>ARVIKA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54162-2023</t>
        </is>
      </c>
      <c r="B12246" s="1" t="n">
        <v>45232</v>
      </c>
      <c r="C12246" s="1" t="n">
        <v>45736</v>
      </c>
      <c r="D12246" t="inlineStr">
        <is>
          <t>VÄRMLANDS LÄN</t>
        </is>
      </c>
      <c r="E12246" t="inlineStr">
        <is>
          <t>TORSBY</t>
        </is>
      </c>
      <c r="F12246" t="inlineStr">
        <is>
          <t>Bergvik skog väst AB</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54211-2023</t>
        </is>
      </c>
      <c r="B12247" s="1" t="n">
        <v>45232</v>
      </c>
      <c r="C12247" s="1" t="n">
        <v>45736</v>
      </c>
      <c r="D12247" t="inlineStr">
        <is>
          <t>VÄRMLANDS LÄN</t>
        </is>
      </c>
      <c r="E12247" t="inlineStr">
        <is>
          <t>EDA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54217-2023</t>
        </is>
      </c>
      <c r="B12248" s="1" t="n">
        <v>45232</v>
      </c>
      <c r="C12248" s="1" t="n">
        <v>45736</v>
      </c>
      <c r="D12248" t="inlineStr">
        <is>
          <t>VÄRMLANDS LÄN</t>
        </is>
      </c>
      <c r="E12248" t="inlineStr">
        <is>
          <t>EDA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54221-2023</t>
        </is>
      </c>
      <c r="B12249" s="1" t="n">
        <v>45232</v>
      </c>
      <c r="C12249" s="1" t="n">
        <v>45736</v>
      </c>
      <c r="D12249" t="inlineStr">
        <is>
          <t>VÄRMLANDS LÄN</t>
        </is>
      </c>
      <c r="E12249" t="inlineStr">
        <is>
          <t>EDA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54112-2023</t>
        </is>
      </c>
      <c r="B12250" s="1" t="n">
        <v>45232</v>
      </c>
      <c r="C12250" s="1" t="n">
        <v>45736</v>
      </c>
      <c r="D12250" t="inlineStr">
        <is>
          <t>VÄRMLANDS LÄN</t>
        </is>
      </c>
      <c r="E12250" t="inlineStr">
        <is>
          <t>HAGFORS</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54262-2023</t>
        </is>
      </c>
      <c r="B12251" s="1" t="n">
        <v>45232</v>
      </c>
      <c r="C12251" s="1" t="n">
        <v>45736</v>
      </c>
      <c r="D12251" t="inlineStr">
        <is>
          <t>VÄRMLANDS LÄN</t>
        </is>
      </c>
      <c r="E12251" t="inlineStr">
        <is>
          <t>TORSBY</t>
        </is>
      </c>
      <c r="F12251" t="inlineStr">
        <is>
          <t>Bergvik skog väst AB</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54165-2023</t>
        </is>
      </c>
      <c r="B12252" s="1" t="n">
        <v>45232</v>
      </c>
      <c r="C12252" s="1" t="n">
        <v>45736</v>
      </c>
      <c r="D12252" t="inlineStr">
        <is>
          <t>VÄRMLANDS LÄN</t>
        </is>
      </c>
      <c r="E12252" t="inlineStr">
        <is>
          <t>ARVIKA</t>
        </is>
      </c>
      <c r="F12252" t="inlineStr">
        <is>
          <t>Bergvik skog väst AB</t>
        </is>
      </c>
      <c r="G12252" t="n">
        <v>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54181-2023</t>
        </is>
      </c>
      <c r="B12253" s="1" t="n">
        <v>45232</v>
      </c>
      <c r="C12253" s="1" t="n">
        <v>45736</v>
      </c>
      <c r="D12253" t="inlineStr">
        <is>
          <t>VÄRMLANDS LÄN</t>
        </is>
      </c>
      <c r="E12253" t="inlineStr">
        <is>
          <t>KIL</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54190-2023</t>
        </is>
      </c>
      <c r="B12254" s="1" t="n">
        <v>45232</v>
      </c>
      <c r="C12254" s="1" t="n">
        <v>45736</v>
      </c>
      <c r="D12254" t="inlineStr">
        <is>
          <t>VÄRMLANDS LÄN</t>
        </is>
      </c>
      <c r="E12254" t="inlineStr">
        <is>
          <t>STORFORS</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54223-2023</t>
        </is>
      </c>
      <c r="B12255" s="1" t="n">
        <v>45232</v>
      </c>
      <c r="C12255" s="1" t="n">
        <v>45736</v>
      </c>
      <c r="D12255" t="inlineStr">
        <is>
          <t>VÄRMLANDS LÄN</t>
        </is>
      </c>
      <c r="E12255" t="inlineStr">
        <is>
          <t>TORSBY</t>
        </is>
      </c>
      <c r="F12255" t="inlineStr">
        <is>
          <t>Bergvik skog väst AB</t>
        </is>
      </c>
      <c r="G12255" t="n">
        <v>8.6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54263-2023</t>
        </is>
      </c>
      <c r="B12256" s="1" t="n">
        <v>45232</v>
      </c>
      <c r="C12256" s="1" t="n">
        <v>45736</v>
      </c>
      <c r="D12256" t="inlineStr">
        <is>
          <t>VÄRMLANDS LÄN</t>
        </is>
      </c>
      <c r="E12256" t="inlineStr">
        <is>
          <t>ÅRJÄNG</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54163-2023</t>
        </is>
      </c>
      <c r="B12257" s="1" t="n">
        <v>45232</v>
      </c>
      <c r="C12257" s="1" t="n">
        <v>45736</v>
      </c>
      <c r="D12257" t="inlineStr">
        <is>
          <t>VÄRMLANDS LÄN</t>
        </is>
      </c>
      <c r="E12257" t="inlineStr">
        <is>
          <t>STORFORS</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54177-2023</t>
        </is>
      </c>
      <c r="B12258" s="1" t="n">
        <v>45232</v>
      </c>
      <c r="C12258" s="1" t="n">
        <v>45736</v>
      </c>
      <c r="D12258" t="inlineStr">
        <is>
          <t>VÄRMLANDS LÄN</t>
        </is>
      </c>
      <c r="E12258" t="inlineStr">
        <is>
          <t>KIL</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54184-2023</t>
        </is>
      </c>
      <c r="B12259" s="1" t="n">
        <v>45232</v>
      </c>
      <c r="C12259" s="1" t="n">
        <v>45736</v>
      </c>
      <c r="D12259" t="inlineStr">
        <is>
          <t>VÄRMLANDS LÄN</t>
        </is>
      </c>
      <c r="E12259" t="inlineStr">
        <is>
          <t>STORFORS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55517-2023</t>
        </is>
      </c>
      <c r="B12260" s="1" t="n">
        <v>45232</v>
      </c>
      <c r="C12260" s="1" t="n">
        <v>45736</v>
      </c>
      <c r="D12260" t="inlineStr">
        <is>
          <t>VÄRMLANDS LÄN</t>
        </is>
      </c>
      <c r="E12260" t="inlineStr">
        <is>
          <t>ÅRJÄNG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54294-2023</t>
        </is>
      </c>
      <c r="B12261" s="1" t="n">
        <v>45232</v>
      </c>
      <c r="C12261" s="1" t="n">
        <v>45736</v>
      </c>
      <c r="D12261" t="inlineStr">
        <is>
          <t>VÄRMLANDS LÄN</t>
        </is>
      </c>
      <c r="E12261" t="inlineStr">
        <is>
          <t>SUNNE</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54187-2023</t>
        </is>
      </c>
      <c r="B12262" s="1" t="n">
        <v>45232</v>
      </c>
      <c r="C12262" s="1" t="n">
        <v>45736</v>
      </c>
      <c r="D12262" t="inlineStr">
        <is>
          <t>VÄRMLANDS LÄN</t>
        </is>
      </c>
      <c r="E12262" t="inlineStr">
        <is>
          <t>STORFORS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54191-2023</t>
        </is>
      </c>
      <c r="B12263" s="1" t="n">
        <v>45232</v>
      </c>
      <c r="C12263" s="1" t="n">
        <v>45736</v>
      </c>
      <c r="D12263" t="inlineStr">
        <is>
          <t>VÄRMLANDS LÄN</t>
        </is>
      </c>
      <c r="E12263" t="inlineStr">
        <is>
          <t>TORSBY</t>
        </is>
      </c>
      <c r="F12263" t="inlineStr">
        <is>
          <t>Bergvik skog väst AB</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54204-2023</t>
        </is>
      </c>
      <c r="B12264" s="1" t="n">
        <v>45232</v>
      </c>
      <c r="C12264" s="1" t="n">
        <v>45736</v>
      </c>
      <c r="D12264" t="inlineStr">
        <is>
          <t>VÄRMLANDS LÄN</t>
        </is>
      </c>
      <c r="E12264" t="inlineStr">
        <is>
          <t>TORSBY</t>
        </is>
      </c>
      <c r="F12264" t="inlineStr">
        <is>
          <t>Bergvik skog väst AB</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54252-2023</t>
        </is>
      </c>
      <c r="B12265" s="1" t="n">
        <v>45232</v>
      </c>
      <c r="C12265" s="1" t="n">
        <v>45736</v>
      </c>
      <c r="D12265" t="inlineStr">
        <is>
          <t>VÄRMLANDS LÄN</t>
        </is>
      </c>
      <c r="E12265" t="inlineStr">
        <is>
          <t>EDA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55574-2023</t>
        </is>
      </c>
      <c r="B12266" s="1" t="n">
        <v>45232</v>
      </c>
      <c r="C12266" s="1" t="n">
        <v>45736</v>
      </c>
      <c r="D12266" t="inlineStr">
        <is>
          <t>VÄRMLANDS LÄN</t>
        </is>
      </c>
      <c r="E12266" t="inlineStr">
        <is>
          <t>ÅRJÄNG</t>
        </is>
      </c>
      <c r="G12266" t="n">
        <v>9.1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56060-2023</t>
        </is>
      </c>
      <c r="B12267" s="1" t="n">
        <v>45233</v>
      </c>
      <c r="C12267" s="1" t="n">
        <v>45736</v>
      </c>
      <c r="D12267" t="inlineStr">
        <is>
          <t>VÄRMLANDS LÄN</t>
        </is>
      </c>
      <c r="E12267" t="inlineStr">
        <is>
          <t>ÅRJÄNG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56029-2023</t>
        </is>
      </c>
      <c r="B12268" s="1" t="n">
        <v>45233</v>
      </c>
      <c r="C12268" s="1" t="n">
        <v>45736</v>
      </c>
      <c r="D12268" t="inlineStr">
        <is>
          <t>VÄRMLANDS LÄN</t>
        </is>
      </c>
      <c r="E12268" t="inlineStr">
        <is>
          <t>SUNNE</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55847-2023</t>
        </is>
      </c>
      <c r="B12269" s="1" t="n">
        <v>45233</v>
      </c>
      <c r="C12269" s="1" t="n">
        <v>45736</v>
      </c>
      <c r="D12269" t="inlineStr">
        <is>
          <t>VÄRMLANDS LÄN</t>
        </is>
      </c>
      <c r="E12269" t="inlineStr">
        <is>
          <t>SÄFFLE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54619-2023</t>
        </is>
      </c>
      <c r="B12270" s="1" t="n">
        <v>45234</v>
      </c>
      <c r="C12270" s="1" t="n">
        <v>45736</v>
      </c>
      <c r="D12270" t="inlineStr">
        <is>
          <t>VÄRMLANDS LÄN</t>
        </is>
      </c>
      <c r="E12270" t="inlineStr">
        <is>
          <t>EDA</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54556-2023</t>
        </is>
      </c>
      <c r="B12271" s="1" t="n">
        <v>45233</v>
      </c>
      <c r="C12271" s="1" t="n">
        <v>45736</v>
      </c>
      <c r="D12271" t="inlineStr">
        <is>
          <t>VÄRMLANDS LÄN</t>
        </is>
      </c>
      <c r="E12271" t="inlineStr">
        <is>
          <t>TORSBY</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54551-2023</t>
        </is>
      </c>
      <c r="B12272" s="1" t="n">
        <v>45233</v>
      </c>
      <c r="C12272" s="1" t="n">
        <v>45736</v>
      </c>
      <c r="D12272" t="inlineStr">
        <is>
          <t>VÄRMLANDS LÄN</t>
        </is>
      </c>
      <c r="E12272" t="inlineStr">
        <is>
          <t>TORSBY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54442-2023</t>
        </is>
      </c>
      <c r="B12273" s="1" t="n">
        <v>45233</v>
      </c>
      <c r="C12273" s="1" t="n">
        <v>45736</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54386-2023</t>
        </is>
      </c>
      <c r="B12274" s="1" t="n">
        <v>45233</v>
      </c>
      <c r="C12274" s="1" t="n">
        <v>45736</v>
      </c>
      <c r="D12274" t="inlineStr">
        <is>
          <t>VÄRMLANDS LÄN</t>
        </is>
      </c>
      <c r="E12274" t="inlineStr">
        <is>
          <t>TORSBY</t>
        </is>
      </c>
      <c r="F12274" t="inlineStr">
        <is>
          <t>Bergvik skog väst AB</t>
        </is>
      </c>
      <c r="G12274" t="n">
        <v>12.6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54528-2023</t>
        </is>
      </c>
      <c r="B12275" s="1" t="n">
        <v>45233</v>
      </c>
      <c r="C12275" s="1" t="n">
        <v>45736</v>
      </c>
      <c r="D12275" t="inlineStr">
        <is>
          <t>VÄRMLANDS LÄN</t>
        </is>
      </c>
      <c r="E12275" t="inlineStr">
        <is>
          <t>TORSBY</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54562-2023</t>
        </is>
      </c>
      <c r="B12276" s="1" t="n">
        <v>45233</v>
      </c>
      <c r="C12276" s="1" t="n">
        <v>45736</v>
      </c>
      <c r="D12276" t="inlineStr">
        <is>
          <t>VÄRMLANDS LÄN</t>
        </is>
      </c>
      <c r="E12276" t="inlineStr">
        <is>
          <t>TORSBY</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54532-2023</t>
        </is>
      </c>
      <c r="B12277" s="1" t="n">
        <v>45233</v>
      </c>
      <c r="C12277" s="1" t="n">
        <v>45736</v>
      </c>
      <c r="D12277" t="inlineStr">
        <is>
          <t>VÄRMLANDS LÄN</t>
        </is>
      </c>
      <c r="E12277" t="inlineStr">
        <is>
          <t>TORSBY</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54525-2023</t>
        </is>
      </c>
      <c r="B12278" s="1" t="n">
        <v>45233</v>
      </c>
      <c r="C12278" s="1" t="n">
        <v>45736</v>
      </c>
      <c r="D12278" t="inlineStr">
        <is>
          <t>VÄRMLANDS LÄN</t>
        </is>
      </c>
      <c r="E12278" t="inlineStr">
        <is>
          <t>TORSBY</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54487-2023</t>
        </is>
      </c>
      <c r="B12279" s="1" t="n">
        <v>45233</v>
      </c>
      <c r="C12279" s="1" t="n">
        <v>45736</v>
      </c>
      <c r="D12279" t="inlineStr">
        <is>
          <t>VÄRMLANDS LÄN</t>
        </is>
      </c>
      <c r="E12279" t="inlineStr">
        <is>
          <t>TORSBY</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54441-2023</t>
        </is>
      </c>
      <c r="B12280" s="1" t="n">
        <v>45233</v>
      </c>
      <c r="C12280" s="1" t="n">
        <v>45736</v>
      </c>
      <c r="D12280" t="inlineStr">
        <is>
          <t>VÄRMLANDS LÄN</t>
        </is>
      </c>
      <c r="E12280" t="inlineStr">
        <is>
          <t>EDA</t>
        </is>
      </c>
      <c r="F12280" t="inlineStr">
        <is>
          <t>Bergvik skog väst AB</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54409-2023</t>
        </is>
      </c>
      <c r="B12281" s="1" t="n">
        <v>45233</v>
      </c>
      <c r="C12281" s="1" t="n">
        <v>45736</v>
      </c>
      <c r="D12281" t="inlineStr">
        <is>
          <t>VÄRMLANDS LÄN</t>
        </is>
      </c>
      <c r="E12281" t="inlineStr">
        <is>
          <t>TORSBY</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54628-2023</t>
        </is>
      </c>
      <c r="B12282" s="1" t="n">
        <v>45234</v>
      </c>
      <c r="C12282" s="1" t="n">
        <v>45736</v>
      </c>
      <c r="D12282" t="inlineStr">
        <is>
          <t>VÄRMLANDS LÄN</t>
        </is>
      </c>
      <c r="E12282" t="inlineStr">
        <is>
          <t>MUNKFORS</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54714-2023</t>
        </is>
      </c>
      <c r="B12283" s="1" t="n">
        <v>45236</v>
      </c>
      <c r="C12283" s="1" t="n">
        <v>45736</v>
      </c>
      <c r="D12283" t="inlineStr">
        <is>
          <t>VÄRMLANDS LÄN</t>
        </is>
      </c>
      <c r="E12283" t="inlineStr">
        <is>
          <t>TORSBY</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54738-2023</t>
        </is>
      </c>
      <c r="B12284" s="1" t="n">
        <v>45236</v>
      </c>
      <c r="C12284" s="1" t="n">
        <v>45736</v>
      </c>
      <c r="D12284" t="inlineStr">
        <is>
          <t>VÄRMLANDS LÄN</t>
        </is>
      </c>
      <c r="E12284" t="inlineStr">
        <is>
          <t>STORFORS</t>
        </is>
      </c>
      <c r="F12284" t="inlineStr">
        <is>
          <t>Naturvårdsverket</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54766-2023</t>
        </is>
      </c>
      <c r="B12285" s="1" t="n">
        <v>45236</v>
      </c>
      <c r="C12285" s="1" t="n">
        <v>45736</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54777-2023</t>
        </is>
      </c>
      <c r="B12286" s="1" t="n">
        <v>45236</v>
      </c>
      <c r="C12286" s="1" t="n">
        <v>45736</v>
      </c>
      <c r="D12286" t="inlineStr">
        <is>
          <t>VÄRMLANDS LÄN</t>
        </is>
      </c>
      <c r="E12286" t="inlineStr">
        <is>
          <t>TORSBY</t>
        </is>
      </c>
      <c r="F12286" t="inlineStr">
        <is>
          <t>Bergvik skog väst AB</t>
        </is>
      </c>
      <c r="G12286" t="n">
        <v>7.9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54876-2023</t>
        </is>
      </c>
      <c r="B12287" s="1" t="n">
        <v>45236</v>
      </c>
      <c r="C12287" s="1" t="n">
        <v>45736</v>
      </c>
      <c r="D12287" t="inlineStr">
        <is>
          <t>VÄRMLANDS LÄN</t>
        </is>
      </c>
      <c r="E12287" t="inlineStr">
        <is>
          <t>TORSBY</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54920-2023</t>
        </is>
      </c>
      <c r="B12288" s="1" t="n">
        <v>45236</v>
      </c>
      <c r="C12288" s="1" t="n">
        <v>45736</v>
      </c>
      <c r="D12288" t="inlineStr">
        <is>
          <t>VÄRMLANDS LÄN</t>
        </is>
      </c>
      <c r="E12288" t="inlineStr">
        <is>
          <t>EDA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54708-2023</t>
        </is>
      </c>
      <c r="B12289" s="1" t="n">
        <v>45236</v>
      </c>
      <c r="C12289" s="1" t="n">
        <v>45736</v>
      </c>
      <c r="D12289" t="inlineStr">
        <is>
          <t>VÄRMLANDS LÄN</t>
        </is>
      </c>
      <c r="E12289" t="inlineStr">
        <is>
          <t>TORSBY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54735-2023</t>
        </is>
      </c>
      <c r="B12290" s="1" t="n">
        <v>45236</v>
      </c>
      <c r="C12290" s="1" t="n">
        <v>45736</v>
      </c>
      <c r="D12290" t="inlineStr">
        <is>
          <t>VÄRMLANDS LÄN</t>
        </is>
      </c>
      <c r="E12290" t="inlineStr">
        <is>
          <t>SUNNE</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54775-2023</t>
        </is>
      </c>
      <c r="B12291" s="1" t="n">
        <v>45236</v>
      </c>
      <c r="C12291" s="1" t="n">
        <v>45736</v>
      </c>
      <c r="D12291" t="inlineStr">
        <is>
          <t>VÄRMLANDS LÄN</t>
        </is>
      </c>
      <c r="E12291" t="inlineStr">
        <is>
          <t>KIL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54831-2023</t>
        </is>
      </c>
      <c r="B12292" s="1" t="n">
        <v>45236</v>
      </c>
      <c r="C12292" s="1" t="n">
        <v>45736</v>
      </c>
      <c r="D12292" t="inlineStr">
        <is>
          <t>VÄRMLANDS LÄN</t>
        </is>
      </c>
      <c r="E12292" t="inlineStr">
        <is>
          <t>EDA</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54908-2023</t>
        </is>
      </c>
      <c r="B12293" s="1" t="n">
        <v>45236</v>
      </c>
      <c r="C12293" s="1" t="n">
        <v>45736</v>
      </c>
      <c r="D12293" t="inlineStr">
        <is>
          <t>VÄRMLANDS LÄN</t>
        </is>
      </c>
      <c r="E12293" t="inlineStr">
        <is>
          <t>ARVIKA</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54945-2023</t>
        </is>
      </c>
      <c r="B12294" s="1" t="n">
        <v>45236</v>
      </c>
      <c r="C12294" s="1" t="n">
        <v>45736</v>
      </c>
      <c r="D12294" t="inlineStr">
        <is>
          <t>VÄRMLANDS LÄN</t>
        </is>
      </c>
      <c r="E12294" t="inlineStr">
        <is>
          <t>KRISTINEHAMN</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54895-2023</t>
        </is>
      </c>
      <c r="B12295" s="1" t="n">
        <v>45236</v>
      </c>
      <c r="C12295" s="1" t="n">
        <v>45736</v>
      </c>
      <c r="D12295" t="inlineStr">
        <is>
          <t>VÄRMLANDS LÄN</t>
        </is>
      </c>
      <c r="E12295" t="inlineStr">
        <is>
          <t>EDA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54927-2023</t>
        </is>
      </c>
      <c r="B12296" s="1" t="n">
        <v>45236</v>
      </c>
      <c r="C12296" s="1" t="n">
        <v>45736</v>
      </c>
      <c r="D12296" t="inlineStr">
        <is>
          <t>VÄRMLANDS LÄN</t>
        </is>
      </c>
      <c r="E12296" t="inlineStr">
        <is>
          <t>HAGFORS</t>
        </is>
      </c>
      <c r="F12296" t="inlineStr">
        <is>
          <t>Bergvik skog väst AB</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55041-2023</t>
        </is>
      </c>
      <c r="B12297" s="1" t="n">
        <v>45237</v>
      </c>
      <c r="C12297" s="1" t="n">
        <v>45736</v>
      </c>
      <c r="D12297" t="inlineStr">
        <is>
          <t>VÄRMLANDS LÄN</t>
        </is>
      </c>
      <c r="E12297" t="inlineStr">
        <is>
          <t>EDA</t>
        </is>
      </c>
      <c r="F12297" t="inlineStr">
        <is>
          <t>Bergvik skog väst AB</t>
        </is>
      </c>
      <c r="G12297" t="n">
        <v>9.5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55045-2023</t>
        </is>
      </c>
      <c r="B12298" s="1" t="n">
        <v>45237</v>
      </c>
      <c r="C12298" s="1" t="n">
        <v>45736</v>
      </c>
      <c r="D12298" t="inlineStr">
        <is>
          <t>VÄRMLANDS LÄN</t>
        </is>
      </c>
      <c r="E12298" t="inlineStr">
        <is>
          <t>HAGFORS</t>
        </is>
      </c>
      <c r="F12298" t="inlineStr">
        <is>
          <t>Bergvik skog väst AB</t>
        </is>
      </c>
      <c r="G12298" t="n">
        <v>20.5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55066-2023</t>
        </is>
      </c>
      <c r="B12299" s="1" t="n">
        <v>45237</v>
      </c>
      <c r="C12299" s="1" t="n">
        <v>45736</v>
      </c>
      <c r="D12299" t="inlineStr">
        <is>
          <t>VÄRMLANDS LÄN</t>
        </is>
      </c>
      <c r="E12299" t="inlineStr">
        <is>
          <t>HAMMARÖ</t>
        </is>
      </c>
      <c r="F12299" t="inlineStr">
        <is>
          <t>Kommuner</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55090-2023</t>
        </is>
      </c>
      <c r="B12300" s="1" t="n">
        <v>45237</v>
      </c>
      <c r="C12300" s="1" t="n">
        <v>45736</v>
      </c>
      <c r="D12300" t="inlineStr">
        <is>
          <t>VÄRMLANDS LÄN</t>
        </is>
      </c>
      <c r="E12300" t="inlineStr">
        <is>
          <t>ÅRJÄNG</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55031-2023</t>
        </is>
      </c>
      <c r="B12301" s="1" t="n">
        <v>45237</v>
      </c>
      <c r="C12301" s="1" t="n">
        <v>45736</v>
      </c>
      <c r="D12301" t="inlineStr">
        <is>
          <t>VÄRMLANDS LÄN</t>
        </is>
      </c>
      <c r="E12301" t="inlineStr">
        <is>
          <t>TORSBY</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55048-2023</t>
        </is>
      </c>
      <c r="B12302" s="1" t="n">
        <v>45237</v>
      </c>
      <c r="C12302" s="1" t="n">
        <v>45736</v>
      </c>
      <c r="D12302" t="inlineStr">
        <is>
          <t>VÄRMLANDS LÄN</t>
        </is>
      </c>
      <c r="E12302" t="inlineStr">
        <is>
          <t>HAGFORS</t>
        </is>
      </c>
      <c r="F12302" t="inlineStr">
        <is>
          <t>Bergvik skog väst AB</t>
        </is>
      </c>
      <c r="G12302" t="n">
        <v>16.5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55069-2023</t>
        </is>
      </c>
      <c r="B12303" s="1" t="n">
        <v>45237</v>
      </c>
      <c r="C12303" s="1" t="n">
        <v>45736</v>
      </c>
      <c r="D12303" t="inlineStr">
        <is>
          <t>VÄRMLANDS LÄN</t>
        </is>
      </c>
      <c r="E12303" t="inlineStr">
        <is>
          <t>HAMMARÖ</t>
        </is>
      </c>
      <c r="F12303" t="inlineStr">
        <is>
          <t>Kommuner</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55093-2023</t>
        </is>
      </c>
      <c r="B12304" s="1" t="n">
        <v>45237</v>
      </c>
      <c r="C12304" s="1" t="n">
        <v>45736</v>
      </c>
      <c r="D12304" t="inlineStr">
        <is>
          <t>VÄRMLANDS LÄN</t>
        </is>
      </c>
      <c r="E12304" t="inlineStr">
        <is>
          <t>FILIPSTAD</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55088-2023</t>
        </is>
      </c>
      <c r="B12305" s="1" t="n">
        <v>45237</v>
      </c>
      <c r="C12305" s="1" t="n">
        <v>45736</v>
      </c>
      <c r="D12305" t="inlineStr">
        <is>
          <t>VÄRMLANDS LÄN</t>
        </is>
      </c>
      <c r="E12305" t="inlineStr">
        <is>
          <t>FILIPSTAD</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55096-2023</t>
        </is>
      </c>
      <c r="B12306" s="1" t="n">
        <v>45237</v>
      </c>
      <c r="C12306" s="1" t="n">
        <v>45736</v>
      </c>
      <c r="D12306" t="inlineStr">
        <is>
          <t>VÄRMLANDS LÄN</t>
        </is>
      </c>
      <c r="E12306" t="inlineStr">
        <is>
          <t>FILIPSTAD</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55102-2023</t>
        </is>
      </c>
      <c r="B12307" s="1" t="n">
        <v>45237</v>
      </c>
      <c r="C12307" s="1" t="n">
        <v>45736</v>
      </c>
      <c r="D12307" t="inlineStr">
        <is>
          <t>VÄRMLANDS LÄN</t>
        </is>
      </c>
      <c r="E12307" t="inlineStr">
        <is>
          <t>FILIPSTAD</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55137-2023</t>
        </is>
      </c>
      <c r="B12308" s="1" t="n">
        <v>45237</v>
      </c>
      <c r="C12308" s="1" t="n">
        <v>45736</v>
      </c>
      <c r="D12308" t="inlineStr">
        <is>
          <t>VÄRMLANDS LÄN</t>
        </is>
      </c>
      <c r="E12308" t="inlineStr">
        <is>
          <t>FORSHAGA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55274-2023</t>
        </is>
      </c>
      <c r="B12309" s="1" t="n">
        <v>45237</v>
      </c>
      <c r="C12309" s="1" t="n">
        <v>45736</v>
      </c>
      <c r="D12309" t="inlineStr">
        <is>
          <t>VÄRMLANDS LÄN</t>
        </is>
      </c>
      <c r="E12309" t="inlineStr">
        <is>
          <t>SÄFFLE</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55042-2023</t>
        </is>
      </c>
      <c r="B12310" s="1" t="n">
        <v>45237</v>
      </c>
      <c r="C12310" s="1" t="n">
        <v>45736</v>
      </c>
      <c r="D12310" t="inlineStr">
        <is>
          <t>VÄRMLANDS LÄN</t>
        </is>
      </c>
      <c r="E12310" t="inlineStr">
        <is>
          <t>HAGFORS</t>
        </is>
      </c>
      <c r="F12310" t="inlineStr">
        <is>
          <t>Bergvik skog väst AB</t>
        </is>
      </c>
      <c r="G12310" t="n">
        <v>14.4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55061-2023</t>
        </is>
      </c>
      <c r="B12311" s="1" t="n">
        <v>45237</v>
      </c>
      <c r="C12311" s="1" t="n">
        <v>45736</v>
      </c>
      <c r="D12311" t="inlineStr">
        <is>
          <t>VÄRMLANDS LÄN</t>
        </is>
      </c>
      <c r="E12311" t="inlineStr">
        <is>
          <t>ARVIKA</t>
        </is>
      </c>
      <c r="F12311" t="inlineStr">
        <is>
          <t>Bergvik skog väst AB</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55087-2023</t>
        </is>
      </c>
      <c r="B12312" s="1" t="n">
        <v>45237</v>
      </c>
      <c r="C12312" s="1" t="n">
        <v>45736</v>
      </c>
      <c r="D12312" t="inlineStr">
        <is>
          <t>VÄRMLANDS LÄN</t>
        </is>
      </c>
      <c r="E12312" t="inlineStr">
        <is>
          <t>ÅRJÄNG</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55091-2023</t>
        </is>
      </c>
      <c r="B12313" s="1" t="n">
        <v>45237</v>
      </c>
      <c r="C12313" s="1" t="n">
        <v>45736</v>
      </c>
      <c r="D12313" t="inlineStr">
        <is>
          <t>VÄRMLANDS LÄN</t>
        </is>
      </c>
      <c r="E12313" t="inlineStr">
        <is>
          <t>ÅRJÄNG</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55100-2023</t>
        </is>
      </c>
      <c r="B12314" s="1" t="n">
        <v>45237</v>
      </c>
      <c r="C12314" s="1" t="n">
        <v>45736</v>
      </c>
      <c r="D12314" t="inlineStr">
        <is>
          <t>VÄRMLANDS LÄN</t>
        </is>
      </c>
      <c r="E12314" t="inlineStr">
        <is>
          <t>TORSBY</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55223-2023</t>
        </is>
      </c>
      <c r="B12315" s="1" t="n">
        <v>45237</v>
      </c>
      <c r="C12315" s="1" t="n">
        <v>45736</v>
      </c>
      <c r="D12315" t="inlineStr">
        <is>
          <t>VÄRMLANDS LÄN</t>
        </is>
      </c>
      <c r="E12315" t="inlineStr">
        <is>
          <t>SÄFFLE</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55249-2023</t>
        </is>
      </c>
      <c r="B12316" s="1" t="n">
        <v>45237</v>
      </c>
      <c r="C12316" s="1" t="n">
        <v>45736</v>
      </c>
      <c r="D12316" t="inlineStr">
        <is>
          <t>VÄRMLANDS LÄN</t>
        </is>
      </c>
      <c r="E12316" t="inlineStr">
        <is>
          <t>FORSHAGA</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56479-2023</t>
        </is>
      </c>
      <c r="B12317" s="1" t="n">
        <v>45237</v>
      </c>
      <c r="C12317" s="1" t="n">
        <v>45736</v>
      </c>
      <c r="D12317" t="inlineStr">
        <is>
          <t>VÄRMLANDS LÄN</t>
        </is>
      </c>
      <c r="E12317" t="inlineStr">
        <is>
          <t>SÄFFLE</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56414-2023</t>
        </is>
      </c>
      <c r="B12318" s="1" t="n">
        <v>45237</v>
      </c>
      <c r="C12318" s="1" t="n">
        <v>45736</v>
      </c>
      <c r="D12318" t="inlineStr">
        <is>
          <t>VÄRMLANDS LÄN</t>
        </is>
      </c>
      <c r="E12318" t="inlineStr">
        <is>
          <t>KARLSTAD</t>
        </is>
      </c>
      <c r="G12318" t="n">
        <v>7.7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56452-2023</t>
        </is>
      </c>
      <c r="B12319" s="1" t="n">
        <v>45237</v>
      </c>
      <c r="C12319" s="1" t="n">
        <v>45736</v>
      </c>
      <c r="D12319" t="inlineStr">
        <is>
          <t>VÄRMLANDS LÄN</t>
        </is>
      </c>
      <c r="E12319" t="inlineStr">
        <is>
          <t>SÄFFLE</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56498-2023</t>
        </is>
      </c>
      <c r="B12320" s="1" t="n">
        <v>45237</v>
      </c>
      <c r="C12320" s="1" t="n">
        <v>45736</v>
      </c>
      <c r="D12320" t="inlineStr">
        <is>
          <t>VÄRMLANDS LÄN</t>
        </is>
      </c>
      <c r="E12320" t="inlineStr">
        <is>
          <t>SÄFFLE</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56506-2023</t>
        </is>
      </c>
      <c r="B12321" s="1" t="n">
        <v>45237</v>
      </c>
      <c r="C12321" s="1" t="n">
        <v>45736</v>
      </c>
      <c r="D12321" t="inlineStr">
        <is>
          <t>VÄRMLANDS LÄN</t>
        </is>
      </c>
      <c r="E12321" t="inlineStr">
        <is>
          <t>SÄFFLE</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56475-2023</t>
        </is>
      </c>
      <c r="B12322" s="1" t="n">
        <v>45237</v>
      </c>
      <c r="C12322" s="1" t="n">
        <v>45736</v>
      </c>
      <c r="D12322" t="inlineStr">
        <is>
          <t>VÄRMLANDS LÄN</t>
        </is>
      </c>
      <c r="E12322" t="inlineStr">
        <is>
          <t>SÄFFLE</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56485-2023</t>
        </is>
      </c>
      <c r="B12323" s="1" t="n">
        <v>45237</v>
      </c>
      <c r="C12323" s="1" t="n">
        <v>45736</v>
      </c>
      <c r="D12323" t="inlineStr">
        <is>
          <t>VÄRMLANDS LÄN</t>
        </is>
      </c>
      <c r="E12323" t="inlineStr">
        <is>
          <t>SÄFFLE</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55396-2023</t>
        </is>
      </c>
      <c r="B12324" s="1" t="n">
        <v>45238</v>
      </c>
      <c r="C12324" s="1" t="n">
        <v>45736</v>
      </c>
      <c r="D12324" t="inlineStr">
        <is>
          <t>VÄRMLANDS LÄN</t>
        </is>
      </c>
      <c r="E12324" t="inlineStr">
        <is>
          <t>KIL</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55401-2023</t>
        </is>
      </c>
      <c r="B12325" s="1" t="n">
        <v>45238</v>
      </c>
      <c r="C12325" s="1" t="n">
        <v>45736</v>
      </c>
      <c r="D12325" t="inlineStr">
        <is>
          <t>VÄRMLANDS LÄN</t>
        </is>
      </c>
      <c r="E12325" t="inlineStr">
        <is>
          <t>TORSBY</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55461-2023</t>
        </is>
      </c>
      <c r="B12326" s="1" t="n">
        <v>45238</v>
      </c>
      <c r="C12326" s="1" t="n">
        <v>45736</v>
      </c>
      <c r="D12326" t="inlineStr">
        <is>
          <t>VÄRMLANDS LÄN</t>
        </is>
      </c>
      <c r="E12326" t="inlineStr">
        <is>
          <t>TORSBY</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55480-2023</t>
        </is>
      </c>
      <c r="B12327" s="1" t="n">
        <v>45238</v>
      </c>
      <c r="C12327" s="1" t="n">
        <v>45736</v>
      </c>
      <c r="D12327" t="inlineStr">
        <is>
          <t>VÄRMLANDS LÄN</t>
        </is>
      </c>
      <c r="E12327" t="inlineStr">
        <is>
          <t>TORSBY</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55485-2023</t>
        </is>
      </c>
      <c r="B12328" s="1" t="n">
        <v>45238</v>
      </c>
      <c r="C12328" s="1" t="n">
        <v>45736</v>
      </c>
      <c r="D12328" t="inlineStr">
        <is>
          <t>VÄRMLANDS LÄN</t>
        </is>
      </c>
      <c r="E12328" t="inlineStr">
        <is>
          <t>TORSBY</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55346-2023</t>
        </is>
      </c>
      <c r="B12329" s="1" t="n">
        <v>45238</v>
      </c>
      <c r="C12329" s="1" t="n">
        <v>45736</v>
      </c>
      <c r="D12329" t="inlineStr">
        <is>
          <t>VÄRMLANDS LÄN</t>
        </is>
      </c>
      <c r="E12329" t="inlineStr">
        <is>
          <t>KARLSTAD</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55422-2023</t>
        </is>
      </c>
      <c r="B12330" s="1" t="n">
        <v>45238</v>
      </c>
      <c r="C12330" s="1" t="n">
        <v>45736</v>
      </c>
      <c r="D12330" t="inlineStr">
        <is>
          <t>VÄRMLANDS LÄN</t>
        </is>
      </c>
      <c r="E12330" t="inlineStr">
        <is>
          <t>ÅRJÄNG</t>
        </is>
      </c>
      <c r="F12330" t="inlineStr">
        <is>
          <t>Kyrkan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55478-2023</t>
        </is>
      </c>
      <c r="B12331" s="1" t="n">
        <v>45238</v>
      </c>
      <c r="C12331" s="1" t="n">
        <v>45736</v>
      </c>
      <c r="D12331" t="inlineStr">
        <is>
          <t>VÄRMLANDS LÄN</t>
        </is>
      </c>
      <c r="E12331" t="inlineStr">
        <is>
          <t>TORSBY</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55506-2023</t>
        </is>
      </c>
      <c r="B12332" s="1" t="n">
        <v>45238</v>
      </c>
      <c r="C12332" s="1" t="n">
        <v>45736</v>
      </c>
      <c r="D12332" t="inlineStr">
        <is>
          <t>VÄRMLANDS LÄN</t>
        </is>
      </c>
      <c r="E12332" t="inlineStr">
        <is>
          <t>KARLSTAD</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55363-2023</t>
        </is>
      </c>
      <c r="B12333" s="1" t="n">
        <v>45238</v>
      </c>
      <c r="C12333" s="1" t="n">
        <v>45736</v>
      </c>
      <c r="D12333" t="inlineStr">
        <is>
          <t>VÄRMLANDS LÄN</t>
        </is>
      </c>
      <c r="E12333" t="inlineStr">
        <is>
          <t>KRISTINEHAMN</t>
        </is>
      </c>
      <c r="F12333" t="inlineStr">
        <is>
          <t>Kommuner</t>
        </is>
      </c>
      <c r="G12333" t="n">
        <v>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55393-2023</t>
        </is>
      </c>
      <c r="B12334" s="1" t="n">
        <v>45238</v>
      </c>
      <c r="C12334" s="1" t="n">
        <v>45736</v>
      </c>
      <c r="D12334" t="inlineStr">
        <is>
          <t>VÄRMLANDS LÄN</t>
        </is>
      </c>
      <c r="E12334" t="inlineStr">
        <is>
          <t>KIL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55460-2023</t>
        </is>
      </c>
      <c r="B12335" s="1" t="n">
        <v>45238</v>
      </c>
      <c r="C12335" s="1" t="n">
        <v>45736</v>
      </c>
      <c r="D12335" t="inlineStr">
        <is>
          <t>VÄRMLANDS LÄN</t>
        </is>
      </c>
      <c r="E12335" t="inlineStr">
        <is>
          <t>EDA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55499-2023</t>
        </is>
      </c>
      <c r="B12336" s="1" t="n">
        <v>45238</v>
      </c>
      <c r="C12336" s="1" t="n">
        <v>45736</v>
      </c>
      <c r="D12336" t="inlineStr">
        <is>
          <t>VÄRMLANDS LÄN</t>
        </is>
      </c>
      <c r="E12336" t="inlineStr">
        <is>
          <t>KARLSTAD</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55522-2023</t>
        </is>
      </c>
      <c r="B12337" s="1" t="n">
        <v>45238</v>
      </c>
      <c r="C12337" s="1" t="n">
        <v>45736</v>
      </c>
      <c r="D12337" t="inlineStr">
        <is>
          <t>VÄRMLANDS LÄN</t>
        </is>
      </c>
      <c r="E12337" t="inlineStr">
        <is>
          <t>TORSBY</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55527-2023</t>
        </is>
      </c>
      <c r="B12338" s="1" t="n">
        <v>45238</v>
      </c>
      <c r="C12338" s="1" t="n">
        <v>45736</v>
      </c>
      <c r="D12338" t="inlineStr">
        <is>
          <t>VÄRMLANDS LÄN</t>
        </is>
      </c>
      <c r="E12338" t="inlineStr">
        <is>
          <t>TORSBY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55616-2023</t>
        </is>
      </c>
      <c r="B12339" s="1" t="n">
        <v>45238</v>
      </c>
      <c r="C12339" s="1" t="n">
        <v>45736</v>
      </c>
      <c r="D12339" t="inlineStr">
        <is>
          <t>VÄRMLANDS LÄN</t>
        </is>
      </c>
      <c r="E12339" t="inlineStr">
        <is>
          <t>SÄFFLE</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56716-2023</t>
        </is>
      </c>
      <c r="B12340" s="1" t="n">
        <v>45238</v>
      </c>
      <c r="C12340" s="1" t="n">
        <v>45736</v>
      </c>
      <c r="D12340" t="inlineStr">
        <is>
          <t>VÄRMLANDS LÄN</t>
        </is>
      </c>
      <c r="E12340" t="inlineStr">
        <is>
          <t>TORSBY</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56712-2023</t>
        </is>
      </c>
      <c r="B12341" s="1" t="n">
        <v>45238</v>
      </c>
      <c r="C12341" s="1" t="n">
        <v>45736</v>
      </c>
      <c r="D12341" t="inlineStr">
        <is>
          <t>VÄRMLANDS LÄN</t>
        </is>
      </c>
      <c r="E12341" t="inlineStr">
        <is>
          <t>TORSBY</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55447-2023</t>
        </is>
      </c>
      <c r="B12342" s="1" t="n">
        <v>45238</v>
      </c>
      <c r="C12342" s="1" t="n">
        <v>45736</v>
      </c>
      <c r="D12342" t="inlineStr">
        <is>
          <t>VÄRMLANDS LÄN</t>
        </is>
      </c>
      <c r="E12342" t="inlineStr">
        <is>
          <t>TORSBY</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55509-2023</t>
        </is>
      </c>
      <c r="B12343" s="1" t="n">
        <v>45238</v>
      </c>
      <c r="C12343" s="1" t="n">
        <v>45736</v>
      </c>
      <c r="D12343" t="inlineStr">
        <is>
          <t>VÄRMLANDS LÄN</t>
        </is>
      </c>
      <c r="E12343" t="inlineStr">
        <is>
          <t>FILIPSTAD</t>
        </is>
      </c>
      <c r="F12343" t="inlineStr">
        <is>
          <t>Bergvik skog väst AB</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55537-2023</t>
        </is>
      </c>
      <c r="B12344" s="1" t="n">
        <v>45238</v>
      </c>
      <c r="C12344" s="1" t="n">
        <v>45736</v>
      </c>
      <c r="D12344" t="inlineStr">
        <is>
          <t>VÄRMLANDS LÄN</t>
        </is>
      </c>
      <c r="E12344" t="inlineStr">
        <is>
          <t>FILIPSTAD</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56714-2023</t>
        </is>
      </c>
      <c r="B12345" s="1" t="n">
        <v>45238</v>
      </c>
      <c r="C12345" s="1" t="n">
        <v>45736</v>
      </c>
      <c r="D12345" t="inlineStr">
        <is>
          <t>VÄRMLANDS LÄN</t>
        </is>
      </c>
      <c r="E12345" t="inlineStr">
        <is>
          <t>TORSBY</t>
        </is>
      </c>
      <c r="G12345" t="n">
        <v>6.2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55710-2023</t>
        </is>
      </c>
      <c r="B12346" s="1" t="n">
        <v>45239</v>
      </c>
      <c r="C12346" s="1" t="n">
        <v>45736</v>
      </c>
      <c r="D12346" t="inlineStr">
        <is>
          <t>VÄRMLANDS LÄN</t>
        </is>
      </c>
      <c r="E12346" t="inlineStr">
        <is>
          <t>EDA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55742-2023</t>
        </is>
      </c>
      <c r="B12347" s="1" t="n">
        <v>45239</v>
      </c>
      <c r="C12347" s="1" t="n">
        <v>45736</v>
      </c>
      <c r="D12347" t="inlineStr">
        <is>
          <t>VÄRMLANDS LÄN</t>
        </is>
      </c>
      <c r="E12347" t="inlineStr">
        <is>
          <t>FORSHAGA</t>
        </is>
      </c>
      <c r="F12347" t="inlineStr">
        <is>
          <t>Bergvik skog väst AB</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55751-2023</t>
        </is>
      </c>
      <c r="B12348" s="1" t="n">
        <v>45239</v>
      </c>
      <c r="C12348" s="1" t="n">
        <v>45736</v>
      </c>
      <c r="D12348" t="inlineStr">
        <is>
          <t>VÄRMLANDS LÄN</t>
        </is>
      </c>
      <c r="E12348" t="inlineStr">
        <is>
          <t>FILIPSTAD</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55856-2023</t>
        </is>
      </c>
      <c r="B12349" s="1" t="n">
        <v>45239</v>
      </c>
      <c r="C12349" s="1" t="n">
        <v>45736</v>
      </c>
      <c r="D12349" t="inlineStr">
        <is>
          <t>VÄRMLANDS LÄN</t>
        </is>
      </c>
      <c r="E12349" t="inlineStr">
        <is>
          <t>ARVIKA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55759-2023</t>
        </is>
      </c>
      <c r="B12350" s="1" t="n">
        <v>45239</v>
      </c>
      <c r="C12350" s="1" t="n">
        <v>45736</v>
      </c>
      <c r="D12350" t="inlineStr">
        <is>
          <t>VÄRMLANDS LÄN</t>
        </is>
      </c>
      <c r="E12350" t="inlineStr">
        <is>
          <t>TORSBY</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55791-2023</t>
        </is>
      </c>
      <c r="B12351" s="1" t="n">
        <v>45239</v>
      </c>
      <c r="C12351" s="1" t="n">
        <v>45736</v>
      </c>
      <c r="D12351" t="inlineStr">
        <is>
          <t>VÄRMLANDS LÄN</t>
        </is>
      </c>
      <c r="E12351" t="inlineStr">
        <is>
          <t>SUNNE</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55890-2023</t>
        </is>
      </c>
      <c r="B12352" s="1" t="n">
        <v>45239</v>
      </c>
      <c r="C12352" s="1" t="n">
        <v>45736</v>
      </c>
      <c r="D12352" t="inlineStr">
        <is>
          <t>VÄRMLANDS LÄN</t>
        </is>
      </c>
      <c r="E12352" t="inlineStr">
        <is>
          <t>KRISTINEHAMN</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55820-2023</t>
        </is>
      </c>
      <c r="B12353" s="1" t="n">
        <v>45239</v>
      </c>
      <c r="C12353" s="1" t="n">
        <v>45736</v>
      </c>
      <c r="D12353" t="inlineStr">
        <is>
          <t>VÄRMLANDS LÄN</t>
        </is>
      </c>
      <c r="E12353" t="inlineStr">
        <is>
          <t>KRISTINEHAMN</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55901-2023</t>
        </is>
      </c>
      <c r="B12354" s="1" t="n">
        <v>45239</v>
      </c>
      <c r="C12354" s="1" t="n">
        <v>45736</v>
      </c>
      <c r="D12354" t="inlineStr">
        <is>
          <t>VÄRMLANDS LÄN</t>
        </is>
      </c>
      <c r="E12354" t="inlineStr">
        <is>
          <t>ÅRJÄNG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57092-2023</t>
        </is>
      </c>
      <c r="B12355" s="1" t="n">
        <v>45239</v>
      </c>
      <c r="C12355" s="1" t="n">
        <v>45736</v>
      </c>
      <c r="D12355" t="inlineStr">
        <is>
          <t>VÄRMLANDS LÄN</t>
        </is>
      </c>
      <c r="E12355" t="inlineStr">
        <is>
          <t>TORSBY</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57091-2023</t>
        </is>
      </c>
      <c r="B12356" s="1" t="n">
        <v>45239</v>
      </c>
      <c r="C12356" s="1" t="n">
        <v>45736</v>
      </c>
      <c r="D12356" t="inlineStr">
        <is>
          <t>VÄRMLANDS LÄN</t>
        </is>
      </c>
      <c r="E12356" t="inlineStr">
        <is>
          <t>TORSBY</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57179-2023</t>
        </is>
      </c>
      <c r="B12357" s="1" t="n">
        <v>45239</v>
      </c>
      <c r="C12357" s="1" t="n">
        <v>45736</v>
      </c>
      <c r="D12357" t="inlineStr">
        <is>
          <t>VÄRMLANDS LÄN</t>
        </is>
      </c>
      <c r="E12357" t="inlineStr">
        <is>
          <t>SÄFFLE</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56889-2023</t>
        </is>
      </c>
      <c r="B12358" s="1" t="n">
        <v>45239</v>
      </c>
      <c r="C12358" s="1" t="n">
        <v>45736</v>
      </c>
      <c r="D12358" t="inlineStr">
        <is>
          <t>VÄRMLANDS LÄN</t>
        </is>
      </c>
      <c r="E12358" t="inlineStr">
        <is>
          <t>TORSBY</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55727-2023</t>
        </is>
      </c>
      <c r="B12359" s="1" t="n">
        <v>45239</v>
      </c>
      <c r="C12359" s="1" t="n">
        <v>45736</v>
      </c>
      <c r="D12359" t="inlineStr">
        <is>
          <t>VÄRMLANDS LÄN</t>
        </is>
      </c>
      <c r="E12359" t="inlineStr">
        <is>
          <t>TORSBY</t>
        </is>
      </c>
      <c r="F12359" t="inlineStr">
        <is>
          <t>Bergvik skog väst AB</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55852-2023</t>
        </is>
      </c>
      <c r="B12360" s="1" t="n">
        <v>45239</v>
      </c>
      <c r="C12360" s="1" t="n">
        <v>45736</v>
      </c>
      <c r="D12360" t="inlineStr">
        <is>
          <t>VÄRMLANDS LÄN</t>
        </is>
      </c>
      <c r="E12360" t="inlineStr">
        <is>
          <t>ARVIKA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57153-2023</t>
        </is>
      </c>
      <c r="B12361" s="1" t="n">
        <v>45239</v>
      </c>
      <c r="C12361" s="1" t="n">
        <v>45736</v>
      </c>
      <c r="D12361" t="inlineStr">
        <is>
          <t>VÄRMLANDS LÄN</t>
        </is>
      </c>
      <c r="E12361" t="inlineStr">
        <is>
          <t>SÄFFLE</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57176-2023</t>
        </is>
      </c>
      <c r="B12362" s="1" t="n">
        <v>45239</v>
      </c>
      <c r="C12362" s="1" t="n">
        <v>45736</v>
      </c>
      <c r="D12362" t="inlineStr">
        <is>
          <t>VÄRMLANDS LÄN</t>
        </is>
      </c>
      <c r="E12362" t="inlineStr">
        <is>
          <t>SÄFFLE</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56164-2023</t>
        </is>
      </c>
      <c r="B12363" s="1" t="n">
        <v>45240</v>
      </c>
      <c r="C12363" s="1" t="n">
        <v>45736</v>
      </c>
      <c r="D12363" t="inlineStr">
        <is>
          <t>VÄRMLANDS LÄN</t>
        </is>
      </c>
      <c r="E12363" t="inlineStr">
        <is>
          <t>TORSBY</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56238-2023</t>
        </is>
      </c>
      <c r="B12364" s="1" t="n">
        <v>45240</v>
      </c>
      <c r="C12364" s="1" t="n">
        <v>45736</v>
      </c>
      <c r="D12364" t="inlineStr">
        <is>
          <t>VÄRMLANDS LÄN</t>
        </is>
      </c>
      <c r="E12364" t="inlineStr">
        <is>
          <t>SUNNE</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56218-2023</t>
        </is>
      </c>
      <c r="B12365" s="1" t="n">
        <v>45240</v>
      </c>
      <c r="C12365" s="1" t="n">
        <v>45736</v>
      </c>
      <c r="D12365" t="inlineStr">
        <is>
          <t>VÄRMLANDS LÄN</t>
        </is>
      </c>
      <c r="E12365" t="inlineStr">
        <is>
          <t>KARLSTAD</t>
        </is>
      </c>
      <c r="F12365" t="inlineStr">
        <is>
          <t>Bergvik skog väst AB</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56170-2023</t>
        </is>
      </c>
      <c r="B12366" s="1" t="n">
        <v>45240</v>
      </c>
      <c r="C12366" s="1" t="n">
        <v>45736</v>
      </c>
      <c r="D12366" t="inlineStr">
        <is>
          <t>VÄRMLANDS LÄN</t>
        </is>
      </c>
      <c r="E12366" t="inlineStr">
        <is>
          <t>TORSBY</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57178-2023</t>
        </is>
      </c>
      <c r="B12367" s="1" t="n">
        <v>45240</v>
      </c>
      <c r="C12367" s="1" t="n">
        <v>45736</v>
      </c>
      <c r="D12367" t="inlineStr">
        <is>
          <t>VÄRMLANDS LÄN</t>
        </is>
      </c>
      <c r="E12367" t="inlineStr">
        <is>
          <t>ÅRJÄNG</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56071-2023</t>
        </is>
      </c>
      <c r="B12368" s="1" t="n">
        <v>45240</v>
      </c>
      <c r="C12368" s="1" t="n">
        <v>45736</v>
      </c>
      <c r="D12368" t="inlineStr">
        <is>
          <t>VÄRMLANDS LÄN</t>
        </is>
      </c>
      <c r="E12368" t="inlineStr">
        <is>
          <t>MUNKFORS</t>
        </is>
      </c>
      <c r="F12368" t="inlineStr">
        <is>
          <t>Bergvik skog väst AB</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56041-2023</t>
        </is>
      </c>
      <c r="B12369" s="1" t="n">
        <v>45240</v>
      </c>
      <c r="C12369" s="1" t="n">
        <v>45736</v>
      </c>
      <c r="D12369" t="inlineStr">
        <is>
          <t>VÄRMLANDS LÄN</t>
        </is>
      </c>
      <c r="E12369" t="inlineStr">
        <is>
          <t>KARLSTAD</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56220-2023</t>
        </is>
      </c>
      <c r="B12370" s="1" t="n">
        <v>45240</v>
      </c>
      <c r="C12370" s="1" t="n">
        <v>45736</v>
      </c>
      <c r="D12370" t="inlineStr">
        <is>
          <t>VÄRMLANDS LÄN</t>
        </is>
      </c>
      <c r="E12370" t="inlineStr">
        <is>
          <t>GRUMS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56212-2023</t>
        </is>
      </c>
      <c r="B12371" s="1" t="n">
        <v>45240</v>
      </c>
      <c r="C12371" s="1" t="n">
        <v>45736</v>
      </c>
      <c r="D12371" t="inlineStr">
        <is>
          <t>VÄRMLANDS LÄN</t>
        </is>
      </c>
      <c r="E12371" t="inlineStr">
        <is>
          <t>SUNNE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56151-2023</t>
        </is>
      </c>
      <c r="B12372" s="1" t="n">
        <v>45240</v>
      </c>
      <c r="C12372" s="1" t="n">
        <v>45736</v>
      </c>
      <c r="D12372" t="inlineStr">
        <is>
          <t>VÄRMLANDS LÄN</t>
        </is>
      </c>
      <c r="E12372" t="inlineStr">
        <is>
          <t>FILIPSTAD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56116-2023</t>
        </is>
      </c>
      <c r="B12373" s="1" t="n">
        <v>45240</v>
      </c>
      <c r="C12373" s="1" t="n">
        <v>45736</v>
      </c>
      <c r="D12373" t="inlineStr">
        <is>
          <t>VÄRMLANDS LÄN</t>
        </is>
      </c>
      <c r="E12373" t="inlineStr">
        <is>
          <t>TORSBY</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56219-2023</t>
        </is>
      </c>
      <c r="B12374" s="1" t="n">
        <v>45240</v>
      </c>
      <c r="C12374" s="1" t="n">
        <v>45736</v>
      </c>
      <c r="D12374" t="inlineStr">
        <is>
          <t>VÄRMLANDS LÄN</t>
        </is>
      </c>
      <c r="E12374" t="inlineStr">
        <is>
          <t>GRUMS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56215-2023</t>
        </is>
      </c>
      <c r="B12375" s="1" t="n">
        <v>45240</v>
      </c>
      <c r="C12375" s="1" t="n">
        <v>45736</v>
      </c>
      <c r="D12375" t="inlineStr">
        <is>
          <t>VÄRMLANDS LÄN</t>
        </is>
      </c>
      <c r="E12375" t="inlineStr">
        <is>
          <t>SUNNE</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55945-2023</t>
        </is>
      </c>
      <c r="B12376" s="1" t="n">
        <v>45240</v>
      </c>
      <c r="C12376" s="1" t="n">
        <v>45736</v>
      </c>
      <c r="D12376" t="inlineStr">
        <is>
          <t>VÄRMLANDS LÄN</t>
        </is>
      </c>
      <c r="E12376" t="inlineStr">
        <is>
          <t>ARVIKA</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56070-2023</t>
        </is>
      </c>
      <c r="B12377" s="1" t="n">
        <v>45240</v>
      </c>
      <c r="C12377" s="1" t="n">
        <v>45736</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56021-2023</t>
        </is>
      </c>
      <c r="B12378" s="1" t="n">
        <v>45240</v>
      </c>
      <c r="C12378" s="1" t="n">
        <v>45736</v>
      </c>
      <c r="D12378" t="inlineStr">
        <is>
          <t>VÄRMLANDS LÄN</t>
        </is>
      </c>
      <c r="E12378" t="inlineStr">
        <is>
          <t>TORSBY</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56280-2023</t>
        </is>
      </c>
      <c r="B12379" s="1" t="n">
        <v>45241</v>
      </c>
      <c r="C12379" s="1" t="n">
        <v>45736</v>
      </c>
      <c r="D12379" t="inlineStr">
        <is>
          <t>VÄRMLANDS LÄN</t>
        </is>
      </c>
      <c r="E12379" t="inlineStr">
        <is>
          <t>FORSHAGA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56309-2023</t>
        </is>
      </c>
      <c r="B12380" s="1" t="n">
        <v>45242</v>
      </c>
      <c r="C12380" s="1" t="n">
        <v>45736</v>
      </c>
      <c r="D12380" t="inlineStr">
        <is>
          <t>VÄRMLANDS LÄN</t>
        </is>
      </c>
      <c r="E12380" t="inlineStr">
        <is>
          <t>KRISTINEHAMN</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57498-2023</t>
        </is>
      </c>
      <c r="B12381" s="1" t="n">
        <v>45242</v>
      </c>
      <c r="C12381" s="1" t="n">
        <v>45736</v>
      </c>
      <c r="D12381" t="inlineStr">
        <is>
          <t>VÄRMLANDS LÄN</t>
        </is>
      </c>
      <c r="E12381" t="inlineStr">
        <is>
          <t>SÄFFLE</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56427-2023</t>
        </is>
      </c>
      <c r="B12382" s="1" t="n">
        <v>45243</v>
      </c>
      <c r="C12382" s="1" t="n">
        <v>45736</v>
      </c>
      <c r="D12382" t="inlineStr">
        <is>
          <t>VÄRMLANDS LÄN</t>
        </is>
      </c>
      <c r="E12382" t="inlineStr">
        <is>
          <t>ARVIKA</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56472-2023</t>
        </is>
      </c>
      <c r="B12383" s="1" t="n">
        <v>45243</v>
      </c>
      <c r="C12383" s="1" t="n">
        <v>45736</v>
      </c>
      <c r="D12383" t="inlineStr">
        <is>
          <t>VÄRMLANDS LÄN</t>
        </is>
      </c>
      <c r="E12383" t="inlineStr">
        <is>
          <t>ARVIKA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56554-2023</t>
        </is>
      </c>
      <c r="B12384" s="1" t="n">
        <v>45243</v>
      </c>
      <c r="C12384" s="1" t="n">
        <v>45736</v>
      </c>
      <c r="D12384" t="inlineStr">
        <is>
          <t>VÄRMLANDS LÄN</t>
        </is>
      </c>
      <c r="E12384" t="inlineStr">
        <is>
          <t>KRISTINEHAMN</t>
        </is>
      </c>
      <c r="F12384" t="inlineStr">
        <is>
          <t>Naturvårdsverket</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56559-2023</t>
        </is>
      </c>
      <c r="B12385" s="1" t="n">
        <v>45243</v>
      </c>
      <c r="C12385" s="1" t="n">
        <v>45736</v>
      </c>
      <c r="D12385" t="inlineStr">
        <is>
          <t>VÄRMLANDS LÄN</t>
        </is>
      </c>
      <c r="E12385" t="inlineStr">
        <is>
          <t>FILIPSTAD</t>
        </is>
      </c>
      <c r="F12385" t="inlineStr">
        <is>
          <t>Bergvik skog väst AB</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56664-2023</t>
        </is>
      </c>
      <c r="B12386" s="1" t="n">
        <v>45243</v>
      </c>
      <c r="C12386" s="1" t="n">
        <v>45736</v>
      </c>
      <c r="D12386" t="inlineStr">
        <is>
          <t>VÄRMLANDS LÄN</t>
        </is>
      </c>
      <c r="E12386" t="inlineStr">
        <is>
          <t>KRISTINEHAMN</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56668-2023</t>
        </is>
      </c>
      <c r="B12387" s="1" t="n">
        <v>45243</v>
      </c>
      <c r="C12387" s="1" t="n">
        <v>45736</v>
      </c>
      <c r="D12387" t="inlineStr">
        <is>
          <t>VÄRMLANDS LÄN</t>
        </is>
      </c>
      <c r="E12387" t="inlineStr">
        <is>
          <t>KRISTINEHAMN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56481-2023</t>
        </is>
      </c>
      <c r="B12388" s="1" t="n">
        <v>45243</v>
      </c>
      <c r="C12388" s="1" t="n">
        <v>45736</v>
      </c>
      <c r="D12388" t="inlineStr">
        <is>
          <t>VÄRMLANDS LÄN</t>
        </is>
      </c>
      <c r="E12388" t="inlineStr">
        <is>
          <t>EDA</t>
        </is>
      </c>
      <c r="G12388" t="n">
        <v>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56493-2023</t>
        </is>
      </c>
      <c r="B12389" s="1" t="n">
        <v>45243</v>
      </c>
      <c r="C12389" s="1" t="n">
        <v>45736</v>
      </c>
      <c r="D12389" t="inlineStr">
        <is>
          <t>VÄRMLANDS LÄN</t>
        </is>
      </c>
      <c r="E12389" t="inlineStr">
        <is>
          <t>ÅRJÄNG</t>
        </is>
      </c>
      <c r="F12389" t="inlineStr">
        <is>
          <t>Kyrkan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56516-2023</t>
        </is>
      </c>
      <c r="B12390" s="1" t="n">
        <v>45243</v>
      </c>
      <c r="C12390" s="1" t="n">
        <v>45736</v>
      </c>
      <c r="D12390" t="inlineStr">
        <is>
          <t>VÄRMLANDS LÄN</t>
        </is>
      </c>
      <c r="E12390" t="inlineStr">
        <is>
          <t>KRISTINEHAMN</t>
        </is>
      </c>
      <c r="F12390" t="inlineStr">
        <is>
          <t>Kommuner</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56522-2023</t>
        </is>
      </c>
      <c r="B12391" s="1" t="n">
        <v>45243</v>
      </c>
      <c r="C12391" s="1" t="n">
        <v>45736</v>
      </c>
      <c r="D12391" t="inlineStr">
        <is>
          <t>VÄRMLANDS LÄN</t>
        </is>
      </c>
      <c r="E12391" t="inlineStr">
        <is>
          <t>KRISTINEHAMN</t>
        </is>
      </c>
      <c r="F12391" t="inlineStr">
        <is>
          <t>Naturvårdsverket</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56327-2023</t>
        </is>
      </c>
      <c r="B12392" s="1" t="n">
        <v>45243</v>
      </c>
      <c r="C12392" s="1" t="n">
        <v>45736</v>
      </c>
      <c r="D12392" t="inlineStr">
        <is>
          <t>VÄRMLANDS LÄN</t>
        </is>
      </c>
      <c r="E12392" t="inlineStr">
        <is>
          <t>KARLSTAD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56535-2023</t>
        </is>
      </c>
      <c r="B12393" s="1" t="n">
        <v>45243</v>
      </c>
      <c r="C12393" s="1" t="n">
        <v>45736</v>
      </c>
      <c r="D12393" t="inlineStr">
        <is>
          <t>VÄRMLANDS LÄN</t>
        </is>
      </c>
      <c r="E12393" t="inlineStr">
        <is>
          <t>ÅRJÄNG</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56556-2023</t>
        </is>
      </c>
      <c r="B12394" s="1" t="n">
        <v>45243</v>
      </c>
      <c r="C12394" s="1" t="n">
        <v>45736</v>
      </c>
      <c r="D12394" t="inlineStr">
        <is>
          <t>VÄRMLANDS LÄN</t>
        </is>
      </c>
      <c r="E12394" t="inlineStr">
        <is>
          <t>KRISTINEHAMN</t>
        </is>
      </c>
      <c r="F12394" t="inlineStr">
        <is>
          <t>Naturvårdsverket</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56574-2023</t>
        </is>
      </c>
      <c r="B12395" s="1" t="n">
        <v>45243</v>
      </c>
      <c r="C12395" s="1" t="n">
        <v>45736</v>
      </c>
      <c r="D12395" t="inlineStr">
        <is>
          <t>VÄRMLANDS LÄN</t>
        </is>
      </c>
      <c r="E12395" t="inlineStr">
        <is>
          <t>KARLSTAD</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56578-2023</t>
        </is>
      </c>
      <c r="B12396" s="1" t="n">
        <v>45243</v>
      </c>
      <c r="C12396" s="1" t="n">
        <v>45736</v>
      </c>
      <c r="D12396" t="inlineStr">
        <is>
          <t>VÄRMLANDS LÄN</t>
        </is>
      </c>
      <c r="E12396" t="inlineStr">
        <is>
          <t>KRISTINEHAMN</t>
        </is>
      </c>
      <c r="F12396" t="inlineStr">
        <is>
          <t>Kommuner</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56662-2023</t>
        </is>
      </c>
      <c r="B12397" s="1" t="n">
        <v>45243</v>
      </c>
      <c r="C12397" s="1" t="n">
        <v>45736</v>
      </c>
      <c r="D12397" t="inlineStr">
        <is>
          <t>VÄRMLANDS LÄN</t>
        </is>
      </c>
      <c r="E12397" t="inlineStr">
        <is>
          <t>KRISTINEHAMN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56666-2023</t>
        </is>
      </c>
      <c r="B12398" s="1" t="n">
        <v>45243</v>
      </c>
      <c r="C12398" s="1" t="n">
        <v>45736</v>
      </c>
      <c r="D12398" t="inlineStr">
        <is>
          <t>VÄRMLANDS LÄN</t>
        </is>
      </c>
      <c r="E12398" t="inlineStr">
        <is>
          <t>KRISTINEHAMN</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56369-2023</t>
        </is>
      </c>
      <c r="B12399" s="1" t="n">
        <v>45243</v>
      </c>
      <c r="C12399" s="1" t="n">
        <v>45736</v>
      </c>
      <c r="D12399" t="inlineStr">
        <is>
          <t>VÄRMLANDS LÄN</t>
        </is>
      </c>
      <c r="E12399" t="inlineStr">
        <is>
          <t>HAGFORS</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56486-2023</t>
        </is>
      </c>
      <c r="B12400" s="1" t="n">
        <v>45243</v>
      </c>
      <c r="C12400" s="1" t="n">
        <v>45736</v>
      </c>
      <c r="D12400" t="inlineStr">
        <is>
          <t>VÄRMLANDS LÄN</t>
        </is>
      </c>
      <c r="E12400" t="inlineStr">
        <is>
          <t>HAGFORS</t>
        </is>
      </c>
      <c r="F12400" t="inlineStr">
        <is>
          <t>Bergvik skog väst AB</t>
        </is>
      </c>
      <c r="G12400" t="n">
        <v>18.7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56496-2023</t>
        </is>
      </c>
      <c r="B12401" s="1" t="n">
        <v>45243</v>
      </c>
      <c r="C12401" s="1" t="n">
        <v>45736</v>
      </c>
      <c r="D12401" t="inlineStr">
        <is>
          <t>VÄRMLANDS LÄN</t>
        </is>
      </c>
      <c r="E12401" t="inlineStr">
        <is>
          <t>EDA</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56521-2023</t>
        </is>
      </c>
      <c r="B12402" s="1" t="n">
        <v>45243</v>
      </c>
      <c r="C12402" s="1" t="n">
        <v>45736</v>
      </c>
      <c r="D12402" t="inlineStr">
        <is>
          <t>VÄRMLANDS LÄN</t>
        </is>
      </c>
      <c r="E12402" t="inlineStr">
        <is>
          <t>KARLSTAD</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56614-2023</t>
        </is>
      </c>
      <c r="B12403" s="1" t="n">
        <v>45243</v>
      </c>
      <c r="C12403" s="1" t="n">
        <v>45736</v>
      </c>
      <c r="D12403" t="inlineStr">
        <is>
          <t>VÄRMLANDS LÄN</t>
        </is>
      </c>
      <c r="E12403" t="inlineStr">
        <is>
          <t>HAGFORS</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56661-2023</t>
        </is>
      </c>
      <c r="B12404" s="1" t="n">
        <v>45243</v>
      </c>
      <c r="C12404" s="1" t="n">
        <v>45736</v>
      </c>
      <c r="D12404" t="inlineStr">
        <is>
          <t>VÄRMLANDS LÄN</t>
        </is>
      </c>
      <c r="E12404" t="inlineStr">
        <is>
          <t>KRISTINEHAMN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56673-2023</t>
        </is>
      </c>
      <c r="B12405" s="1" t="n">
        <v>45243</v>
      </c>
      <c r="C12405" s="1" t="n">
        <v>45736</v>
      </c>
      <c r="D12405" t="inlineStr">
        <is>
          <t>VÄRMLANDS LÄN</t>
        </is>
      </c>
      <c r="E12405" t="inlineStr">
        <is>
          <t>KRISTINEHAMN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56426-2023</t>
        </is>
      </c>
      <c r="B12406" s="1" t="n">
        <v>45243</v>
      </c>
      <c r="C12406" s="1" t="n">
        <v>45736</v>
      </c>
      <c r="D12406" t="inlineStr">
        <is>
          <t>VÄRMLANDS LÄN</t>
        </is>
      </c>
      <c r="E12406" t="inlineStr">
        <is>
          <t>TORSBY</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56430-2023</t>
        </is>
      </c>
      <c r="B12407" s="1" t="n">
        <v>45243</v>
      </c>
      <c r="C12407" s="1" t="n">
        <v>45736</v>
      </c>
      <c r="D12407" t="inlineStr">
        <is>
          <t>VÄRMLANDS LÄN</t>
        </is>
      </c>
      <c r="E12407" t="inlineStr">
        <is>
          <t>ARVIKA</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56488-2023</t>
        </is>
      </c>
      <c r="B12408" s="1" t="n">
        <v>45243</v>
      </c>
      <c r="C12408" s="1" t="n">
        <v>45736</v>
      </c>
      <c r="D12408" t="inlineStr">
        <is>
          <t>VÄRMLANDS LÄN</t>
        </is>
      </c>
      <c r="E12408" t="inlineStr">
        <is>
          <t>SUNNE</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56557-2023</t>
        </is>
      </c>
      <c r="B12409" s="1" t="n">
        <v>45243</v>
      </c>
      <c r="C12409" s="1" t="n">
        <v>45736</v>
      </c>
      <c r="D12409" t="inlineStr">
        <is>
          <t>VÄRMLANDS LÄN</t>
        </is>
      </c>
      <c r="E12409" t="inlineStr">
        <is>
          <t>FILIPSTAD</t>
        </is>
      </c>
      <c r="F12409" t="inlineStr">
        <is>
          <t>Bergvik skog väst AB</t>
        </is>
      </c>
      <c r="G12409" t="n">
        <v>19.2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56641-2023</t>
        </is>
      </c>
      <c r="B12410" s="1" t="n">
        <v>45243</v>
      </c>
      <c r="C12410" s="1" t="n">
        <v>45736</v>
      </c>
      <c r="D12410" t="inlineStr">
        <is>
          <t>VÄRMLANDS LÄN</t>
        </is>
      </c>
      <c r="E12410" t="inlineStr">
        <is>
          <t>KIL</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56663-2023</t>
        </is>
      </c>
      <c r="B12411" s="1" t="n">
        <v>45243</v>
      </c>
      <c r="C12411" s="1" t="n">
        <v>45736</v>
      </c>
      <c r="D12411" t="inlineStr">
        <is>
          <t>VÄRMLANDS LÄN</t>
        </is>
      </c>
      <c r="E12411" t="inlineStr">
        <is>
          <t>KRISTINEHAMN</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56667-2023</t>
        </is>
      </c>
      <c r="B12412" s="1" t="n">
        <v>45243</v>
      </c>
      <c r="C12412" s="1" t="n">
        <v>45736</v>
      </c>
      <c r="D12412" t="inlineStr">
        <is>
          <t>VÄRMLANDS LÄN</t>
        </is>
      </c>
      <c r="E12412" t="inlineStr">
        <is>
          <t>KRISTINEHAMN</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56671-2023</t>
        </is>
      </c>
      <c r="B12413" s="1" t="n">
        <v>45243</v>
      </c>
      <c r="C12413" s="1" t="n">
        <v>45736</v>
      </c>
      <c r="D12413" t="inlineStr">
        <is>
          <t>VÄRMLANDS LÄN</t>
        </is>
      </c>
      <c r="E12413" t="inlineStr">
        <is>
          <t>KRISTINEHAMN</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57728-2023</t>
        </is>
      </c>
      <c r="B12414" s="1" t="n">
        <v>45243</v>
      </c>
      <c r="C12414" s="1" t="n">
        <v>45736</v>
      </c>
      <c r="D12414" t="inlineStr">
        <is>
          <t>VÄRMLANDS LÄN</t>
        </is>
      </c>
      <c r="E12414" t="inlineStr">
        <is>
          <t>SUNNE</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57711-2023</t>
        </is>
      </c>
      <c r="B12415" s="1" t="n">
        <v>45243</v>
      </c>
      <c r="C12415" s="1" t="n">
        <v>45736</v>
      </c>
      <c r="D12415" t="inlineStr">
        <is>
          <t>VÄRMLANDS LÄN</t>
        </is>
      </c>
      <c r="E12415" t="inlineStr">
        <is>
          <t>SUNNE</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57721-2023</t>
        </is>
      </c>
      <c r="B12416" s="1" t="n">
        <v>45243</v>
      </c>
      <c r="C12416" s="1" t="n">
        <v>45736</v>
      </c>
      <c r="D12416" t="inlineStr">
        <is>
          <t>VÄRMLANDS LÄN</t>
        </is>
      </c>
      <c r="E12416" t="inlineStr">
        <is>
          <t>SUNNE</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56783-2023</t>
        </is>
      </c>
      <c r="B12417" s="1" t="n">
        <v>45244</v>
      </c>
      <c r="C12417" s="1" t="n">
        <v>45736</v>
      </c>
      <c r="D12417" t="inlineStr">
        <is>
          <t>VÄRMLANDS LÄN</t>
        </is>
      </c>
      <c r="E12417" t="inlineStr">
        <is>
          <t>EDA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56757-2023</t>
        </is>
      </c>
      <c r="B12418" s="1" t="n">
        <v>45244</v>
      </c>
      <c r="C12418" s="1" t="n">
        <v>45736</v>
      </c>
      <c r="D12418" t="inlineStr">
        <is>
          <t>VÄRMLANDS LÄN</t>
        </is>
      </c>
      <c r="E12418" t="inlineStr">
        <is>
          <t>ÅRJÄNG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56724-2023</t>
        </is>
      </c>
      <c r="B12419" s="1" t="n">
        <v>45244</v>
      </c>
      <c r="C12419" s="1" t="n">
        <v>45736</v>
      </c>
      <c r="D12419" t="inlineStr">
        <is>
          <t>VÄRMLANDS LÄN</t>
        </is>
      </c>
      <c r="E12419" t="inlineStr">
        <is>
          <t>TORSBY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56880-2023</t>
        </is>
      </c>
      <c r="B12420" s="1" t="n">
        <v>45244</v>
      </c>
      <c r="C12420" s="1" t="n">
        <v>45736</v>
      </c>
      <c r="D12420" t="inlineStr">
        <is>
          <t>VÄRMLANDS LÄN</t>
        </is>
      </c>
      <c r="E12420" t="inlineStr">
        <is>
          <t>TORSBY</t>
        </is>
      </c>
      <c r="F12420" t="inlineStr">
        <is>
          <t>Övriga Aktiebolag</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56873-2023</t>
        </is>
      </c>
      <c r="B12421" s="1" t="n">
        <v>45244</v>
      </c>
      <c r="C12421" s="1" t="n">
        <v>45736</v>
      </c>
      <c r="D12421" t="inlineStr">
        <is>
          <t>VÄRMLANDS LÄN</t>
        </is>
      </c>
      <c r="E12421" t="inlineStr">
        <is>
          <t>ARVIKA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56881-2023</t>
        </is>
      </c>
      <c r="B12422" s="1" t="n">
        <v>45244</v>
      </c>
      <c r="C12422" s="1" t="n">
        <v>45736</v>
      </c>
      <c r="D12422" t="inlineStr">
        <is>
          <t>VÄRMLANDS LÄN</t>
        </is>
      </c>
      <c r="E12422" t="inlineStr">
        <is>
          <t>TORSBY</t>
        </is>
      </c>
      <c r="F12422" t="inlineStr">
        <is>
          <t>Övriga Aktiebolag</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56893-2023</t>
        </is>
      </c>
      <c r="B12423" s="1" t="n">
        <v>45244</v>
      </c>
      <c r="C12423" s="1" t="n">
        <v>45736</v>
      </c>
      <c r="D12423" t="inlineStr">
        <is>
          <t>VÄRMLANDS LÄN</t>
        </is>
      </c>
      <c r="E12423" t="inlineStr">
        <is>
          <t>HAGFORS</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56930-2023</t>
        </is>
      </c>
      <c r="B12424" s="1" t="n">
        <v>45244</v>
      </c>
      <c r="C12424" s="1" t="n">
        <v>45736</v>
      </c>
      <c r="D12424" t="inlineStr">
        <is>
          <t>VÄRMLANDS LÄN</t>
        </is>
      </c>
      <c r="E12424" t="inlineStr">
        <is>
          <t>KRISTINEHAMN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57009-2023</t>
        </is>
      </c>
      <c r="B12425" s="1" t="n">
        <v>45244</v>
      </c>
      <c r="C12425" s="1" t="n">
        <v>45736</v>
      </c>
      <c r="D12425" t="inlineStr">
        <is>
          <t>VÄRMLANDS LÄN</t>
        </is>
      </c>
      <c r="E12425" t="inlineStr">
        <is>
          <t>ARVIKA</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57026-2023</t>
        </is>
      </c>
      <c r="B12426" s="1" t="n">
        <v>45244</v>
      </c>
      <c r="C12426" s="1" t="n">
        <v>45736</v>
      </c>
      <c r="D12426" t="inlineStr">
        <is>
          <t>VÄRMLANDS LÄN</t>
        </is>
      </c>
      <c r="E12426" t="inlineStr">
        <is>
          <t>FILIPSTAD</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57027-2023</t>
        </is>
      </c>
      <c r="B12427" s="1" t="n">
        <v>45244</v>
      </c>
      <c r="C12427" s="1" t="n">
        <v>45736</v>
      </c>
      <c r="D12427" t="inlineStr">
        <is>
          <t>VÄRMLANDS LÄN</t>
        </is>
      </c>
      <c r="E12427" t="inlineStr">
        <is>
          <t>FILIPSTAD</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56808-2023</t>
        </is>
      </c>
      <c r="B12428" s="1" t="n">
        <v>45244</v>
      </c>
      <c r="C12428" s="1" t="n">
        <v>45736</v>
      </c>
      <c r="D12428" t="inlineStr">
        <is>
          <t>VÄRMLANDS LÄN</t>
        </is>
      </c>
      <c r="E12428" t="inlineStr">
        <is>
          <t>HAGFORS</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56871-2023</t>
        </is>
      </c>
      <c r="B12429" s="1" t="n">
        <v>45244</v>
      </c>
      <c r="C12429" s="1" t="n">
        <v>45736</v>
      </c>
      <c r="D12429" t="inlineStr">
        <is>
          <t>VÄRMLANDS LÄN</t>
        </is>
      </c>
      <c r="E12429" t="inlineStr">
        <is>
          <t>SUNNE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56875-2023</t>
        </is>
      </c>
      <c r="B12430" s="1" t="n">
        <v>45244</v>
      </c>
      <c r="C12430" s="1" t="n">
        <v>45736</v>
      </c>
      <c r="D12430" t="inlineStr">
        <is>
          <t>VÄRMLANDS LÄN</t>
        </is>
      </c>
      <c r="E12430" t="inlineStr">
        <is>
          <t>TORSBY</t>
        </is>
      </c>
      <c r="F12430" t="inlineStr">
        <is>
          <t>Övriga Aktiebolag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56811-2023</t>
        </is>
      </c>
      <c r="B12431" s="1" t="n">
        <v>45244</v>
      </c>
      <c r="C12431" s="1" t="n">
        <v>45736</v>
      </c>
      <c r="D12431" t="inlineStr">
        <is>
          <t>VÄRMLANDS LÄN</t>
        </is>
      </c>
      <c r="E12431" t="inlineStr">
        <is>
          <t>TORSBY</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56815-2023</t>
        </is>
      </c>
      <c r="B12432" s="1" t="n">
        <v>45244</v>
      </c>
      <c r="C12432" s="1" t="n">
        <v>45736</v>
      </c>
      <c r="D12432" t="inlineStr">
        <is>
          <t>VÄRMLANDS LÄN</t>
        </is>
      </c>
      <c r="E12432" t="inlineStr">
        <is>
          <t>TORSBY</t>
        </is>
      </c>
      <c r="G12432" t="n">
        <v>9.300000000000001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56884-2023</t>
        </is>
      </c>
      <c r="B12433" s="1" t="n">
        <v>45244</v>
      </c>
      <c r="C12433" s="1" t="n">
        <v>45736</v>
      </c>
      <c r="D12433" t="inlineStr">
        <is>
          <t>VÄRMLANDS LÄN</t>
        </is>
      </c>
      <c r="E12433" t="inlineStr">
        <is>
          <t>HAGFORS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56895-2023</t>
        </is>
      </c>
      <c r="B12434" s="1" t="n">
        <v>45244</v>
      </c>
      <c r="C12434" s="1" t="n">
        <v>45736</v>
      </c>
      <c r="D12434" t="inlineStr">
        <is>
          <t>VÄRMLANDS LÄN</t>
        </is>
      </c>
      <c r="E12434" t="inlineStr">
        <is>
          <t>HAGFORS</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56888-2023</t>
        </is>
      </c>
      <c r="B12435" s="1" t="n">
        <v>45244</v>
      </c>
      <c r="C12435" s="1" t="n">
        <v>45736</v>
      </c>
      <c r="D12435" t="inlineStr">
        <is>
          <t>VÄRMLANDS LÄN</t>
        </is>
      </c>
      <c r="E12435" t="inlineStr">
        <is>
          <t>HAGFORS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56902-2023</t>
        </is>
      </c>
      <c r="B12436" s="1" t="n">
        <v>45244</v>
      </c>
      <c r="C12436" s="1" t="n">
        <v>45736</v>
      </c>
      <c r="D12436" t="inlineStr">
        <is>
          <t>VÄRMLANDS LÄN</t>
        </is>
      </c>
      <c r="E12436" t="inlineStr">
        <is>
          <t>TORSBY</t>
        </is>
      </c>
      <c r="G12436" t="n">
        <v>17.4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56970-2023</t>
        </is>
      </c>
      <c r="B12437" s="1" t="n">
        <v>45244</v>
      </c>
      <c r="C12437" s="1" t="n">
        <v>45736</v>
      </c>
      <c r="D12437" t="inlineStr">
        <is>
          <t>VÄRMLANDS LÄN</t>
        </is>
      </c>
      <c r="E12437" t="inlineStr">
        <is>
          <t>TORSBY</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57012-2023</t>
        </is>
      </c>
      <c r="B12438" s="1" t="n">
        <v>45244</v>
      </c>
      <c r="C12438" s="1" t="n">
        <v>45736</v>
      </c>
      <c r="D12438" t="inlineStr">
        <is>
          <t>VÄRMLANDS LÄN</t>
        </is>
      </c>
      <c r="E12438" t="inlineStr">
        <is>
          <t>ARVIKA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57992-2023</t>
        </is>
      </c>
      <c r="B12439" s="1" t="n">
        <v>45244</v>
      </c>
      <c r="C12439" s="1" t="n">
        <v>45736</v>
      </c>
      <c r="D12439" t="inlineStr">
        <is>
          <t>VÄRMLANDS LÄN</t>
        </is>
      </c>
      <c r="E12439" t="inlineStr">
        <is>
          <t>ÅRJÄNG</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57973-2023</t>
        </is>
      </c>
      <c r="B12440" s="1" t="n">
        <v>45244</v>
      </c>
      <c r="C12440" s="1" t="n">
        <v>45736</v>
      </c>
      <c r="D12440" t="inlineStr">
        <is>
          <t>VÄRMLANDS LÄN</t>
        </is>
      </c>
      <c r="E12440" t="inlineStr">
        <is>
          <t>HAGFORS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57017-2023</t>
        </is>
      </c>
      <c r="B12441" s="1" t="n">
        <v>45244</v>
      </c>
      <c r="C12441" s="1" t="n">
        <v>45736</v>
      </c>
      <c r="D12441" t="inlineStr">
        <is>
          <t>VÄRMLANDS LÄN</t>
        </is>
      </c>
      <c r="E12441" t="inlineStr">
        <is>
          <t>TORSBY</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57975-2023</t>
        </is>
      </c>
      <c r="B12442" s="1" t="n">
        <v>45244</v>
      </c>
      <c r="C12442" s="1" t="n">
        <v>45736</v>
      </c>
      <c r="D12442" t="inlineStr">
        <is>
          <t>VÄRMLANDS LÄN</t>
        </is>
      </c>
      <c r="E12442" t="inlineStr">
        <is>
          <t>ÅRJÄNG</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58001-2023</t>
        </is>
      </c>
      <c r="B12443" s="1" t="n">
        <v>45244</v>
      </c>
      <c r="C12443" s="1" t="n">
        <v>45736</v>
      </c>
      <c r="D12443" t="inlineStr">
        <is>
          <t>VÄRMLANDS LÄN</t>
        </is>
      </c>
      <c r="E12443" t="inlineStr">
        <is>
          <t>ÅRJÄNG</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57089-2023</t>
        </is>
      </c>
      <c r="B12444" s="1" t="n">
        <v>45245</v>
      </c>
      <c r="C12444" s="1" t="n">
        <v>45736</v>
      </c>
      <c r="D12444" t="inlineStr">
        <is>
          <t>VÄRMLANDS LÄN</t>
        </is>
      </c>
      <c r="E12444" t="inlineStr">
        <is>
          <t>SÄFFLE</t>
        </is>
      </c>
      <c r="F12444" t="inlineStr">
        <is>
          <t>Bergvik skog väst AB</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57105-2023</t>
        </is>
      </c>
      <c r="B12445" s="1" t="n">
        <v>45245</v>
      </c>
      <c r="C12445" s="1" t="n">
        <v>45736</v>
      </c>
      <c r="D12445" t="inlineStr">
        <is>
          <t>VÄRMLANDS LÄN</t>
        </is>
      </c>
      <c r="E12445" t="inlineStr">
        <is>
          <t>KIL</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57113-2023</t>
        </is>
      </c>
      <c r="B12446" s="1" t="n">
        <v>45245</v>
      </c>
      <c r="C12446" s="1" t="n">
        <v>45736</v>
      </c>
      <c r="D12446" t="inlineStr">
        <is>
          <t>VÄRMLANDS LÄN</t>
        </is>
      </c>
      <c r="E12446" t="inlineStr">
        <is>
          <t>EDA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57117-2023</t>
        </is>
      </c>
      <c r="B12447" s="1" t="n">
        <v>45245</v>
      </c>
      <c r="C12447" s="1" t="n">
        <v>45736</v>
      </c>
      <c r="D12447" t="inlineStr">
        <is>
          <t>VÄRMLANDS LÄN</t>
        </is>
      </c>
      <c r="E12447" t="inlineStr">
        <is>
          <t>TORSBY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57121-2023</t>
        </is>
      </c>
      <c r="B12448" s="1" t="n">
        <v>45245</v>
      </c>
      <c r="C12448" s="1" t="n">
        <v>45736</v>
      </c>
      <c r="D12448" t="inlineStr">
        <is>
          <t>VÄRMLANDS LÄN</t>
        </is>
      </c>
      <c r="E12448" t="inlineStr">
        <is>
          <t>EDA</t>
        </is>
      </c>
      <c r="F12448" t="inlineStr">
        <is>
          <t>Övriga Aktiebolag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57131-2023</t>
        </is>
      </c>
      <c r="B12449" s="1" t="n">
        <v>45245</v>
      </c>
      <c r="C12449" s="1" t="n">
        <v>45736</v>
      </c>
      <c r="D12449" t="inlineStr">
        <is>
          <t>VÄRMLANDS LÄN</t>
        </is>
      </c>
      <c r="E12449" t="inlineStr">
        <is>
          <t>ARVIKA</t>
        </is>
      </c>
      <c r="F12449" t="inlineStr">
        <is>
          <t>Bergvik skog väst AB</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57136-2023</t>
        </is>
      </c>
      <c r="B12450" s="1" t="n">
        <v>45245</v>
      </c>
      <c r="C12450" s="1" t="n">
        <v>45736</v>
      </c>
      <c r="D12450" t="inlineStr">
        <is>
          <t>VÄRMLANDS LÄN</t>
        </is>
      </c>
      <c r="E12450" t="inlineStr">
        <is>
          <t>EDA</t>
        </is>
      </c>
      <c r="F12450" t="inlineStr">
        <is>
          <t>Övriga Aktiebolag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57143-2023</t>
        </is>
      </c>
      <c r="B12451" s="1" t="n">
        <v>45245</v>
      </c>
      <c r="C12451" s="1" t="n">
        <v>45736</v>
      </c>
      <c r="D12451" t="inlineStr">
        <is>
          <t>VÄRMLANDS LÄN</t>
        </is>
      </c>
      <c r="E12451" t="inlineStr">
        <is>
          <t>TORSBY</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57151-2023</t>
        </is>
      </c>
      <c r="B12452" s="1" t="n">
        <v>45245</v>
      </c>
      <c r="C12452" s="1" t="n">
        <v>45736</v>
      </c>
      <c r="D12452" t="inlineStr">
        <is>
          <t>VÄRMLANDS LÄN</t>
        </is>
      </c>
      <c r="E12452" t="inlineStr">
        <is>
          <t>KIL</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57233-2023</t>
        </is>
      </c>
      <c r="B12453" s="1" t="n">
        <v>45245</v>
      </c>
      <c r="C12453" s="1" t="n">
        <v>45736</v>
      </c>
      <c r="D12453" t="inlineStr">
        <is>
          <t>VÄRMLANDS LÄN</t>
        </is>
      </c>
      <c r="E12453" t="inlineStr">
        <is>
          <t>GRUMS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57244-2023</t>
        </is>
      </c>
      <c r="B12454" s="1" t="n">
        <v>45245</v>
      </c>
      <c r="C12454" s="1" t="n">
        <v>45736</v>
      </c>
      <c r="D12454" t="inlineStr">
        <is>
          <t>VÄRMLANDS LÄN</t>
        </is>
      </c>
      <c r="E12454" t="inlineStr">
        <is>
          <t>FILIPSTAD</t>
        </is>
      </c>
      <c r="F12454" t="inlineStr">
        <is>
          <t>Bergvik skog väst AB</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57306-2023</t>
        </is>
      </c>
      <c r="B12455" s="1" t="n">
        <v>45245</v>
      </c>
      <c r="C12455" s="1" t="n">
        <v>45736</v>
      </c>
      <c r="D12455" t="inlineStr">
        <is>
          <t>VÄRMLANDS LÄN</t>
        </is>
      </c>
      <c r="E12455" t="inlineStr">
        <is>
          <t>ÅRJÄNG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57345-2023</t>
        </is>
      </c>
      <c r="B12456" s="1" t="n">
        <v>45245</v>
      </c>
      <c r="C12456" s="1" t="n">
        <v>45736</v>
      </c>
      <c r="D12456" t="inlineStr">
        <is>
          <t>VÄRMLANDS LÄN</t>
        </is>
      </c>
      <c r="E12456" t="inlineStr">
        <is>
          <t>TORSBY</t>
        </is>
      </c>
      <c r="F12456" t="inlineStr">
        <is>
          <t>Bergvik skog väst AB</t>
        </is>
      </c>
      <c r="G12456" t="n">
        <v>14.6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57392-2023</t>
        </is>
      </c>
      <c r="B12457" s="1" t="n">
        <v>45245</v>
      </c>
      <c r="C12457" s="1" t="n">
        <v>45736</v>
      </c>
      <c r="D12457" t="inlineStr">
        <is>
          <t>VÄRMLANDS LÄN</t>
        </is>
      </c>
      <c r="E12457" t="inlineStr">
        <is>
          <t>SUNNE</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57112-2023</t>
        </is>
      </c>
      <c r="B12458" s="1" t="n">
        <v>45245</v>
      </c>
      <c r="C12458" s="1" t="n">
        <v>45736</v>
      </c>
      <c r="D12458" t="inlineStr">
        <is>
          <t>VÄRMLANDS LÄN</t>
        </is>
      </c>
      <c r="E12458" t="inlineStr">
        <is>
          <t>EDA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57120-2023</t>
        </is>
      </c>
      <c r="B12459" s="1" t="n">
        <v>45245</v>
      </c>
      <c r="C12459" s="1" t="n">
        <v>45736</v>
      </c>
      <c r="D12459" t="inlineStr">
        <is>
          <t>VÄRMLANDS LÄN</t>
        </is>
      </c>
      <c r="E12459" t="inlineStr">
        <is>
          <t>KIL</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57125-2023</t>
        </is>
      </c>
      <c r="B12460" s="1" t="n">
        <v>45245</v>
      </c>
      <c r="C12460" s="1" t="n">
        <v>45736</v>
      </c>
      <c r="D12460" t="inlineStr">
        <is>
          <t>VÄRMLANDS LÄN</t>
        </is>
      </c>
      <c r="E12460" t="inlineStr">
        <is>
          <t>EDA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57135-2023</t>
        </is>
      </c>
      <c r="B12461" s="1" t="n">
        <v>45245</v>
      </c>
      <c r="C12461" s="1" t="n">
        <v>45736</v>
      </c>
      <c r="D12461" t="inlineStr">
        <is>
          <t>VÄRMLANDS LÄN</t>
        </is>
      </c>
      <c r="E12461" t="inlineStr">
        <is>
          <t>TORSBY</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57164-2023</t>
        </is>
      </c>
      <c r="B12462" s="1" t="n">
        <v>45245</v>
      </c>
      <c r="C12462" s="1" t="n">
        <v>45736</v>
      </c>
      <c r="D12462" t="inlineStr">
        <is>
          <t>VÄRMLANDS LÄN</t>
        </is>
      </c>
      <c r="E12462" t="inlineStr">
        <is>
          <t>HAGFORS</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57199-2023</t>
        </is>
      </c>
      <c r="B12463" s="1" t="n">
        <v>45245</v>
      </c>
      <c r="C12463" s="1" t="n">
        <v>45736</v>
      </c>
      <c r="D12463" t="inlineStr">
        <is>
          <t>VÄRMLANDS LÄN</t>
        </is>
      </c>
      <c r="E12463" t="inlineStr">
        <is>
          <t>ARVIKA</t>
        </is>
      </c>
      <c r="F12463" t="inlineStr">
        <is>
          <t>Bergvik skog väst AB</t>
        </is>
      </c>
      <c r="G12463" t="n">
        <v>7.5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57218-2023</t>
        </is>
      </c>
      <c r="B12464" s="1" t="n">
        <v>45245</v>
      </c>
      <c r="C12464" s="1" t="n">
        <v>45736</v>
      </c>
      <c r="D12464" t="inlineStr">
        <is>
          <t>VÄRMLANDS LÄN</t>
        </is>
      </c>
      <c r="E12464" t="inlineStr">
        <is>
          <t>FILIPSTAD</t>
        </is>
      </c>
      <c r="F12464" t="inlineStr">
        <is>
          <t>Bergvik skog väst AB</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57132-2023</t>
        </is>
      </c>
      <c r="B12465" s="1" t="n">
        <v>45245</v>
      </c>
      <c r="C12465" s="1" t="n">
        <v>45736</v>
      </c>
      <c r="D12465" t="inlineStr">
        <is>
          <t>VÄRMLANDS LÄN</t>
        </is>
      </c>
      <c r="E12465" t="inlineStr">
        <is>
          <t>EDA</t>
        </is>
      </c>
      <c r="F12465" t="inlineStr">
        <is>
          <t>Övriga Aktiebolag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57138-2023</t>
        </is>
      </c>
      <c r="B12466" s="1" t="n">
        <v>45245</v>
      </c>
      <c r="C12466" s="1" t="n">
        <v>45736</v>
      </c>
      <c r="D12466" t="inlineStr">
        <is>
          <t>VÄRMLANDS LÄN</t>
        </is>
      </c>
      <c r="E12466" t="inlineStr">
        <is>
          <t>EDA</t>
        </is>
      </c>
      <c r="F12466" t="inlineStr">
        <is>
          <t>Övriga Aktiebolag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57148-2023</t>
        </is>
      </c>
      <c r="B12467" s="1" t="n">
        <v>45245</v>
      </c>
      <c r="C12467" s="1" t="n">
        <v>45736</v>
      </c>
      <c r="D12467" t="inlineStr">
        <is>
          <t>VÄRMLANDS LÄN</t>
        </is>
      </c>
      <c r="E12467" t="inlineStr">
        <is>
          <t>ÅRJÄNG</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57237-2023</t>
        </is>
      </c>
      <c r="B12468" s="1" t="n">
        <v>45245</v>
      </c>
      <c r="C12468" s="1" t="n">
        <v>45736</v>
      </c>
      <c r="D12468" t="inlineStr">
        <is>
          <t>VÄRMLANDS LÄN</t>
        </is>
      </c>
      <c r="E12468" t="inlineStr">
        <is>
          <t>GRUMS</t>
        </is>
      </c>
      <c r="G12468" t="n">
        <v>18.2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57248-2023</t>
        </is>
      </c>
      <c r="B12469" s="1" t="n">
        <v>45245</v>
      </c>
      <c r="C12469" s="1" t="n">
        <v>45736</v>
      </c>
      <c r="D12469" t="inlineStr">
        <is>
          <t>VÄRMLANDS LÄN</t>
        </is>
      </c>
      <c r="E12469" t="inlineStr">
        <is>
          <t>KIL</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57115-2023</t>
        </is>
      </c>
      <c r="B12470" s="1" t="n">
        <v>45245</v>
      </c>
      <c r="C12470" s="1" t="n">
        <v>45736</v>
      </c>
      <c r="D12470" t="inlineStr">
        <is>
          <t>VÄRMLANDS LÄN</t>
        </is>
      </c>
      <c r="E12470" t="inlineStr">
        <is>
          <t>EDA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57124-2023</t>
        </is>
      </c>
      <c r="B12471" s="1" t="n">
        <v>45245</v>
      </c>
      <c r="C12471" s="1" t="n">
        <v>45736</v>
      </c>
      <c r="D12471" t="inlineStr">
        <is>
          <t>VÄRMLANDS LÄN</t>
        </is>
      </c>
      <c r="E12471" t="inlineStr">
        <is>
          <t>KIL</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57189-2023</t>
        </is>
      </c>
      <c r="B12472" s="1" t="n">
        <v>45245</v>
      </c>
      <c r="C12472" s="1" t="n">
        <v>45736</v>
      </c>
      <c r="D12472" t="inlineStr">
        <is>
          <t>VÄRMLANDS LÄN</t>
        </is>
      </c>
      <c r="E12472" t="inlineStr">
        <is>
          <t>FILIPSTAD</t>
        </is>
      </c>
      <c r="F12472" t="inlineStr">
        <is>
          <t>Bergvik skog väst AB</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57212-2023</t>
        </is>
      </c>
      <c r="B12473" s="1" t="n">
        <v>45245</v>
      </c>
      <c r="C12473" s="1" t="n">
        <v>45736</v>
      </c>
      <c r="D12473" t="inlineStr">
        <is>
          <t>VÄRMLANDS LÄN</t>
        </is>
      </c>
      <c r="E12473" t="inlineStr">
        <is>
          <t>FILIPSTAD</t>
        </is>
      </c>
      <c r="F12473" t="inlineStr">
        <is>
          <t>Bergvik skog väst AB</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57216-2023</t>
        </is>
      </c>
      <c r="B12474" s="1" t="n">
        <v>45245</v>
      </c>
      <c r="C12474" s="1" t="n">
        <v>45736</v>
      </c>
      <c r="D12474" t="inlineStr">
        <is>
          <t>VÄRMLANDS LÄN</t>
        </is>
      </c>
      <c r="E12474" t="inlineStr">
        <is>
          <t>TORSBY</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57221-2023</t>
        </is>
      </c>
      <c r="B12475" s="1" t="n">
        <v>45245</v>
      </c>
      <c r="C12475" s="1" t="n">
        <v>45736</v>
      </c>
      <c r="D12475" t="inlineStr">
        <is>
          <t>VÄRMLANDS LÄN</t>
        </is>
      </c>
      <c r="E12475" t="inlineStr">
        <is>
          <t>EDA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57236-2023</t>
        </is>
      </c>
      <c r="B12476" s="1" t="n">
        <v>45245</v>
      </c>
      <c r="C12476" s="1" t="n">
        <v>45736</v>
      </c>
      <c r="D12476" t="inlineStr">
        <is>
          <t>VÄRMLANDS LÄN</t>
        </is>
      </c>
      <c r="E12476" t="inlineStr">
        <is>
          <t>GRUMS</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57247-2023</t>
        </is>
      </c>
      <c r="B12477" s="1" t="n">
        <v>45245</v>
      </c>
      <c r="C12477" s="1" t="n">
        <v>45736</v>
      </c>
      <c r="D12477" t="inlineStr">
        <is>
          <t>VÄRMLANDS LÄN</t>
        </is>
      </c>
      <c r="E12477" t="inlineStr">
        <is>
          <t>FILIPSTAD</t>
        </is>
      </c>
      <c r="F12477" t="inlineStr">
        <is>
          <t>Bergvik skog väst AB</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57276-2023</t>
        </is>
      </c>
      <c r="B12478" s="1" t="n">
        <v>45245</v>
      </c>
      <c r="C12478" s="1" t="n">
        <v>45736</v>
      </c>
      <c r="D12478" t="inlineStr">
        <is>
          <t>VÄRMLANDS LÄN</t>
        </is>
      </c>
      <c r="E12478" t="inlineStr">
        <is>
          <t>HAGFORS</t>
        </is>
      </c>
      <c r="F12478" t="inlineStr">
        <is>
          <t>Bergvik skog väst AB</t>
        </is>
      </c>
      <c r="G12478" t="n">
        <v>6.4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57241-2023</t>
        </is>
      </c>
      <c r="B12479" s="1" t="n">
        <v>45245</v>
      </c>
      <c r="C12479" s="1" t="n">
        <v>45736</v>
      </c>
      <c r="D12479" t="inlineStr">
        <is>
          <t>VÄRMLANDS LÄN</t>
        </is>
      </c>
      <c r="E12479" t="inlineStr">
        <is>
          <t>HAGFORS</t>
        </is>
      </c>
      <c r="F12479" t="inlineStr">
        <is>
          <t>Bergvik skog väst AB</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57321-2023</t>
        </is>
      </c>
      <c r="B12480" s="1" t="n">
        <v>45245</v>
      </c>
      <c r="C12480" s="1" t="n">
        <v>45736</v>
      </c>
      <c r="D12480" t="inlineStr">
        <is>
          <t>VÄRMLANDS LÄN</t>
        </is>
      </c>
      <c r="E12480" t="inlineStr">
        <is>
          <t>SUNNE</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57334-2023</t>
        </is>
      </c>
      <c r="B12481" s="1" t="n">
        <v>45245</v>
      </c>
      <c r="C12481" s="1" t="n">
        <v>45736</v>
      </c>
      <c r="D12481" t="inlineStr">
        <is>
          <t>VÄRMLANDS LÄN</t>
        </is>
      </c>
      <c r="E12481" t="inlineStr">
        <is>
          <t>SUNNE</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57298-2023</t>
        </is>
      </c>
      <c r="B12482" s="1" t="n">
        <v>45245</v>
      </c>
      <c r="C12482" s="1" t="n">
        <v>45736</v>
      </c>
      <c r="D12482" t="inlineStr">
        <is>
          <t>VÄRMLANDS LÄN</t>
        </is>
      </c>
      <c r="E12482" t="inlineStr">
        <is>
          <t>ÅRJÄNG</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58141-2023</t>
        </is>
      </c>
      <c r="B12483" s="1" t="n">
        <v>45245</v>
      </c>
      <c r="C12483" s="1" t="n">
        <v>45736</v>
      </c>
      <c r="D12483" t="inlineStr">
        <is>
          <t>VÄRMLANDS LÄN</t>
        </is>
      </c>
      <c r="E12483" t="inlineStr">
        <is>
          <t>ÅRJÄNG</t>
        </is>
      </c>
      <c r="G12483" t="n">
        <v>6.2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58259-2023</t>
        </is>
      </c>
      <c r="B12484" s="1" t="n">
        <v>45245</v>
      </c>
      <c r="C12484" s="1" t="n">
        <v>45736</v>
      </c>
      <c r="D12484" t="inlineStr">
        <is>
          <t>VÄRMLANDS LÄN</t>
        </is>
      </c>
      <c r="E12484" t="inlineStr">
        <is>
          <t>HAGFORS</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58220-2023</t>
        </is>
      </c>
      <c r="B12485" s="1" t="n">
        <v>45245</v>
      </c>
      <c r="C12485" s="1" t="n">
        <v>45736</v>
      </c>
      <c r="D12485" t="inlineStr">
        <is>
          <t>VÄRMLANDS LÄN</t>
        </is>
      </c>
      <c r="E12485" t="inlineStr">
        <is>
          <t>ARVIKA</t>
        </is>
      </c>
      <c r="F12485" t="inlineStr">
        <is>
          <t>Övriga Aktiebolag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58254-2023</t>
        </is>
      </c>
      <c r="B12486" s="1" t="n">
        <v>45245</v>
      </c>
      <c r="C12486" s="1" t="n">
        <v>45736</v>
      </c>
      <c r="D12486" t="inlineStr">
        <is>
          <t>VÄRMLANDS LÄN</t>
        </is>
      </c>
      <c r="E12486" t="inlineStr">
        <is>
          <t>HAGFORS</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58242-2023</t>
        </is>
      </c>
      <c r="B12487" s="1" t="n">
        <v>45245</v>
      </c>
      <c r="C12487" s="1" t="n">
        <v>45736</v>
      </c>
      <c r="D12487" t="inlineStr">
        <is>
          <t>VÄRMLANDS LÄN</t>
        </is>
      </c>
      <c r="E12487" t="inlineStr">
        <is>
          <t>HAGFORS</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58347-2023</t>
        </is>
      </c>
      <c r="B12488" s="1" t="n">
        <v>45245</v>
      </c>
      <c r="C12488" s="1" t="n">
        <v>45736</v>
      </c>
      <c r="D12488" t="inlineStr">
        <is>
          <t>VÄRMLANDS LÄN</t>
        </is>
      </c>
      <c r="E12488" t="inlineStr">
        <is>
          <t>ÅRJÄNG</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58352-2023</t>
        </is>
      </c>
      <c r="B12489" s="1" t="n">
        <v>45245</v>
      </c>
      <c r="C12489" s="1" t="n">
        <v>45736</v>
      </c>
      <c r="D12489" t="inlineStr">
        <is>
          <t>VÄRMLANDS LÄN</t>
        </is>
      </c>
      <c r="E12489" t="inlineStr">
        <is>
          <t>ÅRJÄNG</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58391-2023</t>
        </is>
      </c>
      <c r="B12490" s="1" t="n">
        <v>45245</v>
      </c>
      <c r="C12490" s="1" t="n">
        <v>45736</v>
      </c>
      <c r="D12490" t="inlineStr">
        <is>
          <t>VÄRMLANDS LÄN</t>
        </is>
      </c>
      <c r="E12490" t="inlineStr">
        <is>
          <t>ARVIKA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58399-2023</t>
        </is>
      </c>
      <c r="B12491" s="1" t="n">
        <v>45245</v>
      </c>
      <c r="C12491" s="1" t="n">
        <v>45736</v>
      </c>
      <c r="D12491" t="inlineStr">
        <is>
          <t>VÄRMLANDS LÄN</t>
        </is>
      </c>
      <c r="E12491" t="inlineStr">
        <is>
          <t>ARVIKA</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57457-2023</t>
        </is>
      </c>
      <c r="B12492" s="1" t="n">
        <v>45246</v>
      </c>
      <c r="C12492" s="1" t="n">
        <v>45736</v>
      </c>
      <c r="D12492" t="inlineStr">
        <is>
          <t>VÄRMLANDS LÄN</t>
        </is>
      </c>
      <c r="E12492" t="inlineStr">
        <is>
          <t>ARVIKA</t>
        </is>
      </c>
      <c r="F12492" t="inlineStr">
        <is>
          <t>Bergvik skog väst AB</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57506-2023</t>
        </is>
      </c>
      <c r="B12493" s="1" t="n">
        <v>45246</v>
      </c>
      <c r="C12493" s="1" t="n">
        <v>45736</v>
      </c>
      <c r="D12493" t="inlineStr">
        <is>
          <t>VÄRMLANDS LÄN</t>
        </is>
      </c>
      <c r="E12493" t="inlineStr">
        <is>
          <t>FILIPSTAD</t>
        </is>
      </c>
      <c r="F12493" t="inlineStr">
        <is>
          <t>Bergvik skog väst AB</t>
        </is>
      </c>
      <c r="G12493" t="n">
        <v>8.300000000000001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57517-2023</t>
        </is>
      </c>
      <c r="B12494" s="1" t="n">
        <v>45246</v>
      </c>
      <c r="C12494" s="1" t="n">
        <v>45736</v>
      </c>
      <c r="D12494" t="inlineStr">
        <is>
          <t>VÄRMLANDS LÄN</t>
        </is>
      </c>
      <c r="E12494" t="inlineStr">
        <is>
          <t>FILIPSTAD</t>
        </is>
      </c>
      <c r="F12494" t="inlineStr">
        <is>
          <t>Bergvik skog väst AB</t>
        </is>
      </c>
      <c r="G12494" t="n">
        <v>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57538-2023</t>
        </is>
      </c>
      <c r="B12495" s="1" t="n">
        <v>45246</v>
      </c>
      <c r="C12495" s="1" t="n">
        <v>45736</v>
      </c>
      <c r="D12495" t="inlineStr">
        <is>
          <t>VÄRMLANDS LÄN</t>
        </is>
      </c>
      <c r="E12495" t="inlineStr">
        <is>
          <t>TORSBY</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57547-2023</t>
        </is>
      </c>
      <c r="B12496" s="1" t="n">
        <v>45246</v>
      </c>
      <c r="C12496" s="1" t="n">
        <v>45736</v>
      </c>
      <c r="D12496" t="inlineStr">
        <is>
          <t>VÄRMLANDS LÄN</t>
        </is>
      </c>
      <c r="E12496" t="inlineStr">
        <is>
          <t>TORSBY</t>
        </is>
      </c>
      <c r="F12496" t="inlineStr">
        <is>
          <t>Bergvik skog väst AB</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57565-2023</t>
        </is>
      </c>
      <c r="B12497" s="1" t="n">
        <v>45246</v>
      </c>
      <c r="C12497" s="1" t="n">
        <v>45736</v>
      </c>
      <c r="D12497" t="inlineStr">
        <is>
          <t>VÄRMLANDS LÄN</t>
        </is>
      </c>
      <c r="E12497" t="inlineStr">
        <is>
          <t>KRISTINEHAMN</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57569-2023</t>
        </is>
      </c>
      <c r="B12498" s="1" t="n">
        <v>45246</v>
      </c>
      <c r="C12498" s="1" t="n">
        <v>45736</v>
      </c>
      <c r="D12498" t="inlineStr">
        <is>
          <t>VÄRMLANDS LÄN</t>
        </is>
      </c>
      <c r="E12498" t="inlineStr">
        <is>
          <t>TORSBY</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57577-2023</t>
        </is>
      </c>
      <c r="B12499" s="1" t="n">
        <v>45246</v>
      </c>
      <c r="C12499" s="1" t="n">
        <v>45736</v>
      </c>
      <c r="D12499" t="inlineStr">
        <is>
          <t>VÄRMLANDS LÄN</t>
        </is>
      </c>
      <c r="E12499" t="inlineStr">
        <is>
          <t>SÄFFLE</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57627-2023</t>
        </is>
      </c>
      <c r="B12500" s="1" t="n">
        <v>45246</v>
      </c>
      <c r="C12500" s="1" t="n">
        <v>45736</v>
      </c>
      <c r="D12500" t="inlineStr">
        <is>
          <t>VÄRMLANDS LÄN</t>
        </is>
      </c>
      <c r="E12500" t="inlineStr">
        <is>
          <t>KARLSTAD</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57522-2023</t>
        </is>
      </c>
      <c r="B12501" s="1" t="n">
        <v>45246</v>
      </c>
      <c r="C12501" s="1" t="n">
        <v>45736</v>
      </c>
      <c r="D12501" t="inlineStr">
        <is>
          <t>VÄRMLANDS LÄN</t>
        </is>
      </c>
      <c r="E12501" t="inlineStr">
        <is>
          <t>FILIPSTAD</t>
        </is>
      </c>
      <c r="F12501" t="inlineStr">
        <is>
          <t>Bergvik skog väst AB</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57643-2023</t>
        </is>
      </c>
      <c r="B12502" s="1" t="n">
        <v>45246</v>
      </c>
      <c r="C12502" s="1" t="n">
        <v>45736</v>
      </c>
      <c r="D12502" t="inlineStr">
        <is>
          <t>VÄRMLANDS LÄN</t>
        </is>
      </c>
      <c r="E12502" t="inlineStr">
        <is>
          <t>FILIPSTAD</t>
        </is>
      </c>
      <c r="F12502" t="inlineStr">
        <is>
          <t>Bergvik skog väst AB</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57647-2023</t>
        </is>
      </c>
      <c r="B12503" s="1" t="n">
        <v>45246</v>
      </c>
      <c r="C12503" s="1" t="n">
        <v>45736</v>
      </c>
      <c r="D12503" t="inlineStr">
        <is>
          <t>VÄRMLANDS LÄN</t>
        </is>
      </c>
      <c r="E12503" t="inlineStr">
        <is>
          <t>TORSBY</t>
        </is>
      </c>
      <c r="G12503" t="n">
        <v>10.3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57535-2023</t>
        </is>
      </c>
      <c r="B12504" s="1" t="n">
        <v>45246</v>
      </c>
      <c r="C12504" s="1" t="n">
        <v>45736</v>
      </c>
      <c r="D12504" t="inlineStr">
        <is>
          <t>VÄRMLANDS LÄN</t>
        </is>
      </c>
      <c r="E12504" t="inlineStr">
        <is>
          <t>FILIPSTAD</t>
        </is>
      </c>
      <c r="F12504" t="inlineStr">
        <is>
          <t>Bergvik skog väst AB</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57544-2023</t>
        </is>
      </c>
      <c r="B12505" s="1" t="n">
        <v>45246</v>
      </c>
      <c r="C12505" s="1" t="n">
        <v>45736</v>
      </c>
      <c r="D12505" t="inlineStr">
        <is>
          <t>VÄRMLANDS LÄN</t>
        </is>
      </c>
      <c r="E12505" t="inlineStr">
        <is>
          <t>SÄFFLE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57550-2023</t>
        </is>
      </c>
      <c r="B12506" s="1" t="n">
        <v>45246</v>
      </c>
      <c r="C12506" s="1" t="n">
        <v>45736</v>
      </c>
      <c r="D12506" t="inlineStr">
        <is>
          <t>VÄRMLANDS LÄN</t>
        </is>
      </c>
      <c r="E12506" t="inlineStr">
        <is>
          <t>HAGFORS</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57595-2023</t>
        </is>
      </c>
      <c r="B12507" s="1" t="n">
        <v>45246</v>
      </c>
      <c r="C12507" s="1" t="n">
        <v>45736</v>
      </c>
      <c r="D12507" t="inlineStr">
        <is>
          <t>VÄRMLANDS LÄN</t>
        </is>
      </c>
      <c r="E12507" t="inlineStr">
        <is>
          <t>FILIPSTAD</t>
        </is>
      </c>
      <c r="F12507" t="inlineStr">
        <is>
          <t>Bergvik skog väst AB</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57601-2023</t>
        </is>
      </c>
      <c r="B12508" s="1" t="n">
        <v>45246</v>
      </c>
      <c r="C12508" s="1" t="n">
        <v>45736</v>
      </c>
      <c r="D12508" t="inlineStr">
        <is>
          <t>VÄRMLANDS LÄN</t>
        </is>
      </c>
      <c r="E12508" t="inlineStr">
        <is>
          <t>FILIPSTAD</t>
        </is>
      </c>
      <c r="F12508" t="inlineStr">
        <is>
          <t>Bergvik skog väst AB</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57528-2023</t>
        </is>
      </c>
      <c r="B12509" s="1" t="n">
        <v>45246</v>
      </c>
      <c r="C12509" s="1" t="n">
        <v>45736</v>
      </c>
      <c r="D12509" t="inlineStr">
        <is>
          <t>VÄRMLANDS LÄN</t>
        </is>
      </c>
      <c r="E12509" t="inlineStr">
        <is>
          <t>FILIPSTAD</t>
        </is>
      </c>
      <c r="F12509" t="inlineStr">
        <is>
          <t>Bergvik skog väst AB</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57588-2023</t>
        </is>
      </c>
      <c r="B12510" s="1" t="n">
        <v>45246</v>
      </c>
      <c r="C12510" s="1" t="n">
        <v>45736</v>
      </c>
      <c r="D12510" t="inlineStr">
        <is>
          <t>VÄRMLANDS LÄN</t>
        </is>
      </c>
      <c r="E12510" t="inlineStr">
        <is>
          <t>FILIPSTAD</t>
        </is>
      </c>
      <c r="F12510" t="inlineStr">
        <is>
          <t>Bergvik skog väst AB</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57599-2023</t>
        </is>
      </c>
      <c r="B12511" s="1" t="n">
        <v>45246</v>
      </c>
      <c r="C12511" s="1" t="n">
        <v>45736</v>
      </c>
      <c r="D12511" t="inlineStr">
        <is>
          <t>VÄRMLANDS LÄN</t>
        </is>
      </c>
      <c r="E12511" t="inlineStr">
        <is>
          <t>EDA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57610-2023</t>
        </is>
      </c>
      <c r="B12512" s="1" t="n">
        <v>45246</v>
      </c>
      <c r="C12512" s="1" t="n">
        <v>45736</v>
      </c>
      <c r="D12512" t="inlineStr">
        <is>
          <t>VÄRMLANDS LÄN</t>
        </is>
      </c>
      <c r="E12512" t="inlineStr">
        <is>
          <t>FILIPSTAD</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57615-2023</t>
        </is>
      </c>
      <c r="B12513" s="1" t="n">
        <v>45246</v>
      </c>
      <c r="C12513" s="1" t="n">
        <v>45736</v>
      </c>
      <c r="D12513" t="inlineStr">
        <is>
          <t>VÄRMLANDS LÄN</t>
        </is>
      </c>
      <c r="E12513" t="inlineStr">
        <is>
          <t>EDA</t>
        </is>
      </c>
      <c r="F12513" t="inlineStr">
        <is>
          <t>Bergvik skog väst AB</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57576-2023</t>
        </is>
      </c>
      <c r="B12514" s="1" t="n">
        <v>45246</v>
      </c>
      <c r="C12514" s="1" t="n">
        <v>45736</v>
      </c>
      <c r="D12514" t="inlineStr">
        <is>
          <t>VÄRMLANDS LÄN</t>
        </is>
      </c>
      <c r="E12514" t="inlineStr">
        <is>
          <t>FILIPSTAD</t>
        </is>
      </c>
      <c r="F12514" t="inlineStr">
        <is>
          <t>Bergvik skog väst AB</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57591-2023</t>
        </is>
      </c>
      <c r="B12515" s="1" t="n">
        <v>45246</v>
      </c>
      <c r="C12515" s="1" t="n">
        <v>45736</v>
      </c>
      <c r="D12515" t="inlineStr">
        <is>
          <t>VÄRMLANDS LÄN</t>
        </is>
      </c>
      <c r="E12515" t="inlineStr">
        <is>
          <t>FILIPSTAD</t>
        </is>
      </c>
      <c r="F12515" t="inlineStr">
        <is>
          <t>Bergvik skog väst AB</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57634-2023</t>
        </is>
      </c>
      <c r="B12516" s="1" t="n">
        <v>45246</v>
      </c>
      <c r="C12516" s="1" t="n">
        <v>45736</v>
      </c>
      <c r="D12516" t="inlineStr">
        <is>
          <t>VÄRMLANDS LÄN</t>
        </is>
      </c>
      <c r="E12516" t="inlineStr">
        <is>
          <t>FILIPSTAD</t>
        </is>
      </c>
      <c r="F12516" t="inlineStr">
        <is>
          <t>Bergvik skog väst AB</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57642-2023</t>
        </is>
      </c>
      <c r="B12517" s="1" t="n">
        <v>45246</v>
      </c>
      <c r="C12517" s="1" t="n">
        <v>45736</v>
      </c>
      <c r="D12517" t="inlineStr">
        <is>
          <t>VÄRMLANDS LÄN</t>
        </is>
      </c>
      <c r="E12517" t="inlineStr">
        <is>
          <t>TORSBY</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58491-2023</t>
        </is>
      </c>
      <c r="B12518" s="1" t="n">
        <v>45246</v>
      </c>
      <c r="C12518" s="1" t="n">
        <v>45736</v>
      </c>
      <c r="D12518" t="inlineStr">
        <is>
          <t>VÄRMLANDS LÄN</t>
        </is>
      </c>
      <c r="E12518" t="inlineStr">
        <is>
          <t>ÅRJÄNG</t>
        </is>
      </c>
      <c r="G12518" t="n">
        <v>11.4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58486-2023</t>
        </is>
      </c>
      <c r="B12519" s="1" t="n">
        <v>45246</v>
      </c>
      <c r="C12519" s="1" t="n">
        <v>45736</v>
      </c>
      <c r="D12519" t="inlineStr">
        <is>
          <t>VÄRMLANDS LÄN</t>
        </is>
      </c>
      <c r="E12519" t="inlineStr">
        <is>
          <t>ÅRJÄNG</t>
        </is>
      </c>
      <c r="G12519" t="n">
        <v>8.5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57896-2023</t>
        </is>
      </c>
      <c r="B12520" s="1" t="n">
        <v>45247</v>
      </c>
      <c r="C12520" s="1" t="n">
        <v>45736</v>
      </c>
      <c r="D12520" t="inlineStr">
        <is>
          <t>VÄRMLANDS LÄN</t>
        </is>
      </c>
      <c r="E12520" t="inlineStr">
        <is>
          <t>HAMMARÖ</t>
        </is>
      </c>
      <c r="F12520" t="inlineStr">
        <is>
          <t>Kommuner</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57921-2023</t>
        </is>
      </c>
      <c r="B12521" s="1" t="n">
        <v>45247</v>
      </c>
      <c r="C12521" s="1" t="n">
        <v>45736</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57893-2023</t>
        </is>
      </c>
      <c r="B12522" s="1" t="n">
        <v>45247</v>
      </c>
      <c r="C12522" s="1" t="n">
        <v>45736</v>
      </c>
      <c r="D12522" t="inlineStr">
        <is>
          <t>VÄRMLANDS LÄN</t>
        </is>
      </c>
      <c r="E12522" t="inlineStr">
        <is>
          <t>HAMMARÖ</t>
        </is>
      </c>
      <c r="F12522" t="inlineStr">
        <is>
          <t>Kommuner</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57998-2023</t>
        </is>
      </c>
      <c r="B12523" s="1" t="n">
        <v>45247</v>
      </c>
      <c r="C12523" s="1" t="n">
        <v>45736</v>
      </c>
      <c r="D12523" t="inlineStr">
        <is>
          <t>VÄRMLANDS LÄN</t>
        </is>
      </c>
      <c r="E12523" t="inlineStr">
        <is>
          <t>ARVIKA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57898-2023</t>
        </is>
      </c>
      <c r="B12524" s="1" t="n">
        <v>45247</v>
      </c>
      <c r="C12524" s="1" t="n">
        <v>45736</v>
      </c>
      <c r="D12524" t="inlineStr">
        <is>
          <t>VÄRMLANDS LÄN</t>
        </is>
      </c>
      <c r="E12524" t="inlineStr">
        <is>
          <t>SUNNE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57904-2023</t>
        </is>
      </c>
      <c r="B12525" s="1" t="n">
        <v>45247</v>
      </c>
      <c r="C12525" s="1" t="n">
        <v>45736</v>
      </c>
      <c r="D12525" t="inlineStr">
        <is>
          <t>VÄRMLANDS LÄN</t>
        </is>
      </c>
      <c r="E12525" t="inlineStr">
        <is>
          <t>EDA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58013-2023</t>
        </is>
      </c>
      <c r="B12526" s="1" t="n">
        <v>45247</v>
      </c>
      <c r="C12526" s="1" t="n">
        <v>45736</v>
      </c>
      <c r="D12526" t="inlineStr">
        <is>
          <t>VÄRMLANDS LÄN</t>
        </is>
      </c>
      <c r="E12526" t="inlineStr">
        <is>
          <t>TORSBY</t>
        </is>
      </c>
      <c r="F12526" t="inlineStr">
        <is>
          <t>Bergvik skog väst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57980-2023</t>
        </is>
      </c>
      <c r="B12527" s="1" t="n">
        <v>45247</v>
      </c>
      <c r="C12527" s="1" t="n">
        <v>45736</v>
      </c>
      <c r="D12527" t="inlineStr">
        <is>
          <t>VÄRMLANDS LÄN</t>
        </is>
      </c>
      <c r="E12527" t="inlineStr">
        <is>
          <t>TORSBY</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57990-2023</t>
        </is>
      </c>
      <c r="B12528" s="1" t="n">
        <v>45247</v>
      </c>
      <c r="C12528" s="1" t="n">
        <v>45736</v>
      </c>
      <c r="D12528" t="inlineStr">
        <is>
          <t>VÄRMLANDS LÄN</t>
        </is>
      </c>
      <c r="E12528" t="inlineStr">
        <is>
          <t>TORSBY</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58033-2023</t>
        </is>
      </c>
      <c r="B12529" s="1" t="n">
        <v>45247</v>
      </c>
      <c r="C12529" s="1" t="n">
        <v>45736</v>
      </c>
      <c r="D12529" t="inlineStr">
        <is>
          <t>VÄRMLANDS LÄN</t>
        </is>
      </c>
      <c r="E12529" t="inlineStr">
        <is>
          <t>KIL</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58026-2023</t>
        </is>
      </c>
      <c r="B12530" s="1" t="n">
        <v>45247</v>
      </c>
      <c r="C12530" s="1" t="n">
        <v>45736</v>
      </c>
      <c r="D12530" t="inlineStr">
        <is>
          <t>VÄRMLANDS LÄN</t>
        </is>
      </c>
      <c r="E12530" t="inlineStr">
        <is>
          <t>KIL</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58037-2023</t>
        </is>
      </c>
      <c r="B12531" s="1" t="n">
        <v>45247</v>
      </c>
      <c r="C12531" s="1" t="n">
        <v>45736</v>
      </c>
      <c r="D12531" t="inlineStr">
        <is>
          <t>VÄRMLANDS LÄN</t>
        </is>
      </c>
      <c r="E12531" t="inlineStr">
        <is>
          <t>TORSBY</t>
        </is>
      </c>
      <c r="F12531" t="inlineStr">
        <is>
          <t>Bergvik skog väst AB</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58600-2023</t>
        </is>
      </c>
      <c r="B12532" s="1" t="n">
        <v>45247</v>
      </c>
      <c r="C12532" s="1" t="n">
        <v>45736</v>
      </c>
      <c r="D12532" t="inlineStr">
        <is>
          <t>VÄRMLANDS LÄN</t>
        </is>
      </c>
      <c r="E12532" t="inlineStr">
        <is>
          <t>TORSBY</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58024-2023</t>
        </is>
      </c>
      <c r="B12533" s="1" t="n">
        <v>45247</v>
      </c>
      <c r="C12533" s="1" t="n">
        <v>45736</v>
      </c>
      <c r="D12533" t="inlineStr">
        <is>
          <t>VÄRMLANDS LÄN</t>
        </is>
      </c>
      <c r="E12533" t="inlineStr">
        <is>
          <t>ARVIKA</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58002-2023</t>
        </is>
      </c>
      <c r="B12534" s="1" t="n">
        <v>45247</v>
      </c>
      <c r="C12534" s="1" t="n">
        <v>45736</v>
      </c>
      <c r="D12534" t="inlineStr">
        <is>
          <t>VÄRMLANDS LÄN</t>
        </is>
      </c>
      <c r="E12534" t="inlineStr">
        <is>
          <t>ÅRJÄNG</t>
        </is>
      </c>
      <c r="G12534" t="n">
        <v>4.6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58116-2023</t>
        </is>
      </c>
      <c r="B12535" s="1" t="n">
        <v>45249</v>
      </c>
      <c r="C12535" s="1" t="n">
        <v>45736</v>
      </c>
      <c r="D12535" t="inlineStr">
        <is>
          <t>VÄRMLANDS LÄN</t>
        </is>
      </c>
      <c r="E12535" t="inlineStr">
        <is>
          <t>SÄFFLE</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58102-2023</t>
        </is>
      </c>
      <c r="B12536" s="1" t="n">
        <v>45249</v>
      </c>
      <c r="C12536" s="1" t="n">
        <v>45736</v>
      </c>
      <c r="D12536" t="inlineStr">
        <is>
          <t>VÄRMLANDS LÄN</t>
        </is>
      </c>
      <c r="E12536" t="inlineStr">
        <is>
          <t>SUNNE</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58147-2023</t>
        </is>
      </c>
      <c r="B12537" s="1" t="n">
        <v>45250</v>
      </c>
      <c r="C12537" s="1" t="n">
        <v>45736</v>
      </c>
      <c r="D12537" t="inlineStr">
        <is>
          <t>VÄRMLANDS LÄN</t>
        </is>
      </c>
      <c r="E12537" t="inlineStr">
        <is>
          <t>FILIPSTAD</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58156-2023</t>
        </is>
      </c>
      <c r="B12538" s="1" t="n">
        <v>45250</v>
      </c>
      <c r="C12538" s="1" t="n">
        <v>45736</v>
      </c>
      <c r="D12538" t="inlineStr">
        <is>
          <t>VÄRMLANDS LÄN</t>
        </is>
      </c>
      <c r="E12538" t="inlineStr">
        <is>
          <t>KRISTINEHAMN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58173-2023</t>
        </is>
      </c>
      <c r="B12539" s="1" t="n">
        <v>45250</v>
      </c>
      <c r="C12539" s="1" t="n">
        <v>45736</v>
      </c>
      <c r="D12539" t="inlineStr">
        <is>
          <t>VÄRMLANDS LÄN</t>
        </is>
      </c>
      <c r="E12539" t="inlineStr">
        <is>
          <t>ÅRJÄNG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58183-2023</t>
        </is>
      </c>
      <c r="B12540" s="1" t="n">
        <v>45250</v>
      </c>
      <c r="C12540" s="1" t="n">
        <v>45736</v>
      </c>
      <c r="D12540" t="inlineStr">
        <is>
          <t>VÄRMLANDS LÄN</t>
        </is>
      </c>
      <c r="E12540" t="inlineStr">
        <is>
          <t>FILIPSTAD</t>
        </is>
      </c>
      <c r="F12540" t="inlineStr">
        <is>
          <t>Kyrkan</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58150-2023</t>
        </is>
      </c>
      <c r="B12541" s="1" t="n">
        <v>45250</v>
      </c>
      <c r="C12541" s="1" t="n">
        <v>45736</v>
      </c>
      <c r="D12541" t="inlineStr">
        <is>
          <t>VÄRMLANDS LÄN</t>
        </is>
      </c>
      <c r="E12541" t="inlineStr">
        <is>
          <t>FILIPSTAD</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58185-2023</t>
        </is>
      </c>
      <c r="B12542" s="1" t="n">
        <v>45250</v>
      </c>
      <c r="C12542" s="1" t="n">
        <v>45736</v>
      </c>
      <c r="D12542" t="inlineStr">
        <is>
          <t>VÄRMLANDS LÄN</t>
        </is>
      </c>
      <c r="E12542" t="inlineStr">
        <is>
          <t>TORSBY</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58174-2023</t>
        </is>
      </c>
      <c r="B12543" s="1" t="n">
        <v>45250</v>
      </c>
      <c r="C12543" s="1" t="n">
        <v>45736</v>
      </c>
      <c r="D12543" t="inlineStr">
        <is>
          <t>VÄRMLANDS LÄN</t>
        </is>
      </c>
      <c r="E12543" t="inlineStr">
        <is>
          <t>EDA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58179-2023</t>
        </is>
      </c>
      <c r="B12544" s="1" t="n">
        <v>45250</v>
      </c>
      <c r="C12544" s="1" t="n">
        <v>45736</v>
      </c>
      <c r="D12544" t="inlineStr">
        <is>
          <t>VÄRMLANDS LÄN</t>
        </is>
      </c>
      <c r="E12544" t="inlineStr">
        <is>
          <t>EDA</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58386-2023</t>
        </is>
      </c>
      <c r="B12545" s="1" t="n">
        <v>45250</v>
      </c>
      <c r="C12545" s="1" t="n">
        <v>45736</v>
      </c>
      <c r="D12545" t="inlineStr">
        <is>
          <t>VÄRMLANDS LÄN</t>
        </is>
      </c>
      <c r="E12545" t="inlineStr">
        <is>
          <t>TORSBY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58430-2023</t>
        </is>
      </c>
      <c r="B12546" s="1" t="n">
        <v>45250</v>
      </c>
      <c r="C12546" s="1" t="n">
        <v>45736</v>
      </c>
      <c r="D12546" t="inlineStr">
        <is>
          <t>VÄRMLANDS LÄN</t>
        </is>
      </c>
      <c r="E12546" t="inlineStr">
        <is>
          <t>TORSBY</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58434-2023</t>
        </is>
      </c>
      <c r="B12547" s="1" t="n">
        <v>45250</v>
      </c>
      <c r="C12547" s="1" t="n">
        <v>45736</v>
      </c>
      <c r="D12547" t="inlineStr">
        <is>
          <t>VÄRMLANDS LÄN</t>
        </is>
      </c>
      <c r="E12547" t="inlineStr">
        <is>
          <t>ÅRJÄNG</t>
        </is>
      </c>
      <c r="F12547" t="inlineStr">
        <is>
          <t>Naturvårdsverket</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58438-2023</t>
        </is>
      </c>
      <c r="B12548" s="1" t="n">
        <v>45250</v>
      </c>
      <c r="C12548" s="1" t="n">
        <v>45736</v>
      </c>
      <c r="D12548" t="inlineStr">
        <is>
          <t>VÄRMLANDS LÄN</t>
        </is>
      </c>
      <c r="E12548" t="inlineStr">
        <is>
          <t>TORSBY</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58531-2023</t>
        </is>
      </c>
      <c r="B12549" s="1" t="n">
        <v>45250</v>
      </c>
      <c r="C12549" s="1" t="n">
        <v>45736</v>
      </c>
      <c r="D12549" t="inlineStr">
        <is>
          <t>VÄRMLANDS LÄN</t>
        </is>
      </c>
      <c r="E12549" t="inlineStr">
        <is>
          <t>SUNNE</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59034-2023</t>
        </is>
      </c>
      <c r="B12550" s="1" t="n">
        <v>45250</v>
      </c>
      <c r="C12550" s="1" t="n">
        <v>45736</v>
      </c>
      <c r="D12550" t="inlineStr">
        <is>
          <t>VÄRMLANDS LÄN</t>
        </is>
      </c>
      <c r="E12550" t="inlineStr">
        <is>
          <t>KIL</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58344-2023</t>
        </is>
      </c>
      <c r="B12551" s="1" t="n">
        <v>45250</v>
      </c>
      <c r="C12551" s="1" t="n">
        <v>45736</v>
      </c>
      <c r="D12551" t="inlineStr">
        <is>
          <t>VÄRMLANDS LÄN</t>
        </is>
      </c>
      <c r="E12551" t="inlineStr">
        <is>
          <t>EDA</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58394-2023</t>
        </is>
      </c>
      <c r="B12552" s="1" t="n">
        <v>45250</v>
      </c>
      <c r="C12552" s="1" t="n">
        <v>45736</v>
      </c>
      <c r="D12552" t="inlineStr">
        <is>
          <t>VÄRMLANDS LÄN</t>
        </is>
      </c>
      <c r="E12552" t="inlineStr">
        <is>
          <t>TORSBY</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58235-2023</t>
        </is>
      </c>
      <c r="B12553" s="1" t="n">
        <v>45250</v>
      </c>
      <c r="C12553" s="1" t="n">
        <v>45736</v>
      </c>
      <c r="D12553" t="inlineStr">
        <is>
          <t>VÄRMLANDS LÄN</t>
        </is>
      </c>
      <c r="E12553" t="inlineStr">
        <is>
          <t>TORSBY</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58429-2023</t>
        </is>
      </c>
      <c r="B12554" s="1" t="n">
        <v>45250</v>
      </c>
      <c r="C12554" s="1" t="n">
        <v>45736</v>
      </c>
      <c r="D12554" t="inlineStr">
        <is>
          <t>VÄRMLANDS LÄN</t>
        </is>
      </c>
      <c r="E12554" t="inlineStr">
        <is>
          <t>TORSBY</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58437-2023</t>
        </is>
      </c>
      <c r="B12555" s="1" t="n">
        <v>45250</v>
      </c>
      <c r="C12555" s="1" t="n">
        <v>45736</v>
      </c>
      <c r="D12555" t="inlineStr">
        <is>
          <t>VÄRMLANDS LÄN</t>
        </is>
      </c>
      <c r="E12555" t="inlineStr">
        <is>
          <t>HAGFORS</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58455-2023</t>
        </is>
      </c>
      <c r="B12556" s="1" t="n">
        <v>45250</v>
      </c>
      <c r="C12556" s="1" t="n">
        <v>45736</v>
      </c>
      <c r="D12556" t="inlineStr">
        <is>
          <t>VÄRMLANDS LÄN</t>
        </is>
      </c>
      <c r="E12556" t="inlineStr">
        <is>
          <t>ÅRJÄNG</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58268-2023</t>
        </is>
      </c>
      <c r="B12557" s="1" t="n">
        <v>45250</v>
      </c>
      <c r="C12557" s="1" t="n">
        <v>45736</v>
      </c>
      <c r="D12557" t="inlineStr">
        <is>
          <t>VÄRMLANDS LÄN</t>
        </is>
      </c>
      <c r="E12557" t="inlineStr">
        <is>
          <t>ARVIKA</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58276-2023</t>
        </is>
      </c>
      <c r="B12558" s="1" t="n">
        <v>45250</v>
      </c>
      <c r="C12558" s="1" t="n">
        <v>45736</v>
      </c>
      <c r="D12558" t="inlineStr">
        <is>
          <t>VÄRMLANDS LÄN</t>
        </is>
      </c>
      <c r="E12558" t="inlineStr">
        <is>
          <t>HAGFORS</t>
        </is>
      </c>
      <c r="F12558" t="inlineStr">
        <is>
          <t>Kommuner</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58307-2023</t>
        </is>
      </c>
      <c r="B12559" s="1" t="n">
        <v>45250</v>
      </c>
      <c r="C12559" s="1" t="n">
        <v>45736</v>
      </c>
      <c r="D12559" t="inlineStr">
        <is>
          <t>VÄRMLANDS LÄN</t>
        </is>
      </c>
      <c r="E12559" t="inlineStr">
        <is>
          <t>HAGFORS</t>
        </is>
      </c>
      <c r="F12559" t="inlineStr">
        <is>
          <t>Kommuner</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58312-2023</t>
        </is>
      </c>
      <c r="B12560" s="1" t="n">
        <v>45250</v>
      </c>
      <c r="C12560" s="1" t="n">
        <v>45736</v>
      </c>
      <c r="D12560" t="inlineStr">
        <is>
          <t>VÄRMLANDS LÄN</t>
        </is>
      </c>
      <c r="E12560" t="inlineStr">
        <is>
          <t>HAGFORS</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58518-2023</t>
        </is>
      </c>
      <c r="B12561" s="1" t="n">
        <v>45250</v>
      </c>
      <c r="C12561" s="1" t="n">
        <v>45736</v>
      </c>
      <c r="D12561" t="inlineStr">
        <is>
          <t>VÄRMLANDS LÄN</t>
        </is>
      </c>
      <c r="E12561" t="inlineStr">
        <is>
          <t>HAGFORS</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58378-2023</t>
        </is>
      </c>
      <c r="B12562" s="1" t="n">
        <v>45250</v>
      </c>
      <c r="C12562" s="1" t="n">
        <v>45736</v>
      </c>
      <c r="D12562" t="inlineStr">
        <is>
          <t>VÄRMLANDS LÄN</t>
        </is>
      </c>
      <c r="E12562" t="inlineStr">
        <is>
          <t>TORSBY</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58383-2023</t>
        </is>
      </c>
      <c r="B12563" s="1" t="n">
        <v>45250</v>
      </c>
      <c r="C12563" s="1" t="n">
        <v>45736</v>
      </c>
      <c r="D12563" t="inlineStr">
        <is>
          <t>VÄRMLANDS LÄN</t>
        </is>
      </c>
      <c r="E12563" t="inlineStr">
        <is>
          <t>TORSBY</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58428-2023</t>
        </is>
      </c>
      <c r="B12564" s="1" t="n">
        <v>45250</v>
      </c>
      <c r="C12564" s="1" t="n">
        <v>45736</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58436-2023</t>
        </is>
      </c>
      <c r="B12565" s="1" t="n">
        <v>45250</v>
      </c>
      <c r="C12565" s="1" t="n">
        <v>45736</v>
      </c>
      <c r="D12565" t="inlineStr">
        <is>
          <t>VÄRMLANDS LÄN</t>
        </is>
      </c>
      <c r="E12565" t="inlineStr">
        <is>
          <t>ÅRJÄNG</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58315-2023</t>
        </is>
      </c>
      <c r="B12566" s="1" t="n">
        <v>45250</v>
      </c>
      <c r="C12566" s="1" t="n">
        <v>45736</v>
      </c>
      <c r="D12566" t="inlineStr">
        <is>
          <t>VÄRMLANDS LÄN</t>
        </is>
      </c>
      <c r="E12566" t="inlineStr">
        <is>
          <t>MUNKFORS</t>
        </is>
      </c>
      <c r="F12566" t="inlineStr">
        <is>
          <t>Kyrkan</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58361-2023</t>
        </is>
      </c>
      <c r="B12567" s="1" t="n">
        <v>45250</v>
      </c>
      <c r="C12567" s="1" t="n">
        <v>45736</v>
      </c>
      <c r="D12567" t="inlineStr">
        <is>
          <t>VÄRMLANDS LÄN</t>
        </is>
      </c>
      <c r="E12567" t="inlineStr">
        <is>
          <t>SUNNE</t>
        </is>
      </c>
      <c r="G12567" t="n">
        <v>11.4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59027-2023</t>
        </is>
      </c>
      <c r="B12568" s="1" t="n">
        <v>45250</v>
      </c>
      <c r="C12568" s="1" t="n">
        <v>45736</v>
      </c>
      <c r="D12568" t="inlineStr">
        <is>
          <t>VÄRMLANDS LÄN</t>
        </is>
      </c>
      <c r="E12568" t="inlineStr">
        <is>
          <t>ARVIKA</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58423-2023</t>
        </is>
      </c>
      <c r="B12569" s="1" t="n">
        <v>45250</v>
      </c>
      <c r="C12569" s="1" t="n">
        <v>45736</v>
      </c>
      <c r="D12569" t="inlineStr">
        <is>
          <t>VÄRMLANDS LÄN</t>
        </is>
      </c>
      <c r="E12569" t="inlineStr">
        <is>
          <t>ARVIKA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58538-2023</t>
        </is>
      </c>
      <c r="B12570" s="1" t="n">
        <v>45251</v>
      </c>
      <c r="C12570" s="1" t="n">
        <v>45736</v>
      </c>
      <c r="D12570" t="inlineStr">
        <is>
          <t>VÄRMLANDS LÄN</t>
        </is>
      </c>
      <c r="E12570" t="inlineStr">
        <is>
          <t>ARVIKA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58520-2023</t>
        </is>
      </c>
      <c r="B12571" s="1" t="n">
        <v>45251</v>
      </c>
      <c r="C12571" s="1" t="n">
        <v>45736</v>
      </c>
      <c r="D12571" t="inlineStr">
        <is>
          <t>VÄRMLANDS LÄN</t>
        </is>
      </c>
      <c r="E12571" t="inlineStr">
        <is>
          <t>ARVIKA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58547-2023</t>
        </is>
      </c>
      <c r="B12572" s="1" t="n">
        <v>45251</v>
      </c>
      <c r="C12572" s="1" t="n">
        <v>45736</v>
      </c>
      <c r="D12572" t="inlineStr">
        <is>
          <t>VÄRMLANDS LÄN</t>
        </is>
      </c>
      <c r="E12572" t="inlineStr">
        <is>
          <t>ARVIKA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58554-2023</t>
        </is>
      </c>
      <c r="B12573" s="1" t="n">
        <v>45251</v>
      </c>
      <c r="C12573" s="1" t="n">
        <v>45736</v>
      </c>
      <c r="D12573" t="inlineStr">
        <is>
          <t>VÄRMLANDS LÄN</t>
        </is>
      </c>
      <c r="E12573" t="inlineStr">
        <is>
          <t>SUNNE</t>
        </is>
      </c>
      <c r="G12573" t="n">
        <v>14.5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58567-2023</t>
        </is>
      </c>
      <c r="B12574" s="1" t="n">
        <v>45251</v>
      </c>
      <c r="C12574" s="1" t="n">
        <v>45736</v>
      </c>
      <c r="D12574" t="inlineStr">
        <is>
          <t>VÄRMLANDS LÄN</t>
        </is>
      </c>
      <c r="E12574" t="inlineStr">
        <is>
          <t>ARVIKA</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58559-2023</t>
        </is>
      </c>
      <c r="B12575" s="1" t="n">
        <v>45251</v>
      </c>
      <c r="C12575" s="1" t="n">
        <v>45736</v>
      </c>
      <c r="D12575" t="inlineStr">
        <is>
          <t>VÄRMLANDS LÄN</t>
        </is>
      </c>
      <c r="E12575" t="inlineStr">
        <is>
          <t>ARVIKA</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58586-2023</t>
        </is>
      </c>
      <c r="B12576" s="1" t="n">
        <v>45251</v>
      </c>
      <c r="C12576" s="1" t="n">
        <v>45736</v>
      </c>
      <c r="D12576" t="inlineStr">
        <is>
          <t>VÄRMLANDS LÄN</t>
        </is>
      </c>
      <c r="E12576" t="inlineStr">
        <is>
          <t>ARVIKA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58591-2023</t>
        </is>
      </c>
      <c r="B12577" s="1" t="n">
        <v>45251</v>
      </c>
      <c r="C12577" s="1" t="n">
        <v>45736</v>
      </c>
      <c r="D12577" t="inlineStr">
        <is>
          <t>VÄRMLANDS LÄN</t>
        </is>
      </c>
      <c r="E12577" t="inlineStr">
        <is>
          <t>ARVIKA</t>
        </is>
      </c>
      <c r="G12577" t="n">
        <v>15.3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58602-2023</t>
        </is>
      </c>
      <c r="B12578" s="1" t="n">
        <v>45251</v>
      </c>
      <c r="C12578" s="1" t="n">
        <v>45736</v>
      </c>
      <c r="D12578" t="inlineStr">
        <is>
          <t>VÄRMLANDS LÄN</t>
        </is>
      </c>
      <c r="E12578" t="inlineStr">
        <is>
          <t>SÄFFLE</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58645-2023</t>
        </is>
      </c>
      <c r="B12579" s="1" t="n">
        <v>45251</v>
      </c>
      <c r="C12579" s="1" t="n">
        <v>45736</v>
      </c>
      <c r="D12579" t="inlineStr">
        <is>
          <t>VÄRMLANDS LÄN</t>
        </is>
      </c>
      <c r="E12579" t="inlineStr">
        <is>
          <t>EDA</t>
        </is>
      </c>
      <c r="F12579" t="inlineStr">
        <is>
          <t>Bergvik skog väst AB</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58646-2023</t>
        </is>
      </c>
      <c r="B12580" s="1" t="n">
        <v>45251</v>
      </c>
      <c r="C12580" s="1" t="n">
        <v>45736</v>
      </c>
      <c r="D12580" t="inlineStr">
        <is>
          <t>VÄRMLANDS LÄN</t>
        </is>
      </c>
      <c r="E12580" t="inlineStr">
        <is>
          <t>SÄFFLE</t>
        </is>
      </c>
      <c r="F12580" t="inlineStr">
        <is>
          <t>Kyrkan</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58671-2023</t>
        </is>
      </c>
      <c r="B12581" s="1" t="n">
        <v>45251</v>
      </c>
      <c r="C12581" s="1" t="n">
        <v>45736</v>
      </c>
      <c r="D12581" t="inlineStr">
        <is>
          <t>VÄRMLANDS LÄN</t>
        </is>
      </c>
      <c r="E12581" t="inlineStr">
        <is>
          <t>KARLSTAD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58653-2023</t>
        </is>
      </c>
      <c r="B12582" s="1" t="n">
        <v>45251</v>
      </c>
      <c r="C12582" s="1" t="n">
        <v>45736</v>
      </c>
      <c r="D12582" t="inlineStr">
        <is>
          <t>VÄRMLANDS LÄN</t>
        </is>
      </c>
      <c r="E12582" t="inlineStr">
        <is>
          <t>SÄFFLE</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58659-2023</t>
        </is>
      </c>
      <c r="B12583" s="1" t="n">
        <v>45251</v>
      </c>
      <c r="C12583" s="1" t="n">
        <v>45736</v>
      </c>
      <c r="D12583" t="inlineStr">
        <is>
          <t>VÄRMLANDS LÄN</t>
        </is>
      </c>
      <c r="E12583" t="inlineStr">
        <is>
          <t>EDA</t>
        </is>
      </c>
      <c r="F12583" t="inlineStr">
        <is>
          <t>Bergvik skog väst AB</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58688-2023</t>
        </is>
      </c>
      <c r="B12584" s="1" t="n">
        <v>45251</v>
      </c>
      <c r="C12584" s="1" t="n">
        <v>45736</v>
      </c>
      <c r="D12584" t="inlineStr">
        <is>
          <t>VÄRMLANDS LÄN</t>
        </is>
      </c>
      <c r="E12584" t="inlineStr">
        <is>
          <t>FORSHAGA</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58697-2023</t>
        </is>
      </c>
      <c r="B12585" s="1" t="n">
        <v>45251</v>
      </c>
      <c r="C12585" s="1" t="n">
        <v>45736</v>
      </c>
      <c r="D12585" t="inlineStr">
        <is>
          <t>VÄRMLANDS LÄN</t>
        </is>
      </c>
      <c r="E12585" t="inlineStr">
        <is>
          <t>FORSHAGA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58690-2023</t>
        </is>
      </c>
      <c r="B12586" s="1" t="n">
        <v>45251</v>
      </c>
      <c r="C12586" s="1" t="n">
        <v>45736</v>
      </c>
      <c r="D12586" t="inlineStr">
        <is>
          <t>VÄRMLANDS LÄN</t>
        </is>
      </c>
      <c r="E12586" t="inlineStr">
        <is>
          <t>KARLSTAD</t>
        </is>
      </c>
      <c r="G12586" t="n">
        <v>10.9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58694-2023</t>
        </is>
      </c>
      <c r="B12587" s="1" t="n">
        <v>45251</v>
      </c>
      <c r="C12587" s="1" t="n">
        <v>45736</v>
      </c>
      <c r="D12587" t="inlineStr">
        <is>
          <t>VÄRMLANDS LÄN</t>
        </is>
      </c>
      <c r="E12587" t="inlineStr">
        <is>
          <t>KARLSTAD</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59128-2023</t>
        </is>
      </c>
      <c r="B12588" s="1" t="n">
        <v>45251</v>
      </c>
      <c r="C12588" s="1" t="n">
        <v>45736</v>
      </c>
      <c r="D12588" t="inlineStr">
        <is>
          <t>VÄRMLANDS LÄN</t>
        </is>
      </c>
      <c r="E12588" t="inlineStr">
        <is>
          <t>MUNKFORS</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59146-2023</t>
        </is>
      </c>
      <c r="B12589" s="1" t="n">
        <v>45251</v>
      </c>
      <c r="C12589" s="1" t="n">
        <v>45736</v>
      </c>
      <c r="D12589" t="inlineStr">
        <is>
          <t>VÄRMLANDS LÄN</t>
        </is>
      </c>
      <c r="E12589" t="inlineStr">
        <is>
          <t>MUNKFORS</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59256-2023</t>
        </is>
      </c>
      <c r="B12590" s="1" t="n">
        <v>45251</v>
      </c>
      <c r="C12590" s="1" t="n">
        <v>45736</v>
      </c>
      <c r="D12590" t="inlineStr">
        <is>
          <t>VÄRMLANDS LÄN</t>
        </is>
      </c>
      <c r="E12590" t="inlineStr">
        <is>
          <t>TORSBY</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59246-2023</t>
        </is>
      </c>
      <c r="B12591" s="1" t="n">
        <v>45251</v>
      </c>
      <c r="C12591" s="1" t="n">
        <v>45736</v>
      </c>
      <c r="D12591" t="inlineStr">
        <is>
          <t>VÄRMLANDS LÄN</t>
        </is>
      </c>
      <c r="E12591" t="inlineStr">
        <is>
          <t>SUNNE</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59132-2023</t>
        </is>
      </c>
      <c r="B12592" s="1" t="n">
        <v>45251</v>
      </c>
      <c r="C12592" s="1" t="n">
        <v>45736</v>
      </c>
      <c r="D12592" t="inlineStr">
        <is>
          <t>VÄRMLANDS LÄN</t>
        </is>
      </c>
      <c r="E12592" t="inlineStr">
        <is>
          <t>MUNKFORS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59141-2023</t>
        </is>
      </c>
      <c r="B12593" s="1" t="n">
        <v>45251</v>
      </c>
      <c r="C12593" s="1" t="n">
        <v>45736</v>
      </c>
      <c r="D12593" t="inlineStr">
        <is>
          <t>VÄRMLANDS LÄN</t>
        </is>
      </c>
      <c r="E12593" t="inlineStr">
        <is>
          <t>MUNKFORS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59137-2023</t>
        </is>
      </c>
      <c r="B12594" s="1" t="n">
        <v>45251</v>
      </c>
      <c r="C12594" s="1" t="n">
        <v>45736</v>
      </c>
      <c r="D12594" t="inlineStr">
        <is>
          <t>VÄRMLANDS LÄN</t>
        </is>
      </c>
      <c r="E12594" t="inlineStr">
        <is>
          <t>MUNKFORS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59145-2023</t>
        </is>
      </c>
      <c r="B12595" s="1" t="n">
        <v>45251</v>
      </c>
      <c r="C12595" s="1" t="n">
        <v>45736</v>
      </c>
      <c r="D12595" t="inlineStr">
        <is>
          <t>VÄRMLANDS LÄN</t>
        </is>
      </c>
      <c r="E12595" t="inlineStr">
        <is>
          <t>MUNKFORS</t>
        </is>
      </c>
      <c r="G12595" t="n">
        <v>7.1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58790-2023</t>
        </is>
      </c>
      <c r="B12596" s="1" t="n">
        <v>45252</v>
      </c>
      <c r="C12596" s="1" t="n">
        <v>45736</v>
      </c>
      <c r="D12596" t="inlineStr">
        <is>
          <t>VÄRMLANDS LÄN</t>
        </is>
      </c>
      <c r="E12596" t="inlineStr">
        <is>
          <t>ARVIKA</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58835-2023</t>
        </is>
      </c>
      <c r="B12597" s="1" t="n">
        <v>45252</v>
      </c>
      <c r="C12597" s="1" t="n">
        <v>45736</v>
      </c>
      <c r="D12597" t="inlineStr">
        <is>
          <t>VÄRMLANDS LÄN</t>
        </is>
      </c>
      <c r="E12597" t="inlineStr">
        <is>
          <t>SUNNE</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58851-2023</t>
        </is>
      </c>
      <c r="B12598" s="1" t="n">
        <v>45252</v>
      </c>
      <c r="C12598" s="1" t="n">
        <v>45736</v>
      </c>
      <c r="D12598" t="inlineStr">
        <is>
          <t>VÄRMLANDS LÄN</t>
        </is>
      </c>
      <c r="E12598" t="inlineStr">
        <is>
          <t>SUNNE</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58836-2023</t>
        </is>
      </c>
      <c r="B12599" s="1" t="n">
        <v>45252</v>
      </c>
      <c r="C12599" s="1" t="n">
        <v>45736</v>
      </c>
      <c r="D12599" t="inlineStr">
        <is>
          <t>VÄRMLANDS LÄN</t>
        </is>
      </c>
      <c r="E12599" t="inlineStr">
        <is>
          <t>SUNNE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58874-2023</t>
        </is>
      </c>
      <c r="B12600" s="1" t="n">
        <v>45252</v>
      </c>
      <c r="C12600" s="1" t="n">
        <v>45736</v>
      </c>
      <c r="D12600" t="inlineStr">
        <is>
          <t>VÄRMLANDS LÄN</t>
        </is>
      </c>
      <c r="E12600" t="inlineStr">
        <is>
          <t>ÅRJÄNG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58850-2023</t>
        </is>
      </c>
      <c r="B12601" s="1" t="n">
        <v>45252</v>
      </c>
      <c r="C12601" s="1" t="n">
        <v>45736</v>
      </c>
      <c r="D12601" t="inlineStr">
        <is>
          <t>VÄRMLANDS LÄN</t>
        </is>
      </c>
      <c r="E12601" t="inlineStr">
        <is>
          <t>ÅRJÄNG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58924-2023</t>
        </is>
      </c>
      <c r="B12602" s="1" t="n">
        <v>45252</v>
      </c>
      <c r="C12602" s="1" t="n">
        <v>45736</v>
      </c>
      <c r="D12602" t="inlineStr">
        <is>
          <t>VÄRMLANDS LÄN</t>
        </is>
      </c>
      <c r="E12602" t="inlineStr">
        <is>
          <t>FORSHAGA</t>
        </is>
      </c>
      <c r="F12602" t="inlineStr">
        <is>
          <t>Bergvik skog väst AB</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58893-2023</t>
        </is>
      </c>
      <c r="B12603" s="1" t="n">
        <v>45252</v>
      </c>
      <c r="C12603" s="1" t="n">
        <v>45736</v>
      </c>
      <c r="D12603" t="inlineStr">
        <is>
          <t>VÄRMLANDS LÄN</t>
        </is>
      </c>
      <c r="E12603" t="inlineStr">
        <is>
          <t>KRISTINEHAMN</t>
        </is>
      </c>
      <c r="G12603" t="n">
        <v>19.4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58958-2023</t>
        </is>
      </c>
      <c r="B12604" s="1" t="n">
        <v>45252</v>
      </c>
      <c r="C12604" s="1" t="n">
        <v>45736</v>
      </c>
      <c r="D12604" t="inlineStr">
        <is>
          <t>VÄRMLANDS LÄN</t>
        </is>
      </c>
      <c r="E12604" t="inlineStr">
        <is>
          <t>HAGFORS</t>
        </is>
      </c>
      <c r="F12604" t="inlineStr">
        <is>
          <t>Bergvik skog väst AB</t>
        </is>
      </c>
      <c r="G12604" t="n">
        <v>9.1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59053-2023</t>
        </is>
      </c>
      <c r="B12605" s="1" t="n">
        <v>45252</v>
      </c>
      <c r="C12605" s="1" t="n">
        <v>45736</v>
      </c>
      <c r="D12605" t="inlineStr">
        <is>
          <t>VÄRMLANDS LÄN</t>
        </is>
      </c>
      <c r="E12605" t="inlineStr">
        <is>
          <t>KARLSTAD</t>
        </is>
      </c>
      <c r="G12605" t="n">
        <v>21.7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59061-2023</t>
        </is>
      </c>
      <c r="B12606" s="1" t="n">
        <v>45252</v>
      </c>
      <c r="C12606" s="1" t="n">
        <v>45736</v>
      </c>
      <c r="D12606" t="inlineStr">
        <is>
          <t>VÄRMLANDS LÄN</t>
        </is>
      </c>
      <c r="E12606" t="inlineStr">
        <is>
          <t>KIL</t>
        </is>
      </c>
      <c r="G12606" t="n">
        <v>7.2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58937-2023</t>
        </is>
      </c>
      <c r="B12607" s="1" t="n">
        <v>45252</v>
      </c>
      <c r="C12607" s="1" t="n">
        <v>45736</v>
      </c>
      <c r="D12607" t="inlineStr">
        <is>
          <t>VÄRMLANDS LÄN</t>
        </is>
      </c>
      <c r="E12607" t="inlineStr">
        <is>
          <t>ÅRJÄNG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58944-2023</t>
        </is>
      </c>
      <c r="B12608" s="1" t="n">
        <v>45252</v>
      </c>
      <c r="C12608" s="1" t="n">
        <v>45736</v>
      </c>
      <c r="D12608" t="inlineStr">
        <is>
          <t>VÄRMLANDS LÄN</t>
        </is>
      </c>
      <c r="E12608" t="inlineStr">
        <is>
          <t>FORSHAGA</t>
        </is>
      </c>
      <c r="F12608" t="inlineStr">
        <is>
          <t>Bergvik skog väst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59055-2023</t>
        </is>
      </c>
      <c r="B12609" s="1" t="n">
        <v>45252</v>
      </c>
      <c r="C12609" s="1" t="n">
        <v>45736</v>
      </c>
      <c r="D12609" t="inlineStr">
        <is>
          <t>VÄRMLANDS LÄN</t>
        </is>
      </c>
      <c r="E12609" t="inlineStr">
        <is>
          <t>KARLSTAD</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59064-2023</t>
        </is>
      </c>
      <c r="B12610" s="1" t="n">
        <v>45252</v>
      </c>
      <c r="C12610" s="1" t="n">
        <v>45736</v>
      </c>
      <c r="D12610" t="inlineStr">
        <is>
          <t>VÄRMLANDS LÄN</t>
        </is>
      </c>
      <c r="E12610" t="inlineStr">
        <is>
          <t>KIL</t>
        </is>
      </c>
      <c r="G12610" t="n">
        <v>1.1</v>
      </c>
      <c r="H12610" t="n">
        <v>0</v>
      </c>
      <c r="I12610" t="n">
        <v>0</v>
      </c>
      <c r="J12610" t="n">
        <v>0</v>
      </c>
      <c r="K12610" t="n">
        <v>0</v>
      </c>
      <c r="L12610" t="n">
        <v>0</v>
      </c>
      <c r="M12610" t="n">
        <v>0</v>
      </c>
      <c r="N12610" t="n">
        <v>0</v>
      </c>
      <c r="O12610" t="n">
        <v>0</v>
      </c>
      <c r="P12610" t="n">
        <v>0</v>
      </c>
      <c r="Q12610" t="n">
        <v>0</v>
      </c>
      <c r="R12610" s="2" t="inlineStr"/>
      <c r="U12610">
        <f>HYPERLINK("https://klasma.github.io/Logging_1715/knärot/A 59064-2023 karta knärot.png", "A 59064-2023")</f>
        <v/>
      </c>
      <c r="V12610">
        <f>HYPERLINK("https://klasma.github.io/Logging_1715/klagomål/A 59064-2023 FSC-klagomål.docx", "A 59064-2023")</f>
        <v/>
      </c>
      <c r="W12610">
        <f>HYPERLINK("https://klasma.github.io/Logging_1715/klagomålsmail/A 59064-2023 FSC-klagomål mail.docx", "A 59064-2023")</f>
        <v/>
      </c>
      <c r="X12610">
        <f>HYPERLINK("https://klasma.github.io/Logging_1715/tillsyn/A 59064-2023 tillsynsbegäran.docx", "A 59064-2023")</f>
        <v/>
      </c>
      <c r="Y12610">
        <f>HYPERLINK("https://klasma.github.io/Logging_1715/tillsynsmail/A 59064-2023 tillsynsbegäran mail.docx", "A 59064-2023")</f>
        <v/>
      </c>
    </row>
    <row r="12611" ht="15" customHeight="1">
      <c r="A12611" t="inlineStr">
        <is>
          <t>A 59188-2023</t>
        </is>
      </c>
      <c r="B12611" s="1" t="n">
        <v>45252</v>
      </c>
      <c r="C12611" s="1" t="n">
        <v>45736</v>
      </c>
      <c r="D12611" t="inlineStr">
        <is>
          <t>VÄRMLANDS LÄN</t>
        </is>
      </c>
      <c r="E12611" t="inlineStr">
        <is>
          <t>SÄFFLE</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59323-2023</t>
        </is>
      </c>
      <c r="B12612" s="1" t="n">
        <v>45252</v>
      </c>
      <c r="C12612" s="1" t="n">
        <v>45736</v>
      </c>
      <c r="D12612" t="inlineStr">
        <is>
          <t>VÄRMLANDS LÄN</t>
        </is>
      </c>
      <c r="E12612" t="inlineStr">
        <is>
          <t>EDA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59352-2023</t>
        </is>
      </c>
      <c r="B12613" s="1" t="n">
        <v>45252</v>
      </c>
      <c r="C12613" s="1" t="n">
        <v>45736</v>
      </c>
      <c r="D12613" t="inlineStr">
        <is>
          <t>VÄRMLANDS LÄN</t>
        </is>
      </c>
      <c r="E12613" t="inlineStr">
        <is>
          <t>EDA</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59350-2023</t>
        </is>
      </c>
      <c r="B12614" s="1" t="n">
        <v>45252</v>
      </c>
      <c r="C12614" s="1" t="n">
        <v>45736</v>
      </c>
      <c r="D12614" t="inlineStr">
        <is>
          <t>VÄRMLANDS LÄN</t>
        </is>
      </c>
      <c r="E12614" t="inlineStr">
        <is>
          <t>EDA</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59154-2023</t>
        </is>
      </c>
      <c r="B12615" s="1" t="n">
        <v>45253</v>
      </c>
      <c r="C12615" s="1" t="n">
        <v>45736</v>
      </c>
      <c r="D12615" t="inlineStr">
        <is>
          <t>VÄRMLANDS LÄN</t>
        </is>
      </c>
      <c r="E12615" t="inlineStr">
        <is>
          <t>ARVIKA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59192-2023</t>
        </is>
      </c>
      <c r="B12616" s="1" t="n">
        <v>45253</v>
      </c>
      <c r="C12616" s="1" t="n">
        <v>45736</v>
      </c>
      <c r="D12616" t="inlineStr">
        <is>
          <t>VÄRMLANDS LÄN</t>
        </is>
      </c>
      <c r="E12616" t="inlineStr">
        <is>
          <t>EDA</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59200-2023</t>
        </is>
      </c>
      <c r="B12617" s="1" t="n">
        <v>45253</v>
      </c>
      <c r="C12617" s="1" t="n">
        <v>45736</v>
      </c>
      <c r="D12617" t="inlineStr">
        <is>
          <t>VÄRMLANDS LÄN</t>
        </is>
      </c>
      <c r="E12617" t="inlineStr">
        <is>
          <t>KIL</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59204-2023</t>
        </is>
      </c>
      <c r="B12618" s="1" t="n">
        <v>45253</v>
      </c>
      <c r="C12618" s="1" t="n">
        <v>45736</v>
      </c>
      <c r="D12618" t="inlineStr">
        <is>
          <t>VÄRMLANDS LÄN</t>
        </is>
      </c>
      <c r="E12618" t="inlineStr">
        <is>
          <t>KARLSTAD</t>
        </is>
      </c>
      <c r="F12618" t="inlineStr">
        <is>
          <t>Kommuner</t>
        </is>
      </c>
      <c r="G12618" t="n">
        <v>9.4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59296-2023</t>
        </is>
      </c>
      <c r="B12619" s="1" t="n">
        <v>45253</v>
      </c>
      <c r="C12619" s="1" t="n">
        <v>45736</v>
      </c>
      <c r="D12619" t="inlineStr">
        <is>
          <t>VÄRMLANDS LÄN</t>
        </is>
      </c>
      <c r="E12619" t="inlineStr">
        <is>
          <t>FILIPSTAD</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59312-2023</t>
        </is>
      </c>
      <c r="B12620" s="1" t="n">
        <v>45253</v>
      </c>
      <c r="C12620" s="1" t="n">
        <v>45736</v>
      </c>
      <c r="D12620" t="inlineStr">
        <is>
          <t>VÄRMLANDS LÄN</t>
        </is>
      </c>
      <c r="E12620" t="inlineStr">
        <is>
          <t>SÄFFLE</t>
        </is>
      </c>
      <c r="G12620" t="n">
        <v>8.699999999999999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59148-2023</t>
        </is>
      </c>
      <c r="B12621" s="1" t="n">
        <v>45253</v>
      </c>
      <c r="C12621" s="1" t="n">
        <v>45736</v>
      </c>
      <c r="D12621" t="inlineStr">
        <is>
          <t>VÄRMLANDS LÄN</t>
        </is>
      </c>
      <c r="E12621" t="inlineStr">
        <is>
          <t>SUNNE</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59189-2023</t>
        </is>
      </c>
      <c r="B12622" s="1" t="n">
        <v>45253</v>
      </c>
      <c r="C12622" s="1" t="n">
        <v>45736</v>
      </c>
      <c r="D12622" t="inlineStr">
        <is>
          <t>VÄRMLANDS LÄN</t>
        </is>
      </c>
      <c r="E12622" t="inlineStr">
        <is>
          <t>SUNNE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59202-2023</t>
        </is>
      </c>
      <c r="B12623" s="1" t="n">
        <v>45253</v>
      </c>
      <c r="C12623" s="1" t="n">
        <v>45736</v>
      </c>
      <c r="D12623" t="inlineStr">
        <is>
          <t>VÄRMLANDS LÄN</t>
        </is>
      </c>
      <c r="E12623" t="inlineStr">
        <is>
          <t>KIL</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59239-2023</t>
        </is>
      </c>
      <c r="B12624" s="1" t="n">
        <v>45253</v>
      </c>
      <c r="C12624" s="1" t="n">
        <v>45736</v>
      </c>
      <c r="D12624" t="inlineStr">
        <is>
          <t>VÄRMLANDS LÄN</t>
        </is>
      </c>
      <c r="E12624" t="inlineStr">
        <is>
          <t>TORSBY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59278-2023</t>
        </is>
      </c>
      <c r="B12625" s="1" t="n">
        <v>45253</v>
      </c>
      <c r="C12625" s="1" t="n">
        <v>45736</v>
      </c>
      <c r="D12625" t="inlineStr">
        <is>
          <t>VÄRMLANDS LÄN</t>
        </is>
      </c>
      <c r="E12625" t="inlineStr">
        <is>
          <t>EDA</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59347-2023</t>
        </is>
      </c>
      <c r="B12626" s="1" t="n">
        <v>45253</v>
      </c>
      <c r="C12626" s="1" t="n">
        <v>45736</v>
      </c>
      <c r="D12626" t="inlineStr">
        <is>
          <t>VÄRMLANDS LÄN</t>
        </is>
      </c>
      <c r="E12626" t="inlineStr">
        <is>
          <t>FILIPSTAD</t>
        </is>
      </c>
      <c r="F12626" t="inlineStr">
        <is>
          <t>Bergvik skog väst AB</t>
        </is>
      </c>
      <c r="G12626" t="n">
        <v>16.7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59384-2023</t>
        </is>
      </c>
      <c r="B12627" s="1" t="n">
        <v>45253</v>
      </c>
      <c r="C12627" s="1" t="n">
        <v>45736</v>
      </c>
      <c r="D12627" t="inlineStr">
        <is>
          <t>VÄRMLANDS LÄN</t>
        </is>
      </c>
      <c r="E12627" t="inlineStr">
        <is>
          <t>ÅRJÄNG</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59203-2023</t>
        </is>
      </c>
      <c r="B12628" s="1" t="n">
        <v>45253</v>
      </c>
      <c r="C12628" s="1" t="n">
        <v>45736</v>
      </c>
      <c r="D12628" t="inlineStr">
        <is>
          <t>VÄRMLANDS LÄN</t>
        </is>
      </c>
      <c r="E12628" t="inlineStr">
        <is>
          <t>SÄFFLE</t>
        </is>
      </c>
      <c r="G12628" t="n">
        <v>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59216-2023</t>
        </is>
      </c>
      <c r="B12629" s="1" t="n">
        <v>45253</v>
      </c>
      <c r="C12629" s="1" t="n">
        <v>45736</v>
      </c>
      <c r="D12629" t="inlineStr">
        <is>
          <t>VÄRMLANDS LÄN</t>
        </is>
      </c>
      <c r="E12629" t="inlineStr">
        <is>
          <t>SÄFFLE</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59236-2023</t>
        </is>
      </c>
      <c r="B12630" s="1" t="n">
        <v>45253</v>
      </c>
      <c r="C12630" s="1" t="n">
        <v>45736</v>
      </c>
      <c r="D12630" t="inlineStr">
        <is>
          <t>VÄRMLANDS LÄN</t>
        </is>
      </c>
      <c r="E12630" t="inlineStr">
        <is>
          <t>TORSBY</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59299-2023</t>
        </is>
      </c>
      <c r="B12631" s="1" t="n">
        <v>45253</v>
      </c>
      <c r="C12631" s="1" t="n">
        <v>45736</v>
      </c>
      <c r="D12631" t="inlineStr">
        <is>
          <t>VÄRMLANDS LÄN</t>
        </is>
      </c>
      <c r="E12631" t="inlineStr">
        <is>
          <t>ARVIKA</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59336-2023</t>
        </is>
      </c>
      <c r="B12632" s="1" t="n">
        <v>45253</v>
      </c>
      <c r="C12632" s="1" t="n">
        <v>45736</v>
      </c>
      <c r="D12632" t="inlineStr">
        <is>
          <t>VÄRMLANDS LÄN</t>
        </is>
      </c>
      <c r="E12632" t="inlineStr">
        <is>
          <t>FILIPSTAD</t>
        </is>
      </c>
      <c r="F12632" t="inlineStr">
        <is>
          <t>Bergvik skog väst AB</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59385-2023</t>
        </is>
      </c>
      <c r="B12633" s="1" t="n">
        <v>45253</v>
      </c>
      <c r="C12633" s="1" t="n">
        <v>45736</v>
      </c>
      <c r="D12633" t="inlineStr">
        <is>
          <t>VÄRMLANDS LÄN</t>
        </is>
      </c>
      <c r="E12633" t="inlineStr">
        <is>
          <t>ÅRJÄNG</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59438-2023</t>
        </is>
      </c>
      <c r="B12634" s="1" t="n">
        <v>45253</v>
      </c>
      <c r="C12634" s="1" t="n">
        <v>45736</v>
      </c>
      <c r="D12634" t="inlineStr">
        <is>
          <t>VÄRMLANDS LÄN</t>
        </is>
      </c>
      <c r="E12634" t="inlineStr">
        <is>
          <t>SÄFFLE</t>
        </is>
      </c>
      <c r="G12634" t="n">
        <v>19.9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59854-2023</t>
        </is>
      </c>
      <c r="B12635" s="1" t="n">
        <v>45253</v>
      </c>
      <c r="C12635" s="1" t="n">
        <v>45736</v>
      </c>
      <c r="D12635" t="inlineStr">
        <is>
          <t>VÄRMLANDS LÄN</t>
        </is>
      </c>
      <c r="E12635" t="inlineStr">
        <is>
          <t>KRISTINEHAMN</t>
        </is>
      </c>
      <c r="G12635" t="n">
        <v>8.199999999999999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59463-2023</t>
        </is>
      </c>
      <c r="B12636" s="1" t="n">
        <v>45254</v>
      </c>
      <c r="C12636" s="1" t="n">
        <v>45736</v>
      </c>
      <c r="D12636" t="inlineStr">
        <is>
          <t>VÄRMLANDS LÄN</t>
        </is>
      </c>
      <c r="E12636" t="inlineStr">
        <is>
          <t>ARVIKA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59465-2023</t>
        </is>
      </c>
      <c r="B12637" s="1" t="n">
        <v>45254</v>
      </c>
      <c r="C12637" s="1" t="n">
        <v>45736</v>
      </c>
      <c r="D12637" t="inlineStr">
        <is>
          <t>VÄRMLANDS LÄN</t>
        </is>
      </c>
      <c r="E12637" t="inlineStr">
        <is>
          <t>ARVIKA</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59488-2023</t>
        </is>
      </c>
      <c r="B12638" s="1" t="n">
        <v>45254</v>
      </c>
      <c r="C12638" s="1" t="n">
        <v>45736</v>
      </c>
      <c r="D12638" t="inlineStr">
        <is>
          <t>VÄRMLANDS LÄN</t>
        </is>
      </c>
      <c r="E12638" t="inlineStr">
        <is>
          <t>TORSBY</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59650-2023</t>
        </is>
      </c>
      <c r="B12639" s="1" t="n">
        <v>45254</v>
      </c>
      <c r="C12639" s="1" t="n">
        <v>45736</v>
      </c>
      <c r="D12639" t="inlineStr">
        <is>
          <t>VÄRMLANDS LÄN</t>
        </is>
      </c>
      <c r="E12639" t="inlineStr">
        <is>
          <t>STORFORS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59743-2023</t>
        </is>
      </c>
      <c r="B12640" s="1" t="n">
        <v>45254</v>
      </c>
      <c r="C12640" s="1" t="n">
        <v>45736</v>
      </c>
      <c r="D12640" t="inlineStr">
        <is>
          <t>VÄRMLANDS LÄN</t>
        </is>
      </c>
      <c r="E12640" t="inlineStr">
        <is>
          <t>ARVIKA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59739-2023</t>
        </is>
      </c>
      <c r="B12641" s="1" t="n">
        <v>45254</v>
      </c>
      <c r="C12641" s="1" t="n">
        <v>45736</v>
      </c>
      <c r="D12641" t="inlineStr">
        <is>
          <t>VÄRMLANDS LÄN</t>
        </is>
      </c>
      <c r="E12641" t="inlineStr">
        <is>
          <t>ARVIKA</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59759-2023</t>
        </is>
      </c>
      <c r="B12642" s="1" t="n">
        <v>45254</v>
      </c>
      <c r="C12642" s="1" t="n">
        <v>45736</v>
      </c>
      <c r="D12642" t="inlineStr">
        <is>
          <t>VÄRMLANDS LÄN</t>
        </is>
      </c>
      <c r="E12642" t="inlineStr">
        <is>
          <t>EDA</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59811-2023</t>
        </is>
      </c>
      <c r="B12643" s="1" t="n">
        <v>45254</v>
      </c>
      <c r="C12643" s="1" t="n">
        <v>45736</v>
      </c>
      <c r="D12643" t="inlineStr">
        <is>
          <t>VÄRMLANDS LÄN</t>
        </is>
      </c>
      <c r="E12643" t="inlineStr">
        <is>
          <t>ÅRJÄNG</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59769-2023</t>
        </is>
      </c>
      <c r="B12644" s="1" t="n">
        <v>45254</v>
      </c>
      <c r="C12644" s="1" t="n">
        <v>45736</v>
      </c>
      <c r="D12644" t="inlineStr">
        <is>
          <t>VÄRMLANDS LÄN</t>
        </is>
      </c>
      <c r="E12644" t="inlineStr">
        <is>
          <t>EDA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59801-2023</t>
        </is>
      </c>
      <c r="B12645" s="1" t="n">
        <v>45254</v>
      </c>
      <c r="C12645" s="1" t="n">
        <v>45736</v>
      </c>
      <c r="D12645" t="inlineStr">
        <is>
          <t>VÄRMLANDS LÄN</t>
        </is>
      </c>
      <c r="E12645" t="inlineStr">
        <is>
          <t>ÅRJÄNG</t>
        </is>
      </c>
      <c r="G12645" t="n">
        <v>13.8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59823-2023</t>
        </is>
      </c>
      <c r="B12646" s="1" t="n">
        <v>45254</v>
      </c>
      <c r="C12646" s="1" t="n">
        <v>45736</v>
      </c>
      <c r="D12646" t="inlineStr">
        <is>
          <t>VÄRMLANDS LÄN</t>
        </is>
      </c>
      <c r="E12646" t="inlineStr">
        <is>
          <t>ÅRJÄNG</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59563-2023</t>
        </is>
      </c>
      <c r="B12647" s="1" t="n">
        <v>45254</v>
      </c>
      <c r="C12647" s="1" t="n">
        <v>45736</v>
      </c>
      <c r="D12647" t="inlineStr">
        <is>
          <t>VÄRMLANDS LÄN</t>
        </is>
      </c>
      <c r="E12647" t="inlineStr">
        <is>
          <t>ARVIKA</t>
        </is>
      </c>
      <c r="F12647" t="inlineStr">
        <is>
          <t>Bergvik skog väst AB</t>
        </is>
      </c>
      <c r="G12647" t="n">
        <v>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59651-2023</t>
        </is>
      </c>
      <c r="B12648" s="1" t="n">
        <v>45254</v>
      </c>
      <c r="C12648" s="1" t="n">
        <v>45736</v>
      </c>
      <c r="D12648" t="inlineStr">
        <is>
          <t>VÄRMLANDS LÄN</t>
        </is>
      </c>
      <c r="E12648" t="inlineStr">
        <is>
          <t>STORFORS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59746-2023</t>
        </is>
      </c>
      <c r="B12649" s="1" t="n">
        <v>45254</v>
      </c>
      <c r="C12649" s="1" t="n">
        <v>45736</v>
      </c>
      <c r="D12649" t="inlineStr">
        <is>
          <t>VÄRMLANDS LÄN</t>
        </is>
      </c>
      <c r="E12649" t="inlineStr">
        <is>
          <t>ÅRJÄNG</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59689-2023</t>
        </is>
      </c>
      <c r="B12650" s="1" t="n">
        <v>45256</v>
      </c>
      <c r="C12650" s="1" t="n">
        <v>45736</v>
      </c>
      <c r="D12650" t="inlineStr">
        <is>
          <t>VÄRMLANDS LÄN</t>
        </is>
      </c>
      <c r="E12650" t="inlineStr">
        <is>
          <t>ARVIKA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59710-2023</t>
        </is>
      </c>
      <c r="B12651" s="1" t="n">
        <v>45257</v>
      </c>
      <c r="C12651" s="1" t="n">
        <v>45736</v>
      </c>
      <c r="D12651" t="inlineStr">
        <is>
          <t>VÄRMLANDS LÄN</t>
        </is>
      </c>
      <c r="E12651" t="inlineStr">
        <is>
          <t>ÅRJÄNG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59714-2023</t>
        </is>
      </c>
      <c r="B12652" s="1" t="n">
        <v>45257</v>
      </c>
      <c r="C12652" s="1" t="n">
        <v>45736</v>
      </c>
      <c r="D12652" t="inlineStr">
        <is>
          <t>VÄRMLANDS LÄN</t>
        </is>
      </c>
      <c r="E12652" t="inlineStr">
        <is>
          <t>STORFORS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59722-2023</t>
        </is>
      </c>
      <c r="B12653" s="1" t="n">
        <v>45257</v>
      </c>
      <c r="C12653" s="1" t="n">
        <v>45736</v>
      </c>
      <c r="D12653" t="inlineStr">
        <is>
          <t>VÄRMLANDS LÄN</t>
        </is>
      </c>
      <c r="E12653" t="inlineStr">
        <is>
          <t>GRUMS</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59784-2023</t>
        </is>
      </c>
      <c r="B12654" s="1" t="n">
        <v>45257</v>
      </c>
      <c r="C12654" s="1" t="n">
        <v>45736</v>
      </c>
      <c r="D12654" t="inlineStr">
        <is>
          <t>VÄRMLANDS LÄN</t>
        </is>
      </c>
      <c r="E12654" t="inlineStr">
        <is>
          <t>ÅRJÄNG</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59770-2023</t>
        </is>
      </c>
      <c r="B12655" s="1" t="n">
        <v>45257</v>
      </c>
      <c r="C12655" s="1" t="n">
        <v>45736</v>
      </c>
      <c r="D12655" t="inlineStr">
        <is>
          <t>VÄRMLANDS LÄN</t>
        </is>
      </c>
      <c r="E12655" t="inlineStr">
        <is>
          <t>EDA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59787-2023</t>
        </is>
      </c>
      <c r="B12656" s="1" t="n">
        <v>45257</v>
      </c>
      <c r="C12656" s="1" t="n">
        <v>45736</v>
      </c>
      <c r="D12656" t="inlineStr">
        <is>
          <t>VÄRMLANDS LÄN</t>
        </is>
      </c>
      <c r="E12656" t="inlineStr">
        <is>
          <t>ARVIKA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59887-2023</t>
        </is>
      </c>
      <c r="B12657" s="1" t="n">
        <v>45257</v>
      </c>
      <c r="C12657" s="1" t="n">
        <v>45736</v>
      </c>
      <c r="D12657" t="inlineStr">
        <is>
          <t>VÄRMLANDS LÄN</t>
        </is>
      </c>
      <c r="E12657" t="inlineStr">
        <is>
          <t>ÅRJÄNG</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59899-2023</t>
        </is>
      </c>
      <c r="B12658" s="1" t="n">
        <v>45257</v>
      </c>
      <c r="C12658" s="1" t="n">
        <v>45736</v>
      </c>
      <c r="D12658" t="inlineStr">
        <is>
          <t>VÄRMLANDS LÄN</t>
        </is>
      </c>
      <c r="E12658" t="inlineStr">
        <is>
          <t>HAGFORS</t>
        </is>
      </c>
      <c r="F12658" t="inlineStr">
        <is>
          <t>Bergvik skog väst AB</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59930-2023</t>
        </is>
      </c>
      <c r="B12659" s="1" t="n">
        <v>45257</v>
      </c>
      <c r="C12659" s="1" t="n">
        <v>45736</v>
      </c>
      <c r="D12659" t="inlineStr">
        <is>
          <t>VÄRMLANDS LÄN</t>
        </is>
      </c>
      <c r="E12659" t="inlineStr">
        <is>
          <t>STORFORS</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59781-2023</t>
        </is>
      </c>
      <c r="B12660" s="1" t="n">
        <v>45257</v>
      </c>
      <c r="C12660" s="1" t="n">
        <v>45736</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59874-2023</t>
        </is>
      </c>
      <c r="B12661" s="1" t="n">
        <v>45257</v>
      </c>
      <c r="C12661" s="1" t="n">
        <v>45736</v>
      </c>
      <c r="D12661" t="inlineStr">
        <is>
          <t>VÄRMLANDS LÄN</t>
        </is>
      </c>
      <c r="E12661" t="inlineStr">
        <is>
          <t>HAGFORS</t>
        </is>
      </c>
      <c r="F12661" t="inlineStr">
        <is>
          <t>Bergvik skog väst AB</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59895-2023</t>
        </is>
      </c>
      <c r="B12662" s="1" t="n">
        <v>45257</v>
      </c>
      <c r="C12662" s="1" t="n">
        <v>45736</v>
      </c>
      <c r="D12662" t="inlineStr">
        <is>
          <t>VÄRMLANDS LÄN</t>
        </is>
      </c>
      <c r="E12662" t="inlineStr">
        <is>
          <t>HAGFORS</t>
        </is>
      </c>
      <c r="F12662" t="inlineStr">
        <is>
          <t>Bergvik skog väst AB</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59755-2023</t>
        </is>
      </c>
      <c r="B12663" s="1" t="n">
        <v>45257</v>
      </c>
      <c r="C12663" s="1" t="n">
        <v>45736</v>
      </c>
      <c r="D12663" t="inlineStr">
        <is>
          <t>VÄRMLANDS LÄN</t>
        </is>
      </c>
      <c r="E12663" t="inlineStr">
        <is>
          <t>ARVIKA</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59735-2023</t>
        </is>
      </c>
      <c r="B12664" s="1" t="n">
        <v>45257</v>
      </c>
      <c r="C12664" s="1" t="n">
        <v>45736</v>
      </c>
      <c r="D12664" t="inlineStr">
        <is>
          <t>VÄRMLANDS LÄN</t>
        </is>
      </c>
      <c r="E12664" t="inlineStr">
        <is>
          <t>HAGFORS</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59727-2023</t>
        </is>
      </c>
      <c r="B12665" s="1" t="n">
        <v>45257</v>
      </c>
      <c r="C12665" s="1" t="n">
        <v>45736</v>
      </c>
      <c r="D12665" t="inlineStr">
        <is>
          <t>VÄRMLANDS LÄN</t>
        </is>
      </c>
      <c r="E12665" t="inlineStr">
        <is>
          <t>GRUMS</t>
        </is>
      </c>
      <c r="F12665" t="inlineStr">
        <is>
          <t>Bergvik skog väst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59989-2023</t>
        </is>
      </c>
      <c r="B12666" s="1" t="n">
        <v>45257</v>
      </c>
      <c r="C12666" s="1" t="n">
        <v>45736</v>
      </c>
      <c r="D12666" t="inlineStr">
        <is>
          <t>VÄRMLANDS LÄN</t>
        </is>
      </c>
      <c r="E12666" t="inlineStr">
        <is>
          <t>EDA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60296-2023</t>
        </is>
      </c>
      <c r="B12667" s="1" t="n">
        <v>45257</v>
      </c>
      <c r="C12667" s="1" t="n">
        <v>45736</v>
      </c>
      <c r="D12667" t="inlineStr">
        <is>
          <t>VÄRMLANDS LÄN</t>
        </is>
      </c>
      <c r="E12667" t="inlineStr">
        <is>
          <t>FILIPSTAD</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60191-2023</t>
        </is>
      </c>
      <c r="B12668" s="1" t="n">
        <v>45257</v>
      </c>
      <c r="C12668" s="1" t="n">
        <v>45736</v>
      </c>
      <c r="D12668" t="inlineStr">
        <is>
          <t>VÄRMLANDS LÄN</t>
        </is>
      </c>
      <c r="E12668" t="inlineStr">
        <is>
          <t>ÅRJÄNG</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60202-2023</t>
        </is>
      </c>
      <c r="B12669" s="1" t="n">
        <v>45257</v>
      </c>
      <c r="C12669" s="1" t="n">
        <v>45736</v>
      </c>
      <c r="D12669" t="inlineStr">
        <is>
          <t>VÄRMLANDS LÄN</t>
        </is>
      </c>
      <c r="E12669" t="inlineStr">
        <is>
          <t>ÅRJÄNG</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59941-2023</t>
        </is>
      </c>
      <c r="B12670" s="1" t="n">
        <v>45257</v>
      </c>
      <c r="C12670" s="1" t="n">
        <v>45736</v>
      </c>
      <c r="D12670" t="inlineStr">
        <is>
          <t>VÄRMLANDS LÄN</t>
        </is>
      </c>
      <c r="E12670" t="inlineStr">
        <is>
          <t>TORSBY</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59822-2023</t>
        </is>
      </c>
      <c r="B12671" s="1" t="n">
        <v>45257</v>
      </c>
      <c r="C12671" s="1" t="n">
        <v>45736</v>
      </c>
      <c r="D12671" t="inlineStr">
        <is>
          <t>VÄRMLANDS LÄN</t>
        </is>
      </c>
      <c r="E12671" t="inlineStr">
        <is>
          <t>HAGFORS</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59872-2023</t>
        </is>
      </c>
      <c r="B12672" s="1" t="n">
        <v>45257</v>
      </c>
      <c r="C12672" s="1" t="n">
        <v>45736</v>
      </c>
      <c r="D12672" t="inlineStr">
        <is>
          <t>VÄRMLANDS LÄN</t>
        </is>
      </c>
      <c r="E12672" t="inlineStr">
        <is>
          <t>TORSBY</t>
        </is>
      </c>
      <c r="F12672" t="inlineStr">
        <is>
          <t>Bergvik skog väst AB</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59881-2023</t>
        </is>
      </c>
      <c r="B12673" s="1" t="n">
        <v>45257</v>
      </c>
      <c r="C12673" s="1" t="n">
        <v>45736</v>
      </c>
      <c r="D12673" t="inlineStr">
        <is>
          <t>VÄRMLANDS LÄN</t>
        </is>
      </c>
      <c r="E12673" t="inlineStr">
        <is>
          <t>HAGFORS</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59937-2023</t>
        </is>
      </c>
      <c r="B12674" s="1" t="n">
        <v>45257</v>
      </c>
      <c r="C12674" s="1" t="n">
        <v>45736</v>
      </c>
      <c r="D12674" t="inlineStr">
        <is>
          <t>VÄRMLANDS LÄN</t>
        </is>
      </c>
      <c r="E12674" t="inlineStr">
        <is>
          <t>ÅRJÄNG</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60207-2023</t>
        </is>
      </c>
      <c r="B12675" s="1" t="n">
        <v>45257</v>
      </c>
      <c r="C12675" s="1" t="n">
        <v>45736</v>
      </c>
      <c r="D12675" t="inlineStr">
        <is>
          <t>VÄRMLANDS LÄN</t>
        </is>
      </c>
      <c r="E12675" t="inlineStr">
        <is>
          <t>ÅRJÄNG</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60172-2023</t>
        </is>
      </c>
      <c r="B12676" s="1" t="n">
        <v>45257</v>
      </c>
      <c r="C12676" s="1" t="n">
        <v>45736</v>
      </c>
      <c r="D12676" t="inlineStr">
        <is>
          <t>VÄRMLANDS LÄN</t>
        </is>
      </c>
      <c r="E12676" t="inlineStr">
        <is>
          <t>ÅRJÄNG</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60019-2023</t>
        </is>
      </c>
      <c r="B12677" s="1" t="n">
        <v>45258</v>
      </c>
      <c r="C12677" s="1" t="n">
        <v>45736</v>
      </c>
      <c r="D12677" t="inlineStr">
        <is>
          <t>VÄRMLANDS LÄN</t>
        </is>
      </c>
      <c r="E12677" t="inlineStr">
        <is>
          <t>SÄFFLE</t>
        </is>
      </c>
      <c r="G12677" t="n">
        <v>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60058-2023</t>
        </is>
      </c>
      <c r="B12678" s="1" t="n">
        <v>45258</v>
      </c>
      <c r="C12678" s="1" t="n">
        <v>45736</v>
      </c>
      <c r="D12678" t="inlineStr">
        <is>
          <t>VÄRMLANDS LÄN</t>
        </is>
      </c>
      <c r="E12678" t="inlineStr">
        <is>
          <t>TORSBY</t>
        </is>
      </c>
      <c r="G12678" t="n">
        <v>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60018-2023</t>
        </is>
      </c>
      <c r="B12679" s="1" t="n">
        <v>45258</v>
      </c>
      <c r="C12679" s="1" t="n">
        <v>45736</v>
      </c>
      <c r="D12679" t="inlineStr">
        <is>
          <t>VÄRMLANDS LÄN</t>
        </is>
      </c>
      <c r="E12679" t="inlineStr">
        <is>
          <t>SÄFFLE</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60022-2023</t>
        </is>
      </c>
      <c r="B12680" s="1" t="n">
        <v>45258</v>
      </c>
      <c r="C12680" s="1" t="n">
        <v>45736</v>
      </c>
      <c r="D12680" t="inlineStr">
        <is>
          <t>VÄRMLANDS LÄN</t>
        </is>
      </c>
      <c r="E12680" t="inlineStr">
        <is>
          <t>KARLSTAD</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60046-2023</t>
        </is>
      </c>
      <c r="B12681" s="1" t="n">
        <v>45258</v>
      </c>
      <c r="C12681" s="1" t="n">
        <v>45736</v>
      </c>
      <c r="D12681" t="inlineStr">
        <is>
          <t>VÄRMLANDS LÄN</t>
        </is>
      </c>
      <c r="E12681" t="inlineStr">
        <is>
          <t>TORSBY</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60100-2023</t>
        </is>
      </c>
      <c r="B12682" s="1" t="n">
        <v>45258</v>
      </c>
      <c r="C12682" s="1" t="n">
        <v>45736</v>
      </c>
      <c r="D12682" t="inlineStr">
        <is>
          <t>VÄRMLANDS LÄN</t>
        </is>
      </c>
      <c r="E12682" t="inlineStr">
        <is>
          <t>TORSBY</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60178-2023</t>
        </is>
      </c>
      <c r="B12683" s="1" t="n">
        <v>45258</v>
      </c>
      <c r="C12683" s="1" t="n">
        <v>45736</v>
      </c>
      <c r="D12683" t="inlineStr">
        <is>
          <t>VÄRMLANDS LÄN</t>
        </is>
      </c>
      <c r="E12683" t="inlineStr">
        <is>
          <t>HAGFORS</t>
        </is>
      </c>
      <c r="F12683" t="inlineStr">
        <is>
          <t>Bergvik skog väst AB</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60186-2023</t>
        </is>
      </c>
      <c r="B12684" s="1" t="n">
        <v>45258</v>
      </c>
      <c r="C12684" s="1" t="n">
        <v>45736</v>
      </c>
      <c r="D12684" t="inlineStr">
        <is>
          <t>VÄRMLANDS LÄN</t>
        </is>
      </c>
      <c r="E12684" t="inlineStr">
        <is>
          <t>KRISTINEHAMN</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60020-2023</t>
        </is>
      </c>
      <c r="B12685" s="1" t="n">
        <v>45258</v>
      </c>
      <c r="C12685" s="1" t="n">
        <v>45736</v>
      </c>
      <c r="D12685" t="inlineStr">
        <is>
          <t>VÄRMLANDS LÄN</t>
        </is>
      </c>
      <c r="E12685" t="inlineStr">
        <is>
          <t>KARLSTAD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60088-2023</t>
        </is>
      </c>
      <c r="B12686" s="1" t="n">
        <v>45258</v>
      </c>
      <c r="C12686" s="1" t="n">
        <v>45736</v>
      </c>
      <c r="D12686" t="inlineStr">
        <is>
          <t>VÄRMLANDS LÄN</t>
        </is>
      </c>
      <c r="E12686" t="inlineStr">
        <is>
          <t>TORSBY</t>
        </is>
      </c>
      <c r="F12686" t="inlineStr">
        <is>
          <t>Bergvik skog väst AB</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60025-2023</t>
        </is>
      </c>
      <c r="B12687" s="1" t="n">
        <v>45258</v>
      </c>
      <c r="C12687" s="1" t="n">
        <v>45736</v>
      </c>
      <c r="D12687" t="inlineStr">
        <is>
          <t>VÄRMLANDS LÄN</t>
        </is>
      </c>
      <c r="E12687" t="inlineStr">
        <is>
          <t>KARLSTAD</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60167-2023</t>
        </is>
      </c>
      <c r="B12688" s="1" t="n">
        <v>45258</v>
      </c>
      <c r="C12688" s="1" t="n">
        <v>45736</v>
      </c>
      <c r="D12688" t="inlineStr">
        <is>
          <t>VÄRMLANDS LÄN</t>
        </is>
      </c>
      <c r="E12688" t="inlineStr">
        <is>
          <t>HAGFORS</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60240-2023</t>
        </is>
      </c>
      <c r="B12689" s="1" t="n">
        <v>45258</v>
      </c>
      <c r="C12689" s="1" t="n">
        <v>45736</v>
      </c>
      <c r="D12689" t="inlineStr">
        <is>
          <t>VÄRMLANDS LÄN</t>
        </is>
      </c>
      <c r="E12689" t="inlineStr">
        <is>
          <t>FILIPSTAD</t>
        </is>
      </c>
      <c r="F12689" t="inlineStr">
        <is>
          <t>Bergvik skog väst AB</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60133-2023</t>
        </is>
      </c>
      <c r="B12690" s="1" t="n">
        <v>45258</v>
      </c>
      <c r="C12690" s="1" t="n">
        <v>45736</v>
      </c>
      <c r="D12690" t="inlineStr">
        <is>
          <t>VÄRMLANDS LÄN</t>
        </is>
      </c>
      <c r="E12690" t="inlineStr">
        <is>
          <t>TORSBY</t>
        </is>
      </c>
      <c r="F12690" t="inlineStr">
        <is>
          <t>Bergvik skog väst AB</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60163-2023</t>
        </is>
      </c>
      <c r="B12691" s="1" t="n">
        <v>45258</v>
      </c>
      <c r="C12691" s="1" t="n">
        <v>45736</v>
      </c>
      <c r="D12691" t="inlineStr">
        <is>
          <t>VÄRMLANDS LÄN</t>
        </is>
      </c>
      <c r="E12691" t="inlineStr">
        <is>
          <t>KARLSTAD</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60170-2023</t>
        </is>
      </c>
      <c r="B12692" s="1" t="n">
        <v>45258</v>
      </c>
      <c r="C12692" s="1" t="n">
        <v>45736</v>
      </c>
      <c r="D12692" t="inlineStr">
        <is>
          <t>VÄRMLANDS LÄN</t>
        </is>
      </c>
      <c r="E12692" t="inlineStr">
        <is>
          <t>FORSHAGA</t>
        </is>
      </c>
      <c r="F12692" t="inlineStr">
        <is>
          <t>Bergvik skog väst AB</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60184-2023</t>
        </is>
      </c>
      <c r="B12693" s="1" t="n">
        <v>45258</v>
      </c>
      <c r="C12693" s="1" t="n">
        <v>45736</v>
      </c>
      <c r="D12693" t="inlineStr">
        <is>
          <t>VÄRMLANDS LÄN</t>
        </is>
      </c>
      <c r="E12693" t="inlineStr">
        <is>
          <t>KARLSTAD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60221-2023</t>
        </is>
      </c>
      <c r="B12694" s="1" t="n">
        <v>45258</v>
      </c>
      <c r="C12694" s="1" t="n">
        <v>45736</v>
      </c>
      <c r="D12694" t="inlineStr">
        <is>
          <t>VÄRMLANDS LÄN</t>
        </is>
      </c>
      <c r="E12694" t="inlineStr">
        <is>
          <t>HAGFORS</t>
        </is>
      </c>
      <c r="F12694" t="inlineStr">
        <is>
          <t>Bergvik skog väst AB</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60314-2023</t>
        </is>
      </c>
      <c r="B12695" s="1" t="n">
        <v>45258</v>
      </c>
      <c r="C12695" s="1" t="n">
        <v>45736</v>
      </c>
      <c r="D12695" t="inlineStr">
        <is>
          <t>VÄRMLANDS LÄN</t>
        </is>
      </c>
      <c r="E12695" t="inlineStr">
        <is>
          <t>TORSBY</t>
        </is>
      </c>
      <c r="G12695" t="n">
        <v>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60278-2023</t>
        </is>
      </c>
      <c r="B12696" s="1" t="n">
        <v>45258</v>
      </c>
      <c r="C12696" s="1" t="n">
        <v>45736</v>
      </c>
      <c r="D12696" t="inlineStr">
        <is>
          <t>VÄRMLANDS LÄN</t>
        </is>
      </c>
      <c r="E12696" t="inlineStr">
        <is>
          <t>EDA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60350-2023</t>
        </is>
      </c>
      <c r="B12697" s="1" t="n">
        <v>45258</v>
      </c>
      <c r="C12697" s="1" t="n">
        <v>45736</v>
      </c>
      <c r="D12697" t="inlineStr">
        <is>
          <t>VÄRMLANDS LÄN</t>
        </is>
      </c>
      <c r="E12697" t="inlineStr">
        <is>
          <t>FILIPSTAD</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60377-2023</t>
        </is>
      </c>
      <c r="B12698" s="1" t="n">
        <v>45259</v>
      </c>
      <c r="C12698" s="1" t="n">
        <v>45736</v>
      </c>
      <c r="D12698" t="inlineStr">
        <is>
          <t>VÄRMLANDS LÄN</t>
        </is>
      </c>
      <c r="E12698" t="inlineStr">
        <is>
          <t>ÅRJÄNG</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60430-2023</t>
        </is>
      </c>
      <c r="B12699" s="1" t="n">
        <v>45259</v>
      </c>
      <c r="C12699" s="1" t="n">
        <v>45736</v>
      </c>
      <c r="D12699" t="inlineStr">
        <is>
          <t>VÄRMLANDS LÄN</t>
        </is>
      </c>
      <c r="E12699" t="inlineStr">
        <is>
          <t>KARLSTAD</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60523-2023</t>
        </is>
      </c>
      <c r="B12700" s="1" t="n">
        <v>45259</v>
      </c>
      <c r="C12700" s="1" t="n">
        <v>45736</v>
      </c>
      <c r="D12700" t="inlineStr">
        <is>
          <t>VÄRMLANDS LÄN</t>
        </is>
      </c>
      <c r="E12700" t="inlineStr">
        <is>
          <t>TORSBY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60531-2023</t>
        </is>
      </c>
      <c r="B12701" s="1" t="n">
        <v>45259</v>
      </c>
      <c r="C12701" s="1" t="n">
        <v>45736</v>
      </c>
      <c r="D12701" t="inlineStr">
        <is>
          <t>VÄRMLANDS LÄN</t>
        </is>
      </c>
      <c r="E12701" t="inlineStr">
        <is>
          <t>SUNNE</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60344-2023</t>
        </is>
      </c>
      <c r="B12702" s="1" t="n">
        <v>45259</v>
      </c>
      <c r="C12702" s="1" t="n">
        <v>45736</v>
      </c>
      <c r="D12702" t="inlineStr">
        <is>
          <t>VÄRMLANDS LÄN</t>
        </is>
      </c>
      <c r="E12702" t="inlineStr">
        <is>
          <t>ARVIKA</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60486-2023</t>
        </is>
      </c>
      <c r="B12703" s="1" t="n">
        <v>45259</v>
      </c>
      <c r="C12703" s="1" t="n">
        <v>45736</v>
      </c>
      <c r="D12703" t="inlineStr">
        <is>
          <t>VÄRMLANDS LÄN</t>
        </is>
      </c>
      <c r="E12703" t="inlineStr">
        <is>
          <t>TORSBY</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60366-2023</t>
        </is>
      </c>
      <c r="B12704" s="1" t="n">
        <v>45259</v>
      </c>
      <c r="C12704" s="1" t="n">
        <v>45736</v>
      </c>
      <c r="D12704" t="inlineStr">
        <is>
          <t>VÄRMLANDS LÄN</t>
        </is>
      </c>
      <c r="E12704" t="inlineStr">
        <is>
          <t>ARVIKA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60381-2023</t>
        </is>
      </c>
      <c r="B12705" s="1" t="n">
        <v>45259</v>
      </c>
      <c r="C12705" s="1" t="n">
        <v>45736</v>
      </c>
      <c r="D12705" t="inlineStr">
        <is>
          <t>VÄRMLANDS LÄN</t>
        </is>
      </c>
      <c r="E12705" t="inlineStr">
        <is>
          <t>ÅRJÄNG</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60525-2023</t>
        </is>
      </c>
      <c r="B12706" s="1" t="n">
        <v>45259</v>
      </c>
      <c r="C12706" s="1" t="n">
        <v>45736</v>
      </c>
      <c r="D12706" t="inlineStr">
        <is>
          <t>VÄRMLANDS LÄN</t>
        </is>
      </c>
      <c r="E12706" t="inlineStr">
        <is>
          <t>TORSBY</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60539-2023</t>
        </is>
      </c>
      <c r="B12707" s="1" t="n">
        <v>45259</v>
      </c>
      <c r="C12707" s="1" t="n">
        <v>45736</v>
      </c>
      <c r="D12707" t="inlineStr">
        <is>
          <t>VÄRMLANDS LÄN</t>
        </is>
      </c>
      <c r="E12707" t="inlineStr">
        <is>
          <t>SUNNE</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60541-2023</t>
        </is>
      </c>
      <c r="B12708" s="1" t="n">
        <v>45259</v>
      </c>
      <c r="C12708" s="1" t="n">
        <v>45736</v>
      </c>
      <c r="D12708" t="inlineStr">
        <is>
          <t>VÄRMLANDS LÄN</t>
        </is>
      </c>
      <c r="E12708" t="inlineStr">
        <is>
          <t>SUNNE</t>
        </is>
      </c>
      <c r="G12708" t="n">
        <v>11.1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60549-2023</t>
        </is>
      </c>
      <c r="B12709" s="1" t="n">
        <v>45259</v>
      </c>
      <c r="C12709" s="1" t="n">
        <v>45736</v>
      </c>
      <c r="D12709" t="inlineStr">
        <is>
          <t>VÄRMLANDS LÄN</t>
        </is>
      </c>
      <c r="E12709" t="inlineStr">
        <is>
          <t>ÅRJÄNG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60664-2023</t>
        </is>
      </c>
      <c r="B12710" s="1" t="n">
        <v>45259</v>
      </c>
      <c r="C12710" s="1" t="n">
        <v>45736</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60593-2023</t>
        </is>
      </c>
      <c r="B12711" s="1" t="n">
        <v>45260</v>
      </c>
      <c r="C12711" s="1" t="n">
        <v>45736</v>
      </c>
      <c r="D12711" t="inlineStr">
        <is>
          <t>VÄRMLANDS LÄN</t>
        </is>
      </c>
      <c r="E12711" t="inlineStr">
        <is>
          <t>ARVIKA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60728-2023</t>
        </is>
      </c>
      <c r="B12712" s="1" t="n">
        <v>45260</v>
      </c>
      <c r="C12712" s="1" t="n">
        <v>45736</v>
      </c>
      <c r="D12712" t="inlineStr">
        <is>
          <t>VÄRMLANDS LÄN</t>
        </is>
      </c>
      <c r="E12712" t="inlineStr">
        <is>
          <t>MUNKFORS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60609-2023</t>
        </is>
      </c>
      <c r="B12713" s="1" t="n">
        <v>45260</v>
      </c>
      <c r="C12713" s="1" t="n">
        <v>45736</v>
      </c>
      <c r="D12713" t="inlineStr">
        <is>
          <t>VÄRMLANDS LÄN</t>
        </is>
      </c>
      <c r="E12713" t="inlineStr">
        <is>
          <t>KARLSTAD</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60689-2023</t>
        </is>
      </c>
      <c r="B12714" s="1" t="n">
        <v>45260</v>
      </c>
      <c r="C12714" s="1" t="n">
        <v>45736</v>
      </c>
      <c r="D12714" t="inlineStr">
        <is>
          <t>VÄRMLANDS LÄN</t>
        </is>
      </c>
      <c r="E12714" t="inlineStr">
        <is>
          <t>SUNNE</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60693-2023</t>
        </is>
      </c>
      <c r="B12715" s="1" t="n">
        <v>45260</v>
      </c>
      <c r="C12715" s="1" t="n">
        <v>45736</v>
      </c>
      <c r="D12715" t="inlineStr">
        <is>
          <t>VÄRMLANDS LÄN</t>
        </is>
      </c>
      <c r="E12715" t="inlineStr">
        <is>
          <t>ARVIKA</t>
        </is>
      </c>
      <c r="F12715" t="inlineStr">
        <is>
          <t>Bergvik skog väst AB</t>
        </is>
      </c>
      <c r="G12715" t="n">
        <v>13.2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60735-2023</t>
        </is>
      </c>
      <c r="B12716" s="1" t="n">
        <v>45260</v>
      </c>
      <c r="C12716" s="1" t="n">
        <v>45736</v>
      </c>
      <c r="D12716" t="inlineStr">
        <is>
          <t>VÄRMLANDS LÄN</t>
        </is>
      </c>
      <c r="E12716" t="inlineStr">
        <is>
          <t>ARVIKA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60827-2023</t>
        </is>
      </c>
      <c r="B12717" s="1" t="n">
        <v>45260</v>
      </c>
      <c r="C12717" s="1" t="n">
        <v>45736</v>
      </c>
      <c r="D12717" t="inlineStr">
        <is>
          <t>VÄRMLANDS LÄN</t>
        </is>
      </c>
      <c r="E12717" t="inlineStr">
        <is>
          <t>SUNNE</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60696-2023</t>
        </is>
      </c>
      <c r="B12718" s="1" t="n">
        <v>45260</v>
      </c>
      <c r="C12718" s="1" t="n">
        <v>45736</v>
      </c>
      <c r="D12718" t="inlineStr">
        <is>
          <t>VÄRMLANDS LÄN</t>
        </is>
      </c>
      <c r="E12718" t="inlineStr">
        <is>
          <t>SUNNE</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60738-2023</t>
        </is>
      </c>
      <c r="B12719" s="1" t="n">
        <v>45260</v>
      </c>
      <c r="C12719" s="1" t="n">
        <v>45736</v>
      </c>
      <c r="D12719" t="inlineStr">
        <is>
          <t>VÄRMLANDS LÄN</t>
        </is>
      </c>
      <c r="E12719" t="inlineStr">
        <is>
          <t>KRISTINEHAMN</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60872-2023</t>
        </is>
      </c>
      <c r="B12720" s="1" t="n">
        <v>45261</v>
      </c>
      <c r="C12720" s="1" t="n">
        <v>45736</v>
      </c>
      <c r="D12720" t="inlineStr">
        <is>
          <t>VÄRMLANDS LÄN</t>
        </is>
      </c>
      <c r="E12720" t="inlineStr">
        <is>
          <t>EDA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61095-2023</t>
        </is>
      </c>
      <c r="B12721" s="1" t="n">
        <v>45260</v>
      </c>
      <c r="C12721" s="1" t="n">
        <v>45736</v>
      </c>
      <c r="D12721" t="inlineStr">
        <is>
          <t>VÄRMLANDS LÄN</t>
        </is>
      </c>
      <c r="E12721" t="inlineStr">
        <is>
          <t>KARLSTAD</t>
        </is>
      </c>
      <c r="G12721" t="n">
        <v>10.4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61111-2023</t>
        </is>
      </c>
      <c r="B12722" s="1" t="n">
        <v>45260</v>
      </c>
      <c r="C12722" s="1" t="n">
        <v>45736</v>
      </c>
      <c r="D12722" t="inlineStr">
        <is>
          <t>VÄRMLANDS LÄN</t>
        </is>
      </c>
      <c r="E12722" t="inlineStr">
        <is>
          <t>KARLSTAD</t>
        </is>
      </c>
      <c r="G12722" t="n">
        <v>10.6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61084-2023</t>
        </is>
      </c>
      <c r="B12723" s="1" t="n">
        <v>45260</v>
      </c>
      <c r="C12723" s="1" t="n">
        <v>45736</v>
      </c>
      <c r="D12723" t="inlineStr">
        <is>
          <t>VÄRMLANDS LÄN</t>
        </is>
      </c>
      <c r="E12723" t="inlineStr">
        <is>
          <t>KARLSTAD</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61102-2023</t>
        </is>
      </c>
      <c r="B12724" s="1" t="n">
        <v>45260</v>
      </c>
      <c r="C12724" s="1" t="n">
        <v>45736</v>
      </c>
      <c r="D12724" t="inlineStr">
        <is>
          <t>VÄRMLANDS LÄN</t>
        </is>
      </c>
      <c r="E12724" t="inlineStr">
        <is>
          <t>KARLSTAD</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61112-2023</t>
        </is>
      </c>
      <c r="B12725" s="1" t="n">
        <v>45260</v>
      </c>
      <c r="C12725" s="1" t="n">
        <v>45736</v>
      </c>
      <c r="D12725" t="inlineStr">
        <is>
          <t>VÄRMLANDS LÄN</t>
        </is>
      </c>
      <c r="E12725" t="inlineStr">
        <is>
          <t>KARLSTAD</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61070-2023</t>
        </is>
      </c>
      <c r="B12726" s="1" t="n">
        <v>45260</v>
      </c>
      <c r="C12726" s="1" t="n">
        <v>45736</v>
      </c>
      <c r="D12726" t="inlineStr">
        <is>
          <t>VÄRMLANDS LÄN</t>
        </is>
      </c>
      <c r="E12726" t="inlineStr">
        <is>
          <t>KARLSTAD</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61108-2023</t>
        </is>
      </c>
      <c r="B12727" s="1" t="n">
        <v>45260</v>
      </c>
      <c r="C12727" s="1" t="n">
        <v>45736</v>
      </c>
      <c r="D12727" t="inlineStr">
        <is>
          <t>VÄRMLANDS LÄN</t>
        </is>
      </c>
      <c r="E12727" t="inlineStr">
        <is>
          <t>KARLSTAD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61293-2023</t>
        </is>
      </c>
      <c r="B12728" s="1" t="n">
        <v>45260</v>
      </c>
      <c r="C12728" s="1" t="n">
        <v>45736</v>
      </c>
      <c r="D12728" t="inlineStr">
        <is>
          <t>VÄRMLANDS LÄN</t>
        </is>
      </c>
      <c r="E12728" t="inlineStr">
        <is>
          <t>EDA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61106-2023</t>
        </is>
      </c>
      <c r="B12729" s="1" t="n">
        <v>45260</v>
      </c>
      <c r="C12729" s="1" t="n">
        <v>45736</v>
      </c>
      <c r="D12729" t="inlineStr">
        <is>
          <t>VÄRMLANDS LÄN</t>
        </is>
      </c>
      <c r="E12729" t="inlineStr">
        <is>
          <t>KARLSTAD</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60893-2023</t>
        </is>
      </c>
      <c r="B12730" s="1" t="n">
        <v>45261</v>
      </c>
      <c r="C12730" s="1" t="n">
        <v>45736</v>
      </c>
      <c r="D12730" t="inlineStr">
        <is>
          <t>VÄRMLANDS LÄN</t>
        </is>
      </c>
      <c r="E12730" t="inlineStr">
        <is>
          <t>EDA</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60887-2023</t>
        </is>
      </c>
      <c r="B12731" s="1" t="n">
        <v>45261</v>
      </c>
      <c r="C12731" s="1" t="n">
        <v>45736</v>
      </c>
      <c r="D12731" t="inlineStr">
        <is>
          <t>VÄRMLANDS LÄN</t>
        </is>
      </c>
      <c r="E12731" t="inlineStr">
        <is>
          <t>EDA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60886-2023</t>
        </is>
      </c>
      <c r="B12732" s="1" t="n">
        <v>45261</v>
      </c>
      <c r="C12732" s="1" t="n">
        <v>45736</v>
      </c>
      <c r="D12732" t="inlineStr">
        <is>
          <t>VÄRMLANDS LÄN</t>
        </is>
      </c>
      <c r="E12732" t="inlineStr">
        <is>
          <t>ÅRJÄNG</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60903-2023</t>
        </is>
      </c>
      <c r="B12733" s="1" t="n">
        <v>45261</v>
      </c>
      <c r="C12733" s="1" t="n">
        <v>45736</v>
      </c>
      <c r="D12733" t="inlineStr">
        <is>
          <t>VÄRMLANDS LÄN</t>
        </is>
      </c>
      <c r="E12733" t="inlineStr">
        <is>
          <t>ÅRJÄNG</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60884-2023</t>
        </is>
      </c>
      <c r="B12734" s="1" t="n">
        <v>45261</v>
      </c>
      <c r="C12734" s="1" t="n">
        <v>45736</v>
      </c>
      <c r="D12734" t="inlineStr">
        <is>
          <t>VÄRMLANDS LÄN</t>
        </is>
      </c>
      <c r="E12734" t="inlineStr">
        <is>
          <t>EDA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60947-2023</t>
        </is>
      </c>
      <c r="B12735" s="1" t="n">
        <v>45261</v>
      </c>
      <c r="C12735" s="1" t="n">
        <v>45736</v>
      </c>
      <c r="D12735" t="inlineStr">
        <is>
          <t>VÄRMLANDS LÄN</t>
        </is>
      </c>
      <c r="E12735" t="inlineStr">
        <is>
          <t>KARLSTAD</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60916-2023</t>
        </is>
      </c>
      <c r="B12736" s="1" t="n">
        <v>45261</v>
      </c>
      <c r="C12736" s="1" t="n">
        <v>45736</v>
      </c>
      <c r="D12736" t="inlineStr">
        <is>
          <t>VÄRMLANDS LÄN</t>
        </is>
      </c>
      <c r="E12736" t="inlineStr">
        <is>
          <t>ÅRJÄNG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60943-2023</t>
        </is>
      </c>
      <c r="B12737" s="1" t="n">
        <v>45261</v>
      </c>
      <c r="C12737" s="1" t="n">
        <v>45736</v>
      </c>
      <c r="D12737" t="inlineStr">
        <is>
          <t>VÄRMLANDS LÄN</t>
        </is>
      </c>
      <c r="E12737" t="inlineStr">
        <is>
          <t>ARVIKA</t>
        </is>
      </c>
      <c r="F12737" t="inlineStr">
        <is>
          <t>Bergvik skog väst AB</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61023-2023</t>
        </is>
      </c>
      <c r="B12738" s="1" t="n">
        <v>45261</v>
      </c>
      <c r="C12738" s="1" t="n">
        <v>45736</v>
      </c>
      <c r="D12738" t="inlineStr">
        <is>
          <t>VÄRMLANDS LÄN</t>
        </is>
      </c>
      <c r="E12738" t="inlineStr">
        <is>
          <t>KARLSTAD</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60968-2023</t>
        </is>
      </c>
      <c r="B12739" s="1" t="n">
        <v>45261</v>
      </c>
      <c r="C12739" s="1" t="n">
        <v>45736</v>
      </c>
      <c r="D12739" t="inlineStr">
        <is>
          <t>VÄRMLANDS LÄN</t>
        </is>
      </c>
      <c r="E12739" t="inlineStr">
        <is>
          <t>FILIPSTAD</t>
        </is>
      </c>
      <c r="F12739" t="inlineStr">
        <is>
          <t>Bergvik skog väst AB</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61073-2023</t>
        </is>
      </c>
      <c r="B12740" s="1" t="n">
        <v>45261</v>
      </c>
      <c r="C12740" s="1" t="n">
        <v>45736</v>
      </c>
      <c r="D12740" t="inlineStr">
        <is>
          <t>VÄRMLANDS LÄN</t>
        </is>
      </c>
      <c r="E12740" t="inlineStr">
        <is>
          <t>SUNNE</t>
        </is>
      </c>
      <c r="G12740" t="n">
        <v>18.6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61005-2023</t>
        </is>
      </c>
      <c r="B12741" s="1" t="n">
        <v>45261</v>
      </c>
      <c r="C12741" s="1" t="n">
        <v>45736</v>
      </c>
      <c r="D12741" t="inlineStr">
        <is>
          <t>VÄRMLANDS LÄN</t>
        </is>
      </c>
      <c r="E12741" t="inlineStr">
        <is>
          <t>KARLSTAD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61025-2023</t>
        </is>
      </c>
      <c r="B12742" s="1" t="n">
        <v>45261</v>
      </c>
      <c r="C12742" s="1" t="n">
        <v>45736</v>
      </c>
      <c r="D12742" t="inlineStr">
        <is>
          <t>VÄRMLANDS LÄN</t>
        </is>
      </c>
      <c r="E12742" t="inlineStr">
        <is>
          <t>HAGFORS</t>
        </is>
      </c>
      <c r="F12742" t="inlineStr">
        <is>
          <t>Bergvik skog väst AB</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61104-2023</t>
        </is>
      </c>
      <c r="B12743" s="1" t="n">
        <v>45261</v>
      </c>
      <c r="C12743" s="1" t="n">
        <v>45736</v>
      </c>
      <c r="D12743" t="inlineStr">
        <is>
          <t>VÄRMLANDS LÄN</t>
        </is>
      </c>
      <c r="E12743" t="inlineStr">
        <is>
          <t>EDA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61009-2023</t>
        </is>
      </c>
      <c r="B12744" s="1" t="n">
        <v>45261</v>
      </c>
      <c r="C12744" s="1" t="n">
        <v>45736</v>
      </c>
      <c r="D12744" t="inlineStr">
        <is>
          <t>VÄRMLANDS LÄN</t>
        </is>
      </c>
      <c r="E12744" t="inlineStr">
        <is>
          <t>KARLSTAD</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61022-2023</t>
        </is>
      </c>
      <c r="B12745" s="1" t="n">
        <v>45261</v>
      </c>
      <c r="C12745" s="1" t="n">
        <v>45736</v>
      </c>
      <c r="D12745" t="inlineStr">
        <is>
          <t>VÄRMLANDS LÄN</t>
        </is>
      </c>
      <c r="E12745" t="inlineStr">
        <is>
          <t>KARLSTAD</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61093-2023</t>
        </is>
      </c>
      <c r="B12746" s="1" t="n">
        <v>45261</v>
      </c>
      <c r="C12746" s="1" t="n">
        <v>45736</v>
      </c>
      <c r="D12746" t="inlineStr">
        <is>
          <t>VÄRMLANDS LÄN</t>
        </is>
      </c>
      <c r="E12746" t="inlineStr">
        <is>
          <t>SUNNE</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61107-2023</t>
        </is>
      </c>
      <c r="B12747" s="1" t="n">
        <v>45261</v>
      </c>
      <c r="C12747" s="1" t="n">
        <v>45736</v>
      </c>
      <c r="D12747" t="inlineStr">
        <is>
          <t>VÄRMLANDS LÄN</t>
        </is>
      </c>
      <c r="E12747" t="inlineStr">
        <is>
          <t>SUNNE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61140-2023</t>
        </is>
      </c>
      <c r="B12748" s="1" t="n">
        <v>45261</v>
      </c>
      <c r="C12748" s="1" t="n">
        <v>45736</v>
      </c>
      <c r="D12748" t="inlineStr">
        <is>
          <t>VÄRMLANDS LÄN</t>
        </is>
      </c>
      <c r="E12748" t="inlineStr">
        <is>
          <t>HAGFORS</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61432-2023</t>
        </is>
      </c>
      <c r="B12749" s="1" t="n">
        <v>45261</v>
      </c>
      <c r="C12749" s="1" t="n">
        <v>45736</v>
      </c>
      <c r="D12749" t="inlineStr">
        <is>
          <t>VÄRMLANDS LÄN</t>
        </is>
      </c>
      <c r="E12749" t="inlineStr">
        <is>
          <t>SUNNE</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61430-2023</t>
        </is>
      </c>
      <c r="B12750" s="1" t="n">
        <v>45261</v>
      </c>
      <c r="C12750" s="1" t="n">
        <v>45736</v>
      </c>
      <c r="D12750" t="inlineStr">
        <is>
          <t>VÄRMLANDS LÄN</t>
        </is>
      </c>
      <c r="E12750" t="inlineStr">
        <is>
          <t>SUNNE</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61643-2023</t>
        </is>
      </c>
      <c r="B12751" s="1" t="n">
        <v>45261</v>
      </c>
      <c r="C12751" s="1" t="n">
        <v>45736</v>
      </c>
      <c r="D12751" t="inlineStr">
        <is>
          <t>VÄRMLANDS LÄN</t>
        </is>
      </c>
      <c r="E12751" t="inlineStr">
        <is>
          <t>SÄFFLE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61157-2023</t>
        </is>
      </c>
      <c r="B12752" s="1" t="n">
        <v>45262</v>
      </c>
      <c r="C12752" s="1" t="n">
        <v>45736</v>
      </c>
      <c r="D12752" t="inlineStr">
        <is>
          <t>VÄRMLANDS LÄN</t>
        </is>
      </c>
      <c r="E12752" t="inlineStr">
        <is>
          <t>TORSBY</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61165-2023</t>
        </is>
      </c>
      <c r="B12753" s="1" t="n">
        <v>45262</v>
      </c>
      <c r="C12753" s="1" t="n">
        <v>45736</v>
      </c>
      <c r="D12753" t="inlineStr">
        <is>
          <t>VÄRMLANDS LÄN</t>
        </is>
      </c>
      <c r="E12753" t="inlineStr">
        <is>
          <t>SUNNE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61164-2023</t>
        </is>
      </c>
      <c r="B12754" s="1" t="n">
        <v>45262</v>
      </c>
      <c r="C12754" s="1" t="n">
        <v>45736</v>
      </c>
      <c r="D12754" t="inlineStr">
        <is>
          <t>VÄRMLANDS LÄN</t>
        </is>
      </c>
      <c r="E12754" t="inlineStr">
        <is>
          <t>TORSBY</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61168-2023</t>
        </is>
      </c>
      <c r="B12755" s="1" t="n">
        <v>45262</v>
      </c>
      <c r="C12755" s="1" t="n">
        <v>45736</v>
      </c>
      <c r="D12755" t="inlineStr">
        <is>
          <t>VÄRMLANDS LÄN</t>
        </is>
      </c>
      <c r="E12755" t="inlineStr">
        <is>
          <t>GRUMS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61169-2023</t>
        </is>
      </c>
      <c r="B12756" s="1" t="n">
        <v>45262</v>
      </c>
      <c r="C12756" s="1" t="n">
        <v>45736</v>
      </c>
      <c r="D12756" t="inlineStr">
        <is>
          <t>VÄRMLANDS LÄN</t>
        </is>
      </c>
      <c r="E12756" t="inlineStr">
        <is>
          <t>SUNNE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61181-2023</t>
        </is>
      </c>
      <c r="B12757" s="1" t="n">
        <v>45263</v>
      </c>
      <c r="C12757" s="1" t="n">
        <v>45736</v>
      </c>
      <c r="D12757" t="inlineStr">
        <is>
          <t>VÄRMLANDS LÄN</t>
        </is>
      </c>
      <c r="E12757" t="inlineStr">
        <is>
          <t>SUNNE</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61210-2023</t>
        </is>
      </c>
      <c r="B12758" s="1" t="n">
        <v>45264</v>
      </c>
      <c r="C12758" s="1" t="n">
        <v>45736</v>
      </c>
      <c r="D12758" t="inlineStr">
        <is>
          <t>VÄRMLANDS LÄN</t>
        </is>
      </c>
      <c r="E12758" t="inlineStr">
        <is>
          <t>KIL</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61223-2023</t>
        </is>
      </c>
      <c r="B12759" s="1" t="n">
        <v>45264</v>
      </c>
      <c r="C12759" s="1" t="n">
        <v>45736</v>
      </c>
      <c r="D12759" t="inlineStr">
        <is>
          <t>VÄRMLANDS LÄN</t>
        </is>
      </c>
      <c r="E12759" t="inlineStr">
        <is>
          <t>SÄFFLE</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61287-2023</t>
        </is>
      </c>
      <c r="B12760" s="1" t="n">
        <v>45264</v>
      </c>
      <c r="C12760" s="1" t="n">
        <v>45736</v>
      </c>
      <c r="D12760" t="inlineStr">
        <is>
          <t>VÄRMLANDS LÄN</t>
        </is>
      </c>
      <c r="E12760" t="inlineStr">
        <is>
          <t>HAGFORS</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61304-2023</t>
        </is>
      </c>
      <c r="B12761" s="1" t="n">
        <v>45264</v>
      </c>
      <c r="C12761" s="1" t="n">
        <v>45736</v>
      </c>
      <c r="D12761" t="inlineStr">
        <is>
          <t>VÄRMLANDS LÄN</t>
        </is>
      </c>
      <c r="E12761" t="inlineStr">
        <is>
          <t>HAGFORS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61330-2023</t>
        </is>
      </c>
      <c r="B12762" s="1" t="n">
        <v>45264</v>
      </c>
      <c r="C12762" s="1" t="n">
        <v>45736</v>
      </c>
      <c r="D12762" t="inlineStr">
        <is>
          <t>VÄRMLANDS LÄN</t>
        </is>
      </c>
      <c r="E12762" t="inlineStr">
        <is>
          <t>KARLSTAD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61206-2023</t>
        </is>
      </c>
      <c r="B12763" s="1" t="n">
        <v>45264</v>
      </c>
      <c r="C12763" s="1" t="n">
        <v>45736</v>
      </c>
      <c r="D12763" t="inlineStr">
        <is>
          <t>VÄRMLANDS LÄN</t>
        </is>
      </c>
      <c r="E12763" t="inlineStr">
        <is>
          <t>ARVIKA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61228-2023</t>
        </is>
      </c>
      <c r="B12764" s="1" t="n">
        <v>45264</v>
      </c>
      <c r="C12764" s="1" t="n">
        <v>45736</v>
      </c>
      <c r="D12764" t="inlineStr">
        <is>
          <t>VÄRMLANDS LÄN</t>
        </is>
      </c>
      <c r="E12764" t="inlineStr">
        <is>
          <t>STORFORS</t>
        </is>
      </c>
      <c r="F12764" t="inlineStr">
        <is>
          <t>Bergvik skog väst AB</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61238-2023</t>
        </is>
      </c>
      <c r="B12765" s="1" t="n">
        <v>45264</v>
      </c>
      <c r="C12765" s="1" t="n">
        <v>45736</v>
      </c>
      <c r="D12765" t="inlineStr">
        <is>
          <t>VÄRMLANDS LÄN</t>
        </is>
      </c>
      <c r="E12765" t="inlineStr">
        <is>
          <t>HAGFORS</t>
        </is>
      </c>
      <c r="F12765" t="inlineStr">
        <is>
          <t>Bergvik skog väst AB</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61294-2023</t>
        </is>
      </c>
      <c r="B12766" s="1" t="n">
        <v>45264</v>
      </c>
      <c r="C12766" s="1" t="n">
        <v>45736</v>
      </c>
      <c r="D12766" t="inlineStr">
        <is>
          <t>VÄRMLANDS LÄN</t>
        </is>
      </c>
      <c r="E12766" t="inlineStr">
        <is>
          <t>KARLSTAD</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61229-2023</t>
        </is>
      </c>
      <c r="B12767" s="1" t="n">
        <v>45264</v>
      </c>
      <c r="C12767" s="1" t="n">
        <v>45736</v>
      </c>
      <c r="D12767" t="inlineStr">
        <is>
          <t>VÄRMLANDS LÄN</t>
        </is>
      </c>
      <c r="E12767" t="inlineStr">
        <is>
          <t>TORSBY</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61256-2023</t>
        </is>
      </c>
      <c r="B12768" s="1" t="n">
        <v>45264</v>
      </c>
      <c r="C12768" s="1" t="n">
        <v>45736</v>
      </c>
      <c r="D12768" t="inlineStr">
        <is>
          <t>VÄRMLANDS LÄN</t>
        </is>
      </c>
      <c r="E12768" t="inlineStr">
        <is>
          <t>TORSBY</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61370-2023</t>
        </is>
      </c>
      <c r="B12769" s="1" t="n">
        <v>45264</v>
      </c>
      <c r="C12769" s="1" t="n">
        <v>45736</v>
      </c>
      <c r="D12769" t="inlineStr">
        <is>
          <t>VÄRMLANDS LÄN</t>
        </is>
      </c>
      <c r="E12769" t="inlineStr">
        <is>
          <t>TORSBY</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61383-2023</t>
        </is>
      </c>
      <c r="B12770" s="1" t="n">
        <v>45264</v>
      </c>
      <c r="C12770" s="1" t="n">
        <v>45736</v>
      </c>
      <c r="D12770" t="inlineStr">
        <is>
          <t>VÄRMLANDS LÄN</t>
        </is>
      </c>
      <c r="E12770" t="inlineStr">
        <is>
          <t>FILIPSTAD</t>
        </is>
      </c>
      <c r="F12770" t="inlineStr">
        <is>
          <t>Bergvik skog väst AB</t>
        </is>
      </c>
      <c r="G12770" t="n">
        <v>8.1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61290-2023</t>
        </is>
      </c>
      <c r="B12771" s="1" t="n">
        <v>45264</v>
      </c>
      <c r="C12771" s="1" t="n">
        <v>45736</v>
      </c>
      <c r="D12771" t="inlineStr">
        <is>
          <t>VÄRMLANDS LÄN</t>
        </is>
      </c>
      <c r="E12771" t="inlineStr">
        <is>
          <t>GRUMS</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61403-2023</t>
        </is>
      </c>
      <c r="B12772" s="1" t="n">
        <v>45264</v>
      </c>
      <c r="C12772" s="1" t="n">
        <v>45736</v>
      </c>
      <c r="D12772" t="inlineStr">
        <is>
          <t>VÄRMLANDS LÄN</t>
        </is>
      </c>
      <c r="E12772" t="inlineStr">
        <is>
          <t>SUNNE</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61419-2023</t>
        </is>
      </c>
      <c r="B12773" s="1" t="n">
        <v>45264</v>
      </c>
      <c r="C12773" s="1" t="n">
        <v>45736</v>
      </c>
      <c r="D12773" t="inlineStr">
        <is>
          <t>VÄRMLANDS LÄN</t>
        </is>
      </c>
      <c r="E12773" t="inlineStr">
        <is>
          <t>SUNNE</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61434-2023</t>
        </is>
      </c>
      <c r="B12774" s="1" t="n">
        <v>45264</v>
      </c>
      <c r="C12774" s="1" t="n">
        <v>45736</v>
      </c>
      <c r="D12774" t="inlineStr">
        <is>
          <t>VÄRMLANDS LÄN</t>
        </is>
      </c>
      <c r="E12774" t="inlineStr">
        <is>
          <t>ÅRJÄNG</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61291-2023</t>
        </is>
      </c>
      <c r="B12775" s="1" t="n">
        <v>45264</v>
      </c>
      <c r="C12775" s="1" t="n">
        <v>45736</v>
      </c>
      <c r="D12775" t="inlineStr">
        <is>
          <t>VÄRMLANDS LÄN</t>
        </is>
      </c>
      <c r="E12775" t="inlineStr">
        <is>
          <t>KARLSTAD</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61296-2023</t>
        </is>
      </c>
      <c r="B12776" s="1" t="n">
        <v>45264</v>
      </c>
      <c r="C12776" s="1" t="n">
        <v>45736</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61311-2023</t>
        </is>
      </c>
      <c r="B12777" s="1" t="n">
        <v>45264</v>
      </c>
      <c r="C12777" s="1" t="n">
        <v>45736</v>
      </c>
      <c r="D12777" t="inlineStr">
        <is>
          <t>VÄRMLANDS LÄN</t>
        </is>
      </c>
      <c r="E12777" t="inlineStr">
        <is>
          <t>HAGFORS</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61315-2023</t>
        </is>
      </c>
      <c r="B12778" s="1" t="n">
        <v>45264</v>
      </c>
      <c r="C12778" s="1" t="n">
        <v>45736</v>
      </c>
      <c r="D12778" t="inlineStr">
        <is>
          <t>VÄRMLANDS LÄN</t>
        </is>
      </c>
      <c r="E12778" t="inlineStr">
        <is>
          <t>HAGFORS</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61826-2023</t>
        </is>
      </c>
      <c r="B12779" s="1" t="n">
        <v>45264</v>
      </c>
      <c r="C12779" s="1" t="n">
        <v>45736</v>
      </c>
      <c r="D12779" t="inlineStr">
        <is>
          <t>VÄRMLANDS LÄN</t>
        </is>
      </c>
      <c r="E12779" t="inlineStr">
        <is>
          <t>KARLSTAD</t>
        </is>
      </c>
      <c r="G12779" t="n">
        <v>15.1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61906-2023</t>
        </is>
      </c>
      <c r="B12780" s="1" t="n">
        <v>45264</v>
      </c>
      <c r="C12780" s="1" t="n">
        <v>45736</v>
      </c>
      <c r="D12780" t="inlineStr">
        <is>
          <t>VÄRMLANDS LÄN</t>
        </is>
      </c>
      <c r="E12780" t="inlineStr">
        <is>
          <t>FILIPSTAD</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61609-2023</t>
        </is>
      </c>
      <c r="B12781" s="1" t="n">
        <v>45265</v>
      </c>
      <c r="C12781" s="1" t="n">
        <v>45736</v>
      </c>
      <c r="D12781" t="inlineStr">
        <is>
          <t>VÄRMLANDS LÄN</t>
        </is>
      </c>
      <c r="E12781" t="inlineStr">
        <is>
          <t>SUNNE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61641-2023</t>
        </is>
      </c>
      <c r="B12782" s="1" t="n">
        <v>45265</v>
      </c>
      <c r="C12782" s="1" t="n">
        <v>45736</v>
      </c>
      <c r="D12782" t="inlineStr">
        <is>
          <t>VÄRMLANDS LÄN</t>
        </is>
      </c>
      <c r="E12782" t="inlineStr">
        <is>
          <t>HAGFORS</t>
        </is>
      </c>
      <c r="F12782" t="inlineStr">
        <is>
          <t>Bergvik skog väst AB</t>
        </is>
      </c>
      <c r="G12782" t="n">
        <v>9.199999999999999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61544-2023</t>
        </is>
      </c>
      <c r="B12783" s="1" t="n">
        <v>45265</v>
      </c>
      <c r="C12783" s="1" t="n">
        <v>45736</v>
      </c>
      <c r="D12783" t="inlineStr">
        <is>
          <t>VÄRMLANDS LÄN</t>
        </is>
      </c>
      <c r="E12783" t="inlineStr">
        <is>
          <t>ARVIKA</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61549-2023</t>
        </is>
      </c>
      <c r="B12784" s="1" t="n">
        <v>45265</v>
      </c>
      <c r="C12784" s="1" t="n">
        <v>45736</v>
      </c>
      <c r="D12784" t="inlineStr">
        <is>
          <t>VÄRMLANDS LÄN</t>
        </is>
      </c>
      <c r="E12784" t="inlineStr">
        <is>
          <t>EDA</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61653-2023</t>
        </is>
      </c>
      <c r="B12785" s="1" t="n">
        <v>45265</v>
      </c>
      <c r="C12785" s="1" t="n">
        <v>45736</v>
      </c>
      <c r="D12785" t="inlineStr">
        <is>
          <t>VÄRMLANDS LÄN</t>
        </is>
      </c>
      <c r="E12785" t="inlineStr">
        <is>
          <t>ARVIKA</t>
        </is>
      </c>
      <c r="F12785" t="inlineStr">
        <is>
          <t>Bergvik skog väst AB</t>
        </is>
      </c>
      <c r="G12785" t="n">
        <v>8.9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61719-2023</t>
        </is>
      </c>
      <c r="B12786" s="1" t="n">
        <v>45265</v>
      </c>
      <c r="C12786" s="1" t="n">
        <v>45736</v>
      </c>
      <c r="D12786" t="inlineStr">
        <is>
          <t>VÄRMLANDS LÄN</t>
        </is>
      </c>
      <c r="E12786" t="inlineStr">
        <is>
          <t>KRISTINEHAMN</t>
        </is>
      </c>
      <c r="F12786" t="inlineStr">
        <is>
          <t>Naturvårdsverket</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61546-2023</t>
        </is>
      </c>
      <c r="B12787" s="1" t="n">
        <v>45265</v>
      </c>
      <c r="C12787" s="1" t="n">
        <v>45736</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61571-2023</t>
        </is>
      </c>
      <c r="B12788" s="1" t="n">
        <v>45265</v>
      </c>
      <c r="C12788" s="1" t="n">
        <v>45736</v>
      </c>
      <c r="D12788" t="inlineStr">
        <is>
          <t>VÄRMLANDS LÄN</t>
        </is>
      </c>
      <c r="E12788" t="inlineStr">
        <is>
          <t>ARVIKA</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61586-2023</t>
        </is>
      </c>
      <c r="B12789" s="1" t="n">
        <v>45265</v>
      </c>
      <c r="C12789" s="1" t="n">
        <v>45736</v>
      </c>
      <c r="D12789" t="inlineStr">
        <is>
          <t>VÄRMLANDS LÄN</t>
        </is>
      </c>
      <c r="E12789" t="inlineStr">
        <is>
          <t>KRISTINEHAMN</t>
        </is>
      </c>
      <c r="G12789" t="n">
        <v>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61704-2023</t>
        </is>
      </c>
      <c r="B12790" s="1" t="n">
        <v>45265</v>
      </c>
      <c r="C12790" s="1" t="n">
        <v>45736</v>
      </c>
      <c r="D12790" t="inlineStr">
        <is>
          <t>VÄRMLANDS LÄN</t>
        </is>
      </c>
      <c r="E12790" t="inlineStr">
        <is>
          <t>STORFORS</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61545-2023</t>
        </is>
      </c>
      <c r="B12791" s="1" t="n">
        <v>45265</v>
      </c>
      <c r="C12791" s="1" t="n">
        <v>45736</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61557-2023</t>
        </is>
      </c>
      <c r="B12792" s="1" t="n">
        <v>45265</v>
      </c>
      <c r="C12792" s="1" t="n">
        <v>45736</v>
      </c>
      <c r="D12792" t="inlineStr">
        <is>
          <t>VÄRMLANDS LÄN</t>
        </is>
      </c>
      <c r="E12792" t="inlineStr">
        <is>
          <t>STORFORS</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61716-2023</t>
        </is>
      </c>
      <c r="B12793" s="1" t="n">
        <v>45265</v>
      </c>
      <c r="C12793" s="1" t="n">
        <v>45736</v>
      </c>
      <c r="D12793" t="inlineStr">
        <is>
          <t>VÄRMLANDS LÄN</t>
        </is>
      </c>
      <c r="E12793" t="inlineStr">
        <is>
          <t>ARVIKA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61857-2023</t>
        </is>
      </c>
      <c r="B12794" s="1" t="n">
        <v>45265</v>
      </c>
      <c r="C12794" s="1" t="n">
        <v>45736</v>
      </c>
      <c r="D12794" t="inlineStr">
        <is>
          <t>VÄRMLANDS LÄN</t>
        </is>
      </c>
      <c r="E12794" t="inlineStr">
        <is>
          <t>ARVIKA</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61873-2023</t>
        </is>
      </c>
      <c r="B12795" s="1" t="n">
        <v>45266</v>
      </c>
      <c r="C12795" s="1" t="n">
        <v>45736</v>
      </c>
      <c r="D12795" t="inlineStr">
        <is>
          <t>VÄRMLANDS LÄN</t>
        </is>
      </c>
      <c r="E12795" t="inlineStr">
        <is>
          <t>ÅRJÄNG</t>
        </is>
      </c>
      <c r="G12795" t="n">
        <v>8.199999999999999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61923-2023</t>
        </is>
      </c>
      <c r="B12796" s="1" t="n">
        <v>45266</v>
      </c>
      <c r="C12796" s="1" t="n">
        <v>45736</v>
      </c>
      <c r="D12796" t="inlineStr">
        <is>
          <t>VÄRMLANDS LÄN</t>
        </is>
      </c>
      <c r="E12796" t="inlineStr">
        <is>
          <t>TORSBY</t>
        </is>
      </c>
      <c r="F12796" t="inlineStr">
        <is>
          <t>Kommuner</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61921-2023</t>
        </is>
      </c>
      <c r="B12797" s="1" t="n">
        <v>45266</v>
      </c>
      <c r="C12797" s="1" t="n">
        <v>45736</v>
      </c>
      <c r="D12797" t="inlineStr">
        <is>
          <t>VÄRMLANDS LÄN</t>
        </is>
      </c>
      <c r="E12797" t="inlineStr">
        <is>
          <t>TORSBY</t>
        </is>
      </c>
      <c r="F12797" t="inlineStr">
        <is>
          <t>Kommuner</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61935-2023</t>
        </is>
      </c>
      <c r="B12798" s="1" t="n">
        <v>45266</v>
      </c>
      <c r="C12798" s="1" t="n">
        <v>45736</v>
      </c>
      <c r="D12798" t="inlineStr">
        <is>
          <t>VÄRMLANDS LÄN</t>
        </is>
      </c>
      <c r="E12798" t="inlineStr">
        <is>
          <t>SÄFFLE</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61816-2023</t>
        </is>
      </c>
      <c r="B12799" s="1" t="n">
        <v>45266</v>
      </c>
      <c r="C12799" s="1" t="n">
        <v>45736</v>
      </c>
      <c r="D12799" t="inlineStr">
        <is>
          <t>VÄRMLANDS LÄN</t>
        </is>
      </c>
      <c r="E12799" t="inlineStr">
        <is>
          <t>ARVIKA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61992-2023</t>
        </is>
      </c>
      <c r="B12800" s="1" t="n">
        <v>45266</v>
      </c>
      <c r="C12800" s="1" t="n">
        <v>45736</v>
      </c>
      <c r="D12800" t="inlineStr">
        <is>
          <t>VÄRMLANDS LÄN</t>
        </is>
      </c>
      <c r="E12800" t="inlineStr">
        <is>
          <t>HAGFORS</t>
        </is>
      </c>
      <c r="F12800" t="inlineStr">
        <is>
          <t>Bergvik skog väst AB</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61818-2023</t>
        </is>
      </c>
      <c r="B12801" s="1" t="n">
        <v>45266</v>
      </c>
      <c r="C12801" s="1" t="n">
        <v>45736</v>
      </c>
      <c r="D12801" t="inlineStr">
        <is>
          <t>VÄRMLANDS LÄN</t>
        </is>
      </c>
      <c r="E12801" t="inlineStr">
        <is>
          <t>HAGFORS</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62020-2023</t>
        </is>
      </c>
      <c r="B12802" s="1" t="n">
        <v>45266</v>
      </c>
      <c r="C12802" s="1" t="n">
        <v>45736</v>
      </c>
      <c r="D12802" t="inlineStr">
        <is>
          <t>VÄRMLANDS LÄN</t>
        </is>
      </c>
      <c r="E12802" t="inlineStr">
        <is>
          <t>EDA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61878-2023</t>
        </is>
      </c>
      <c r="B12803" s="1" t="n">
        <v>45266</v>
      </c>
      <c r="C12803" s="1" t="n">
        <v>45736</v>
      </c>
      <c r="D12803" t="inlineStr">
        <is>
          <t>VÄRMLANDS LÄN</t>
        </is>
      </c>
      <c r="E12803" t="inlineStr">
        <is>
          <t>SUNNE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61991-2023</t>
        </is>
      </c>
      <c r="B12804" s="1" t="n">
        <v>45266</v>
      </c>
      <c r="C12804" s="1" t="n">
        <v>45736</v>
      </c>
      <c r="D12804" t="inlineStr">
        <is>
          <t>VÄRMLANDS LÄN</t>
        </is>
      </c>
      <c r="E12804" t="inlineStr">
        <is>
          <t>SÄFFLE</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62000-2023</t>
        </is>
      </c>
      <c r="B12805" s="1" t="n">
        <v>45266</v>
      </c>
      <c r="C12805" s="1" t="n">
        <v>45736</v>
      </c>
      <c r="D12805" t="inlineStr">
        <is>
          <t>VÄRMLANDS LÄN</t>
        </is>
      </c>
      <c r="E12805" t="inlineStr">
        <is>
          <t>SÄFFLE</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62037-2023</t>
        </is>
      </c>
      <c r="B12806" s="1" t="n">
        <v>45266</v>
      </c>
      <c r="C12806" s="1" t="n">
        <v>45736</v>
      </c>
      <c r="D12806" t="inlineStr">
        <is>
          <t>VÄRMLANDS LÄN</t>
        </is>
      </c>
      <c r="E12806" t="inlineStr">
        <is>
          <t>TORSBY</t>
        </is>
      </c>
      <c r="F12806" t="inlineStr">
        <is>
          <t>Bergvik skog väst AB</t>
        </is>
      </c>
      <c r="G12806" t="n">
        <v>8.6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61902-2023</t>
        </is>
      </c>
      <c r="B12807" s="1" t="n">
        <v>45266</v>
      </c>
      <c r="C12807" s="1" t="n">
        <v>45736</v>
      </c>
      <c r="D12807" t="inlineStr">
        <is>
          <t>VÄRMLANDS LÄN</t>
        </is>
      </c>
      <c r="E12807" t="inlineStr">
        <is>
          <t>SUNNE</t>
        </is>
      </c>
      <c r="F12807" t="inlineStr">
        <is>
          <t>Kommuner</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61940-2023</t>
        </is>
      </c>
      <c r="B12808" s="1" t="n">
        <v>45266</v>
      </c>
      <c r="C12808" s="1" t="n">
        <v>45736</v>
      </c>
      <c r="D12808" t="inlineStr">
        <is>
          <t>VÄRMLANDS LÄN</t>
        </is>
      </c>
      <c r="E12808" t="inlineStr">
        <is>
          <t>SÄFFLE</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61964-2023</t>
        </is>
      </c>
      <c r="B12809" s="1" t="n">
        <v>45266</v>
      </c>
      <c r="C12809" s="1" t="n">
        <v>45736</v>
      </c>
      <c r="D12809" t="inlineStr">
        <is>
          <t>VÄRMLANDS LÄN</t>
        </is>
      </c>
      <c r="E12809" t="inlineStr">
        <is>
          <t>HAGFORS</t>
        </is>
      </c>
      <c r="F12809" t="inlineStr">
        <is>
          <t>Bergvik skog väst AB</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61988-2023</t>
        </is>
      </c>
      <c r="B12810" s="1" t="n">
        <v>45266</v>
      </c>
      <c r="C12810" s="1" t="n">
        <v>45736</v>
      </c>
      <c r="D12810" t="inlineStr">
        <is>
          <t>VÄRMLANDS LÄN</t>
        </is>
      </c>
      <c r="E12810" t="inlineStr">
        <is>
          <t>KRISTINEHAMN</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62261-2023</t>
        </is>
      </c>
      <c r="B12811" s="1" t="n">
        <v>45266</v>
      </c>
      <c r="C12811" s="1" t="n">
        <v>45736</v>
      </c>
      <c r="D12811" t="inlineStr">
        <is>
          <t>VÄRMLANDS LÄN</t>
        </is>
      </c>
      <c r="E12811" t="inlineStr">
        <is>
          <t>ÅRJÄNG</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62258-2023</t>
        </is>
      </c>
      <c r="B12812" s="1" t="n">
        <v>45266</v>
      </c>
      <c r="C12812" s="1" t="n">
        <v>45736</v>
      </c>
      <c r="D12812" t="inlineStr">
        <is>
          <t>VÄRMLANDS LÄN</t>
        </is>
      </c>
      <c r="E12812" t="inlineStr">
        <is>
          <t>TORSBY</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62273-2023</t>
        </is>
      </c>
      <c r="B12813" s="1" t="n">
        <v>45266</v>
      </c>
      <c r="C12813" s="1" t="n">
        <v>45736</v>
      </c>
      <c r="D12813" t="inlineStr">
        <is>
          <t>VÄRMLANDS LÄN</t>
        </is>
      </c>
      <c r="E12813" t="inlineStr">
        <is>
          <t>ÅRJÄNG</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62266-2023</t>
        </is>
      </c>
      <c r="B12814" s="1" t="n">
        <v>45266</v>
      </c>
      <c r="C12814" s="1" t="n">
        <v>45736</v>
      </c>
      <c r="D12814" t="inlineStr">
        <is>
          <t>VÄRMLANDS LÄN</t>
        </is>
      </c>
      <c r="E12814" t="inlineStr">
        <is>
          <t>ÅRJÄNG</t>
        </is>
      </c>
      <c r="G12814" t="n">
        <v>10.5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62250-2023</t>
        </is>
      </c>
      <c r="B12815" s="1" t="n">
        <v>45266</v>
      </c>
      <c r="C12815" s="1" t="n">
        <v>45736</v>
      </c>
      <c r="D12815" t="inlineStr">
        <is>
          <t>VÄRMLANDS LÄN</t>
        </is>
      </c>
      <c r="E12815" t="inlineStr">
        <is>
          <t>TORSBY</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62174-2023</t>
        </is>
      </c>
      <c r="B12816" s="1" t="n">
        <v>45267</v>
      </c>
      <c r="C12816" s="1" t="n">
        <v>45736</v>
      </c>
      <c r="D12816" t="inlineStr">
        <is>
          <t>VÄRMLANDS LÄN</t>
        </is>
      </c>
      <c r="E12816" t="inlineStr">
        <is>
          <t>EDA</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62183-2023</t>
        </is>
      </c>
      <c r="B12817" s="1" t="n">
        <v>45267</v>
      </c>
      <c r="C12817" s="1" t="n">
        <v>45736</v>
      </c>
      <c r="D12817" t="inlineStr">
        <is>
          <t>VÄRMLANDS LÄN</t>
        </is>
      </c>
      <c r="E12817" t="inlineStr">
        <is>
          <t>EDA</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62274-2023</t>
        </is>
      </c>
      <c r="B12818" s="1" t="n">
        <v>45267</v>
      </c>
      <c r="C12818" s="1" t="n">
        <v>45736</v>
      </c>
      <c r="D12818" t="inlineStr">
        <is>
          <t>VÄRMLANDS LÄN</t>
        </is>
      </c>
      <c r="E12818" t="inlineStr">
        <is>
          <t>TORSBY</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62324-2023</t>
        </is>
      </c>
      <c r="B12819" s="1" t="n">
        <v>45267</v>
      </c>
      <c r="C12819" s="1" t="n">
        <v>45736</v>
      </c>
      <c r="D12819" t="inlineStr">
        <is>
          <t>VÄRMLANDS LÄN</t>
        </is>
      </c>
      <c r="E12819" t="inlineStr">
        <is>
          <t>EDA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62332-2023</t>
        </is>
      </c>
      <c r="B12820" s="1" t="n">
        <v>45267</v>
      </c>
      <c r="C12820" s="1" t="n">
        <v>45736</v>
      </c>
      <c r="D12820" t="inlineStr">
        <is>
          <t>VÄRMLANDS LÄN</t>
        </is>
      </c>
      <c r="E12820" t="inlineStr">
        <is>
          <t>EDA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62164-2023</t>
        </is>
      </c>
      <c r="B12821" s="1" t="n">
        <v>45267</v>
      </c>
      <c r="C12821" s="1" t="n">
        <v>45736</v>
      </c>
      <c r="D12821" t="inlineStr">
        <is>
          <t>VÄRMLANDS LÄN</t>
        </is>
      </c>
      <c r="E12821" t="inlineStr">
        <is>
          <t>SUNNE</t>
        </is>
      </c>
      <c r="F12821" t="inlineStr">
        <is>
          <t>Kommuner</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62168-2023</t>
        </is>
      </c>
      <c r="B12822" s="1" t="n">
        <v>45267</v>
      </c>
      <c r="C12822" s="1" t="n">
        <v>45736</v>
      </c>
      <c r="D12822" t="inlineStr">
        <is>
          <t>VÄRMLANDS LÄN</t>
        </is>
      </c>
      <c r="E12822" t="inlineStr">
        <is>
          <t>TORSBY</t>
        </is>
      </c>
      <c r="F12822" t="inlineStr">
        <is>
          <t>Kommuner</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62173-2023</t>
        </is>
      </c>
      <c r="B12823" s="1" t="n">
        <v>45267</v>
      </c>
      <c r="C12823" s="1" t="n">
        <v>45736</v>
      </c>
      <c r="D12823" t="inlineStr">
        <is>
          <t>VÄRMLANDS LÄN</t>
        </is>
      </c>
      <c r="E12823" t="inlineStr">
        <is>
          <t>EDA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62210-2023</t>
        </is>
      </c>
      <c r="B12824" s="1" t="n">
        <v>45267</v>
      </c>
      <c r="C12824" s="1" t="n">
        <v>45736</v>
      </c>
      <c r="D12824" t="inlineStr">
        <is>
          <t>VÄRMLANDS LÄN</t>
        </is>
      </c>
      <c r="E12824" t="inlineStr">
        <is>
          <t>TORSBY</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62218-2023</t>
        </is>
      </c>
      <c r="B12825" s="1" t="n">
        <v>45267</v>
      </c>
      <c r="C12825" s="1" t="n">
        <v>45736</v>
      </c>
      <c r="D12825" t="inlineStr">
        <is>
          <t>VÄRMLANDS LÄN</t>
        </is>
      </c>
      <c r="E12825" t="inlineStr">
        <is>
          <t>FILIPSTAD</t>
        </is>
      </c>
      <c r="F12825" t="inlineStr">
        <is>
          <t>Bergvik skog väst AB</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62236-2023</t>
        </is>
      </c>
      <c r="B12826" s="1" t="n">
        <v>45267</v>
      </c>
      <c r="C12826" s="1" t="n">
        <v>45736</v>
      </c>
      <c r="D12826" t="inlineStr">
        <is>
          <t>VÄRMLANDS LÄN</t>
        </is>
      </c>
      <c r="E12826" t="inlineStr">
        <is>
          <t>TORSBY</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62240-2023</t>
        </is>
      </c>
      <c r="B12827" s="1" t="n">
        <v>45267</v>
      </c>
      <c r="C12827" s="1" t="n">
        <v>45736</v>
      </c>
      <c r="D12827" t="inlineStr">
        <is>
          <t>VÄRMLANDS LÄN</t>
        </is>
      </c>
      <c r="E12827" t="inlineStr">
        <is>
          <t>TORSBY</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62297-2023</t>
        </is>
      </c>
      <c r="B12828" s="1" t="n">
        <v>45267</v>
      </c>
      <c r="C12828" s="1" t="n">
        <v>45736</v>
      </c>
      <c r="D12828" t="inlineStr">
        <is>
          <t>VÄRMLANDS LÄN</t>
        </is>
      </c>
      <c r="E12828" t="inlineStr">
        <is>
          <t>KRISTINEHAMN</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62304-2023</t>
        </is>
      </c>
      <c r="B12829" s="1" t="n">
        <v>45267</v>
      </c>
      <c r="C12829" s="1" t="n">
        <v>45736</v>
      </c>
      <c r="D12829" t="inlineStr">
        <is>
          <t>VÄRMLANDS LÄN</t>
        </is>
      </c>
      <c r="E12829" t="inlineStr">
        <is>
          <t>KARLSTAD</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62333-2023</t>
        </is>
      </c>
      <c r="B12830" s="1" t="n">
        <v>45267</v>
      </c>
      <c r="C12830" s="1" t="n">
        <v>45736</v>
      </c>
      <c r="D12830" t="inlineStr">
        <is>
          <t>VÄRMLANDS LÄN</t>
        </is>
      </c>
      <c r="E12830" t="inlineStr">
        <is>
          <t>EDA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62197-2023</t>
        </is>
      </c>
      <c r="B12831" s="1" t="n">
        <v>45267</v>
      </c>
      <c r="C12831" s="1" t="n">
        <v>45736</v>
      </c>
      <c r="D12831" t="inlineStr">
        <is>
          <t>VÄRMLANDS LÄN</t>
        </is>
      </c>
      <c r="E12831" t="inlineStr">
        <is>
          <t>FILIPSTAD</t>
        </is>
      </c>
      <c r="F12831" t="inlineStr">
        <is>
          <t>Bergvik skog väst AB</t>
        </is>
      </c>
      <c r="G12831" t="n">
        <v>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62225-2023</t>
        </is>
      </c>
      <c r="B12832" s="1" t="n">
        <v>45267</v>
      </c>
      <c r="C12832" s="1" t="n">
        <v>45736</v>
      </c>
      <c r="D12832" t="inlineStr">
        <is>
          <t>VÄRMLANDS LÄN</t>
        </is>
      </c>
      <c r="E12832" t="inlineStr">
        <is>
          <t>SÄFFLE</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62288-2023</t>
        </is>
      </c>
      <c r="B12833" s="1" t="n">
        <v>45267</v>
      </c>
      <c r="C12833" s="1" t="n">
        <v>45736</v>
      </c>
      <c r="D12833" t="inlineStr">
        <is>
          <t>VÄRMLANDS LÄN</t>
        </is>
      </c>
      <c r="E12833" t="inlineStr">
        <is>
          <t>ÅRJÄNG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62298-2023</t>
        </is>
      </c>
      <c r="B12834" s="1" t="n">
        <v>45267</v>
      </c>
      <c r="C12834" s="1" t="n">
        <v>45736</v>
      </c>
      <c r="D12834" t="inlineStr">
        <is>
          <t>VÄRMLANDS LÄN</t>
        </is>
      </c>
      <c r="E12834" t="inlineStr">
        <is>
          <t>SÄFFLE</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62317-2023</t>
        </is>
      </c>
      <c r="B12835" s="1" t="n">
        <v>45267</v>
      </c>
      <c r="C12835" s="1" t="n">
        <v>45736</v>
      </c>
      <c r="D12835" t="inlineStr">
        <is>
          <t>VÄRMLANDS LÄN</t>
        </is>
      </c>
      <c r="E12835" t="inlineStr">
        <is>
          <t>TORSBY</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62335-2023</t>
        </is>
      </c>
      <c r="B12836" s="1" t="n">
        <v>45267</v>
      </c>
      <c r="C12836" s="1" t="n">
        <v>45736</v>
      </c>
      <c r="D12836" t="inlineStr">
        <is>
          <t>VÄRMLANDS LÄN</t>
        </is>
      </c>
      <c r="E12836" t="inlineStr">
        <is>
          <t>FILIPSTAD</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62542-2023</t>
        </is>
      </c>
      <c r="B12837" s="1" t="n">
        <v>45267</v>
      </c>
      <c r="C12837" s="1" t="n">
        <v>45736</v>
      </c>
      <c r="D12837" t="inlineStr">
        <is>
          <t>VÄRMLANDS LÄN</t>
        </is>
      </c>
      <c r="E12837" t="inlineStr">
        <is>
          <t>SUNNE</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62366-2023</t>
        </is>
      </c>
      <c r="B12838" s="1" t="n">
        <v>45267</v>
      </c>
      <c r="C12838" s="1" t="n">
        <v>45736</v>
      </c>
      <c r="D12838" t="inlineStr">
        <is>
          <t>VÄRMLANDS LÄN</t>
        </is>
      </c>
      <c r="E12838" t="inlineStr">
        <is>
          <t>FILIPSTAD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62541-2023</t>
        </is>
      </c>
      <c r="B12839" s="1" t="n">
        <v>45267</v>
      </c>
      <c r="C12839" s="1" t="n">
        <v>45736</v>
      </c>
      <c r="D12839" t="inlineStr">
        <is>
          <t>VÄRMLANDS LÄN</t>
        </is>
      </c>
      <c r="E12839" t="inlineStr">
        <is>
          <t>SUNNE</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62540-2023</t>
        </is>
      </c>
      <c r="B12840" s="1" t="n">
        <v>45267</v>
      </c>
      <c r="C12840" s="1" t="n">
        <v>45736</v>
      </c>
      <c r="D12840" t="inlineStr">
        <is>
          <t>VÄRMLANDS LÄN</t>
        </is>
      </c>
      <c r="E12840" t="inlineStr">
        <is>
          <t>FILIPSTAD</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62507-2023</t>
        </is>
      </c>
      <c r="B12841" s="1" t="n">
        <v>45267</v>
      </c>
      <c r="C12841" s="1" t="n">
        <v>45736</v>
      </c>
      <c r="D12841" t="inlineStr">
        <is>
          <t>VÄRMLANDS LÄN</t>
        </is>
      </c>
      <c r="E12841" t="inlineStr">
        <is>
          <t>TORSBY</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62608-2023</t>
        </is>
      </c>
      <c r="B12842" s="1" t="n">
        <v>45267</v>
      </c>
      <c r="C12842" s="1" t="n">
        <v>45736</v>
      </c>
      <c r="D12842" t="inlineStr">
        <is>
          <t>VÄRMLANDS LÄN</t>
        </is>
      </c>
      <c r="E12842" t="inlineStr">
        <is>
          <t>SÄFFLE</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62623-2023</t>
        </is>
      </c>
      <c r="B12843" s="1" t="n">
        <v>45267</v>
      </c>
      <c r="C12843" s="1" t="n">
        <v>45736</v>
      </c>
      <c r="D12843" t="inlineStr">
        <is>
          <t>VÄRMLANDS LÄN</t>
        </is>
      </c>
      <c r="E12843" t="inlineStr">
        <is>
          <t>KRISTINEHAMN</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62609-2023</t>
        </is>
      </c>
      <c r="B12844" s="1" t="n">
        <v>45267</v>
      </c>
      <c r="C12844" s="1" t="n">
        <v>45736</v>
      </c>
      <c r="D12844" t="inlineStr">
        <is>
          <t>VÄRMLANDS LÄN</t>
        </is>
      </c>
      <c r="E12844" t="inlineStr">
        <is>
          <t>ÅRJÄNG</t>
        </is>
      </c>
      <c r="G12844" t="n">
        <v>14.4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62460-2023</t>
        </is>
      </c>
      <c r="B12845" s="1" t="n">
        <v>45268</v>
      </c>
      <c r="C12845" s="1" t="n">
        <v>45736</v>
      </c>
      <c r="D12845" t="inlineStr">
        <is>
          <t>VÄRMLANDS LÄN</t>
        </is>
      </c>
      <c r="E12845" t="inlineStr">
        <is>
          <t>SÄFFLE</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62372-2023</t>
        </is>
      </c>
      <c r="B12846" s="1" t="n">
        <v>45268</v>
      </c>
      <c r="C12846" s="1" t="n">
        <v>45736</v>
      </c>
      <c r="D12846" t="inlineStr">
        <is>
          <t>VÄRMLANDS LÄN</t>
        </is>
      </c>
      <c r="E12846" t="inlineStr">
        <is>
          <t>ÅRJÄNG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62387-2023</t>
        </is>
      </c>
      <c r="B12847" s="1" t="n">
        <v>45268</v>
      </c>
      <c r="C12847" s="1" t="n">
        <v>45736</v>
      </c>
      <c r="D12847" t="inlineStr">
        <is>
          <t>VÄRMLANDS LÄN</t>
        </is>
      </c>
      <c r="E12847" t="inlineStr">
        <is>
          <t>TORSBY</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62445-2023</t>
        </is>
      </c>
      <c r="B12848" s="1" t="n">
        <v>45268</v>
      </c>
      <c r="C12848" s="1" t="n">
        <v>45736</v>
      </c>
      <c r="D12848" t="inlineStr">
        <is>
          <t>VÄRMLANDS LÄN</t>
        </is>
      </c>
      <c r="E12848" t="inlineStr">
        <is>
          <t>TORSBY</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62461-2023</t>
        </is>
      </c>
      <c r="B12849" s="1" t="n">
        <v>45268</v>
      </c>
      <c r="C12849" s="1" t="n">
        <v>45736</v>
      </c>
      <c r="D12849" t="inlineStr">
        <is>
          <t>VÄRMLANDS LÄN</t>
        </is>
      </c>
      <c r="E12849" t="inlineStr">
        <is>
          <t>HAGFORS</t>
        </is>
      </c>
      <c r="F12849" t="inlineStr">
        <is>
          <t>Bergvik skog väst AB</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62417-2023</t>
        </is>
      </c>
      <c r="B12850" s="1" t="n">
        <v>45268</v>
      </c>
      <c r="C12850" s="1" t="n">
        <v>45736</v>
      </c>
      <c r="D12850" t="inlineStr">
        <is>
          <t>VÄRMLANDS LÄN</t>
        </is>
      </c>
      <c r="E12850" t="inlineStr">
        <is>
          <t>ARVIKA</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62435-2023</t>
        </is>
      </c>
      <c r="B12851" s="1" t="n">
        <v>45268</v>
      </c>
      <c r="C12851" s="1" t="n">
        <v>45736</v>
      </c>
      <c r="D12851" t="inlineStr">
        <is>
          <t>VÄRMLANDS LÄN</t>
        </is>
      </c>
      <c r="E12851" t="inlineStr">
        <is>
          <t>ARVIKA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62510-2023</t>
        </is>
      </c>
      <c r="B12852" s="1" t="n">
        <v>45268</v>
      </c>
      <c r="C12852" s="1" t="n">
        <v>45736</v>
      </c>
      <c r="D12852" t="inlineStr">
        <is>
          <t>VÄRMLANDS LÄN</t>
        </is>
      </c>
      <c r="E12852" t="inlineStr">
        <is>
          <t>TORSBY</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62739-2023</t>
        </is>
      </c>
      <c r="B12853" s="1" t="n">
        <v>45268</v>
      </c>
      <c r="C12853" s="1" t="n">
        <v>45736</v>
      </c>
      <c r="D12853" t="inlineStr">
        <is>
          <t>VÄRMLANDS LÄN</t>
        </is>
      </c>
      <c r="E12853" t="inlineStr">
        <is>
          <t>ÅRJÄNG</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62777-2023</t>
        </is>
      </c>
      <c r="B12854" s="1" t="n">
        <v>45268</v>
      </c>
      <c r="C12854" s="1" t="n">
        <v>45736</v>
      </c>
      <c r="D12854" t="inlineStr">
        <is>
          <t>VÄRMLANDS LÄN</t>
        </is>
      </c>
      <c r="E12854" t="inlineStr">
        <is>
          <t>KRISTINEHAMN</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62770-2023</t>
        </is>
      </c>
      <c r="B12855" s="1" t="n">
        <v>45268</v>
      </c>
      <c r="C12855" s="1" t="n">
        <v>45736</v>
      </c>
      <c r="D12855" t="inlineStr">
        <is>
          <t>VÄRMLANDS LÄN</t>
        </is>
      </c>
      <c r="E12855" t="inlineStr">
        <is>
          <t>KRISTINEHAMN</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62767-2023</t>
        </is>
      </c>
      <c r="B12856" s="1" t="n">
        <v>45268</v>
      </c>
      <c r="C12856" s="1" t="n">
        <v>45736</v>
      </c>
      <c r="D12856" t="inlineStr">
        <is>
          <t>VÄRMLANDS LÄN</t>
        </is>
      </c>
      <c r="E12856" t="inlineStr">
        <is>
          <t>KRISTINEHAMN</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62843-2023</t>
        </is>
      </c>
      <c r="B12857" s="1" t="n">
        <v>45270</v>
      </c>
      <c r="C12857" s="1" t="n">
        <v>45736</v>
      </c>
      <c r="D12857" t="inlineStr">
        <is>
          <t>VÄRMLANDS LÄN</t>
        </is>
      </c>
      <c r="E12857" t="inlineStr">
        <is>
          <t>ARVIKA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62675-2023</t>
        </is>
      </c>
      <c r="B12858" s="1" t="n">
        <v>45271</v>
      </c>
      <c r="C12858" s="1" t="n">
        <v>45736</v>
      </c>
      <c r="D12858" t="inlineStr">
        <is>
          <t>VÄRMLANDS LÄN</t>
        </is>
      </c>
      <c r="E12858" t="inlineStr">
        <is>
          <t>GRUMS</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62790-2023</t>
        </is>
      </c>
      <c r="B12859" s="1" t="n">
        <v>45271</v>
      </c>
      <c r="C12859" s="1" t="n">
        <v>45736</v>
      </c>
      <c r="D12859" t="inlineStr">
        <is>
          <t>VÄRMLANDS LÄN</t>
        </is>
      </c>
      <c r="E12859" t="inlineStr">
        <is>
          <t>ÅRJÄNG</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62618-2023</t>
        </is>
      </c>
      <c r="B12860" s="1" t="n">
        <v>45271</v>
      </c>
      <c r="C12860" s="1" t="n">
        <v>45736</v>
      </c>
      <c r="D12860" t="inlineStr">
        <is>
          <t>VÄRMLANDS LÄN</t>
        </is>
      </c>
      <c r="E12860" t="inlineStr">
        <is>
          <t>TORSBY</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62641-2023</t>
        </is>
      </c>
      <c r="B12861" s="1" t="n">
        <v>45271</v>
      </c>
      <c r="C12861" s="1" t="n">
        <v>45736</v>
      </c>
      <c r="D12861" t="inlineStr">
        <is>
          <t>VÄRMLANDS LÄN</t>
        </is>
      </c>
      <c r="E12861" t="inlineStr">
        <is>
          <t>SÄFFLE</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62667-2023</t>
        </is>
      </c>
      <c r="B12862" s="1" t="n">
        <v>45271</v>
      </c>
      <c r="C12862" s="1" t="n">
        <v>45736</v>
      </c>
      <c r="D12862" t="inlineStr">
        <is>
          <t>VÄRMLANDS LÄN</t>
        </is>
      </c>
      <c r="E12862" t="inlineStr">
        <is>
          <t>KIL</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62703-2023</t>
        </is>
      </c>
      <c r="B12863" s="1" t="n">
        <v>45271</v>
      </c>
      <c r="C12863" s="1" t="n">
        <v>45736</v>
      </c>
      <c r="D12863" t="inlineStr">
        <is>
          <t>VÄRMLANDS LÄN</t>
        </is>
      </c>
      <c r="E12863" t="inlineStr">
        <is>
          <t>SUNNE</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62722-2023</t>
        </is>
      </c>
      <c r="B12864" s="1" t="n">
        <v>45271</v>
      </c>
      <c r="C12864" s="1" t="n">
        <v>45736</v>
      </c>
      <c r="D12864" t="inlineStr">
        <is>
          <t>VÄRMLANDS LÄN</t>
        </is>
      </c>
      <c r="E12864" t="inlineStr">
        <is>
          <t>SUNNE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62761-2023</t>
        </is>
      </c>
      <c r="B12865" s="1" t="n">
        <v>45271</v>
      </c>
      <c r="C12865" s="1" t="n">
        <v>45736</v>
      </c>
      <c r="D12865" t="inlineStr">
        <is>
          <t>VÄRMLANDS LÄN</t>
        </is>
      </c>
      <c r="E12865" t="inlineStr">
        <is>
          <t>EDA</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62769-2023</t>
        </is>
      </c>
      <c r="B12866" s="1" t="n">
        <v>45271</v>
      </c>
      <c r="C12866" s="1" t="n">
        <v>45736</v>
      </c>
      <c r="D12866" t="inlineStr">
        <is>
          <t>VÄRMLANDS LÄN</t>
        </is>
      </c>
      <c r="E12866" t="inlineStr">
        <is>
          <t>STORFORS</t>
        </is>
      </c>
      <c r="F12866" t="inlineStr">
        <is>
          <t>Bergvik skog väst AB</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62787-2023</t>
        </is>
      </c>
      <c r="B12867" s="1" t="n">
        <v>45271</v>
      </c>
      <c r="C12867" s="1" t="n">
        <v>45736</v>
      </c>
      <c r="D12867" t="inlineStr">
        <is>
          <t>VÄRMLANDS LÄN</t>
        </is>
      </c>
      <c r="E12867" t="inlineStr">
        <is>
          <t>FILIPSTAD</t>
        </is>
      </c>
      <c r="F12867" t="inlineStr">
        <is>
          <t>Bergvik skog väst AB</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62625-2023</t>
        </is>
      </c>
      <c r="B12868" s="1" t="n">
        <v>45271</v>
      </c>
      <c r="C12868" s="1" t="n">
        <v>45736</v>
      </c>
      <c r="D12868" t="inlineStr">
        <is>
          <t>VÄRMLANDS LÄN</t>
        </is>
      </c>
      <c r="E12868" t="inlineStr">
        <is>
          <t>KIL</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62669-2023</t>
        </is>
      </c>
      <c r="B12869" s="1" t="n">
        <v>45271</v>
      </c>
      <c r="C12869" s="1" t="n">
        <v>45736</v>
      </c>
      <c r="D12869" t="inlineStr">
        <is>
          <t>VÄRMLANDS LÄN</t>
        </is>
      </c>
      <c r="E12869" t="inlineStr">
        <is>
          <t>KIL</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62720-2023</t>
        </is>
      </c>
      <c r="B12870" s="1" t="n">
        <v>45271</v>
      </c>
      <c r="C12870" s="1" t="n">
        <v>45736</v>
      </c>
      <c r="D12870" t="inlineStr">
        <is>
          <t>VÄRMLANDS LÄN</t>
        </is>
      </c>
      <c r="E12870" t="inlineStr">
        <is>
          <t>ÅRJÄNG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62808-2023</t>
        </is>
      </c>
      <c r="B12871" s="1" t="n">
        <v>45271</v>
      </c>
      <c r="C12871" s="1" t="n">
        <v>45736</v>
      </c>
      <c r="D12871" t="inlineStr">
        <is>
          <t>VÄRMLANDS LÄN</t>
        </is>
      </c>
      <c r="E12871" t="inlineStr">
        <is>
          <t>KIL</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62802-2023</t>
        </is>
      </c>
      <c r="B12872" s="1" t="n">
        <v>45271</v>
      </c>
      <c r="C12872" s="1" t="n">
        <v>45736</v>
      </c>
      <c r="D12872" t="inlineStr">
        <is>
          <t>VÄRMLANDS LÄN</t>
        </is>
      </c>
      <c r="E12872" t="inlineStr">
        <is>
          <t>FORSHAGA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62807-2023</t>
        </is>
      </c>
      <c r="B12873" s="1" t="n">
        <v>45271</v>
      </c>
      <c r="C12873" s="1" t="n">
        <v>45736</v>
      </c>
      <c r="D12873" t="inlineStr">
        <is>
          <t>VÄRMLANDS LÄN</t>
        </is>
      </c>
      <c r="E12873" t="inlineStr">
        <is>
          <t>KIL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62957-2023</t>
        </is>
      </c>
      <c r="B12874" s="1" t="n">
        <v>45271</v>
      </c>
      <c r="C12874" s="1" t="n">
        <v>45736</v>
      </c>
      <c r="D12874" t="inlineStr">
        <is>
          <t>VÄRMLANDS LÄN</t>
        </is>
      </c>
      <c r="E12874" t="inlineStr">
        <is>
          <t>TORSBY</t>
        </is>
      </c>
      <c r="F12874" t="inlineStr">
        <is>
          <t>Övriga statliga verk och myndigheter</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62950-2023</t>
        </is>
      </c>
      <c r="B12875" s="1" t="n">
        <v>45271</v>
      </c>
      <c r="C12875" s="1" t="n">
        <v>45736</v>
      </c>
      <c r="D12875" t="inlineStr">
        <is>
          <t>VÄRMLANDS LÄN</t>
        </is>
      </c>
      <c r="E12875" t="inlineStr">
        <is>
          <t>TORSBY</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62682-2023</t>
        </is>
      </c>
      <c r="B12876" s="1" t="n">
        <v>45271</v>
      </c>
      <c r="C12876" s="1" t="n">
        <v>45736</v>
      </c>
      <c r="D12876" t="inlineStr">
        <is>
          <t>VÄRMLANDS LÄN</t>
        </is>
      </c>
      <c r="E12876" t="inlineStr">
        <is>
          <t>GRUMS</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62729-2023</t>
        </is>
      </c>
      <c r="B12877" s="1" t="n">
        <v>45271</v>
      </c>
      <c r="C12877" s="1" t="n">
        <v>45736</v>
      </c>
      <c r="D12877" t="inlineStr">
        <is>
          <t>VÄRMLANDS LÄN</t>
        </is>
      </c>
      <c r="E12877" t="inlineStr">
        <is>
          <t>SUNNE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62762-2023</t>
        </is>
      </c>
      <c r="B12878" s="1" t="n">
        <v>45271</v>
      </c>
      <c r="C12878" s="1" t="n">
        <v>45736</v>
      </c>
      <c r="D12878" t="inlineStr">
        <is>
          <t>VÄRMLANDS LÄN</t>
        </is>
      </c>
      <c r="E12878" t="inlineStr">
        <is>
          <t>SUNNE</t>
        </is>
      </c>
      <c r="G12878" t="n">
        <v>15.5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62778-2023</t>
        </is>
      </c>
      <c r="B12879" s="1" t="n">
        <v>45271</v>
      </c>
      <c r="C12879" s="1" t="n">
        <v>45736</v>
      </c>
      <c r="D12879" t="inlineStr">
        <is>
          <t>VÄRMLANDS LÄN</t>
        </is>
      </c>
      <c r="E12879" t="inlineStr">
        <is>
          <t>ARVIKA</t>
        </is>
      </c>
      <c r="F12879" t="inlineStr">
        <is>
          <t>Bergvik skog väst AB</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62963-2023</t>
        </is>
      </c>
      <c r="B12880" s="1" t="n">
        <v>45271</v>
      </c>
      <c r="C12880" s="1" t="n">
        <v>45736</v>
      </c>
      <c r="D12880" t="inlineStr">
        <is>
          <t>VÄRMLANDS LÄN</t>
        </is>
      </c>
      <c r="E12880" t="inlineStr">
        <is>
          <t>ÅRJÄNG</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62867-2023</t>
        </is>
      </c>
      <c r="B12881" s="1" t="n">
        <v>45272</v>
      </c>
      <c r="C12881" s="1" t="n">
        <v>45736</v>
      </c>
      <c r="D12881" t="inlineStr">
        <is>
          <t>VÄRMLANDS LÄN</t>
        </is>
      </c>
      <c r="E12881" t="inlineStr">
        <is>
          <t>KRISTINEHAMN</t>
        </is>
      </c>
      <c r="G12881" t="n">
        <v>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62896-2023</t>
        </is>
      </c>
      <c r="B12882" s="1" t="n">
        <v>45272</v>
      </c>
      <c r="C12882" s="1" t="n">
        <v>45736</v>
      </c>
      <c r="D12882" t="inlineStr">
        <is>
          <t>VÄRMLANDS LÄN</t>
        </is>
      </c>
      <c r="E12882" t="inlineStr">
        <is>
          <t>GRUMS</t>
        </is>
      </c>
      <c r="G12882" t="n">
        <v>13.8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62922-2023</t>
        </is>
      </c>
      <c r="B12883" s="1" t="n">
        <v>45272</v>
      </c>
      <c r="C12883" s="1" t="n">
        <v>45736</v>
      </c>
      <c r="D12883" t="inlineStr">
        <is>
          <t>VÄRMLANDS LÄN</t>
        </is>
      </c>
      <c r="E12883" t="inlineStr">
        <is>
          <t>FORSHAGA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62977-2023</t>
        </is>
      </c>
      <c r="B12884" s="1" t="n">
        <v>45272</v>
      </c>
      <c r="C12884" s="1" t="n">
        <v>45736</v>
      </c>
      <c r="D12884" t="inlineStr">
        <is>
          <t>VÄRMLANDS LÄN</t>
        </is>
      </c>
      <c r="E12884" t="inlineStr">
        <is>
          <t>MUNKFORS</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63022-2023</t>
        </is>
      </c>
      <c r="B12885" s="1" t="n">
        <v>45272</v>
      </c>
      <c r="C12885" s="1" t="n">
        <v>45736</v>
      </c>
      <c r="D12885" t="inlineStr">
        <is>
          <t>VÄRMLANDS LÄN</t>
        </is>
      </c>
      <c r="E12885" t="inlineStr">
        <is>
          <t>SUNNE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63030-2023</t>
        </is>
      </c>
      <c r="B12886" s="1" t="n">
        <v>45272</v>
      </c>
      <c r="C12886" s="1" t="n">
        <v>45736</v>
      </c>
      <c r="D12886" t="inlineStr">
        <is>
          <t>VÄRMLANDS LÄN</t>
        </is>
      </c>
      <c r="E12886" t="inlineStr">
        <is>
          <t>TORSBY</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62864-2023</t>
        </is>
      </c>
      <c r="B12887" s="1" t="n">
        <v>45272</v>
      </c>
      <c r="C12887" s="1" t="n">
        <v>45736</v>
      </c>
      <c r="D12887" t="inlineStr">
        <is>
          <t>VÄRMLANDS LÄN</t>
        </is>
      </c>
      <c r="E12887" t="inlineStr">
        <is>
          <t>KRISTINEHAMN</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62905-2023</t>
        </is>
      </c>
      <c r="B12888" s="1" t="n">
        <v>45272</v>
      </c>
      <c r="C12888" s="1" t="n">
        <v>45736</v>
      </c>
      <c r="D12888" t="inlineStr">
        <is>
          <t>VÄRMLANDS LÄN</t>
        </is>
      </c>
      <c r="E12888" t="inlineStr">
        <is>
          <t>GRUMS</t>
        </is>
      </c>
      <c r="G12888" t="n">
        <v>13.8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62920-2023</t>
        </is>
      </c>
      <c r="B12889" s="1" t="n">
        <v>45272</v>
      </c>
      <c r="C12889" s="1" t="n">
        <v>45736</v>
      </c>
      <c r="D12889" t="inlineStr">
        <is>
          <t>VÄRMLANDS LÄN</t>
        </is>
      </c>
      <c r="E12889" t="inlineStr">
        <is>
          <t>KARLSTAD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62897-2023</t>
        </is>
      </c>
      <c r="B12890" s="1" t="n">
        <v>45272</v>
      </c>
      <c r="C12890" s="1" t="n">
        <v>45736</v>
      </c>
      <c r="D12890" t="inlineStr">
        <is>
          <t>VÄRMLANDS LÄN</t>
        </is>
      </c>
      <c r="E12890" t="inlineStr">
        <is>
          <t>KARLSTAD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62904-2023</t>
        </is>
      </c>
      <c r="B12891" s="1" t="n">
        <v>45272</v>
      </c>
      <c r="C12891" s="1" t="n">
        <v>45736</v>
      </c>
      <c r="D12891" t="inlineStr">
        <is>
          <t>VÄRMLANDS LÄN</t>
        </is>
      </c>
      <c r="E12891" t="inlineStr">
        <is>
          <t>SUNNE</t>
        </is>
      </c>
      <c r="F12891" t="inlineStr">
        <is>
          <t>Kommuner</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62917-2023</t>
        </is>
      </c>
      <c r="B12892" s="1" t="n">
        <v>45272</v>
      </c>
      <c r="C12892" s="1" t="n">
        <v>45736</v>
      </c>
      <c r="D12892" t="inlineStr">
        <is>
          <t>VÄRMLANDS LÄN</t>
        </is>
      </c>
      <c r="E12892" t="inlineStr">
        <is>
          <t>KARLSTAD</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62923-2023</t>
        </is>
      </c>
      <c r="B12893" s="1" t="n">
        <v>45272</v>
      </c>
      <c r="C12893" s="1" t="n">
        <v>45736</v>
      </c>
      <c r="D12893" t="inlineStr">
        <is>
          <t>VÄRMLANDS LÄN</t>
        </is>
      </c>
      <c r="E12893" t="inlineStr">
        <is>
          <t>KARLSTAD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62966-2023</t>
        </is>
      </c>
      <c r="B12894" s="1" t="n">
        <v>45272</v>
      </c>
      <c r="C12894" s="1" t="n">
        <v>45736</v>
      </c>
      <c r="D12894" t="inlineStr">
        <is>
          <t>VÄRMLANDS LÄN</t>
        </is>
      </c>
      <c r="E12894" t="inlineStr">
        <is>
          <t>ÅRJÄNG</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63031-2023</t>
        </is>
      </c>
      <c r="B12895" s="1" t="n">
        <v>45272</v>
      </c>
      <c r="C12895" s="1" t="n">
        <v>45736</v>
      </c>
      <c r="D12895" t="inlineStr">
        <is>
          <t>VÄRMLANDS LÄN</t>
        </is>
      </c>
      <c r="E12895" t="inlineStr">
        <is>
          <t>TORSBY</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62902-2023</t>
        </is>
      </c>
      <c r="B12896" s="1" t="n">
        <v>45272</v>
      </c>
      <c r="C12896" s="1" t="n">
        <v>45736</v>
      </c>
      <c r="D12896" t="inlineStr">
        <is>
          <t>VÄRMLANDS LÄN</t>
        </is>
      </c>
      <c r="E12896" t="inlineStr">
        <is>
          <t>KARLSTAD</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62947-2023</t>
        </is>
      </c>
      <c r="B12897" s="1" t="n">
        <v>45272</v>
      </c>
      <c r="C12897" s="1" t="n">
        <v>45736</v>
      </c>
      <c r="D12897" t="inlineStr">
        <is>
          <t>VÄRMLANDS LÄN</t>
        </is>
      </c>
      <c r="E12897" t="inlineStr">
        <is>
          <t>GRUMS</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63024-2023</t>
        </is>
      </c>
      <c r="B12898" s="1" t="n">
        <v>45272</v>
      </c>
      <c r="C12898" s="1" t="n">
        <v>45736</v>
      </c>
      <c r="D12898" t="inlineStr">
        <is>
          <t>VÄRMLANDS LÄN</t>
        </is>
      </c>
      <c r="E12898" t="inlineStr">
        <is>
          <t>ARVIKA</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63028-2023</t>
        </is>
      </c>
      <c r="B12899" s="1" t="n">
        <v>45272</v>
      </c>
      <c r="C12899" s="1" t="n">
        <v>45736</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63032-2023</t>
        </is>
      </c>
      <c r="B12900" s="1" t="n">
        <v>45272</v>
      </c>
      <c r="C12900" s="1" t="n">
        <v>45736</v>
      </c>
      <c r="D12900" t="inlineStr">
        <is>
          <t>VÄRMLANDS LÄN</t>
        </is>
      </c>
      <c r="E12900" t="inlineStr">
        <is>
          <t>TORSBY</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63040-2023</t>
        </is>
      </c>
      <c r="B12901" s="1" t="n">
        <v>45272</v>
      </c>
      <c r="C12901" s="1" t="n">
        <v>45736</v>
      </c>
      <c r="D12901" t="inlineStr">
        <is>
          <t>VÄRMLANDS LÄN</t>
        </is>
      </c>
      <c r="E12901" t="inlineStr">
        <is>
          <t>EDA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63025-2023</t>
        </is>
      </c>
      <c r="B12902" s="1" t="n">
        <v>45272</v>
      </c>
      <c r="C12902" s="1" t="n">
        <v>45736</v>
      </c>
      <c r="D12902" t="inlineStr">
        <is>
          <t>VÄRMLANDS LÄN</t>
        </is>
      </c>
      <c r="E12902" t="inlineStr">
        <is>
          <t>ARVIKA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63177-2023</t>
        </is>
      </c>
      <c r="B12903" s="1" t="n">
        <v>45272</v>
      </c>
      <c r="C12903" s="1" t="n">
        <v>45736</v>
      </c>
      <c r="D12903" t="inlineStr">
        <is>
          <t>VÄRMLANDS LÄN</t>
        </is>
      </c>
      <c r="E12903" t="inlineStr">
        <is>
          <t>TORSBY</t>
        </is>
      </c>
      <c r="G12903" t="n">
        <v>14.9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63217-2023</t>
        </is>
      </c>
      <c r="B12904" s="1" t="n">
        <v>45273</v>
      </c>
      <c r="C12904" s="1" t="n">
        <v>45736</v>
      </c>
      <c r="D12904" t="inlineStr">
        <is>
          <t>VÄRMLANDS LÄN</t>
        </is>
      </c>
      <c r="E12904" t="inlineStr">
        <is>
          <t>ARVIKA</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63080-2023</t>
        </is>
      </c>
      <c r="B12905" s="1" t="n">
        <v>45273</v>
      </c>
      <c r="C12905" s="1" t="n">
        <v>45736</v>
      </c>
      <c r="D12905" t="inlineStr">
        <is>
          <t>VÄRMLANDS LÄN</t>
        </is>
      </c>
      <c r="E12905" t="inlineStr">
        <is>
          <t>SÄFFLE</t>
        </is>
      </c>
      <c r="G12905" t="n">
        <v>11.2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63085-2023</t>
        </is>
      </c>
      <c r="B12906" s="1" t="n">
        <v>45273</v>
      </c>
      <c r="C12906" s="1" t="n">
        <v>45736</v>
      </c>
      <c r="D12906" t="inlineStr">
        <is>
          <t>VÄRMLANDS LÄN</t>
        </is>
      </c>
      <c r="E12906" t="inlineStr">
        <is>
          <t>EDA</t>
        </is>
      </c>
      <c r="G12906" t="n">
        <v>9.1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63160-2023</t>
        </is>
      </c>
      <c r="B12907" s="1" t="n">
        <v>45273</v>
      </c>
      <c r="C12907" s="1" t="n">
        <v>45736</v>
      </c>
      <c r="D12907" t="inlineStr">
        <is>
          <t>VÄRMLANDS LÄN</t>
        </is>
      </c>
      <c r="E12907" t="inlineStr">
        <is>
          <t>TORSBY</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63128-2023</t>
        </is>
      </c>
      <c r="B12908" s="1" t="n">
        <v>45273</v>
      </c>
      <c r="C12908" s="1" t="n">
        <v>45736</v>
      </c>
      <c r="D12908" t="inlineStr">
        <is>
          <t>VÄRMLANDS LÄN</t>
        </is>
      </c>
      <c r="E12908" t="inlineStr">
        <is>
          <t>ARVIKA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63146-2023</t>
        </is>
      </c>
      <c r="B12909" s="1" t="n">
        <v>45273</v>
      </c>
      <c r="C12909" s="1" t="n">
        <v>45736</v>
      </c>
      <c r="D12909" t="inlineStr">
        <is>
          <t>VÄRMLANDS LÄN</t>
        </is>
      </c>
      <c r="E12909" t="inlineStr">
        <is>
          <t>TORSBY</t>
        </is>
      </c>
      <c r="F12909" t="inlineStr">
        <is>
          <t>Bergvik skog väst AB</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63266-2023</t>
        </is>
      </c>
      <c r="B12910" s="1" t="n">
        <v>45273</v>
      </c>
      <c r="C12910" s="1" t="n">
        <v>45736</v>
      </c>
      <c r="D12910" t="inlineStr">
        <is>
          <t>VÄRMLANDS LÄN</t>
        </is>
      </c>
      <c r="E12910" t="inlineStr">
        <is>
          <t>TORSBY</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63083-2023</t>
        </is>
      </c>
      <c r="B12911" s="1" t="n">
        <v>45273</v>
      </c>
      <c r="C12911" s="1" t="n">
        <v>45736</v>
      </c>
      <c r="D12911" t="inlineStr">
        <is>
          <t>VÄRMLANDS LÄN</t>
        </is>
      </c>
      <c r="E12911" t="inlineStr">
        <is>
          <t>TORSBY</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63090-2023</t>
        </is>
      </c>
      <c r="B12912" s="1" t="n">
        <v>45273</v>
      </c>
      <c r="C12912" s="1" t="n">
        <v>45736</v>
      </c>
      <c r="D12912" t="inlineStr">
        <is>
          <t>VÄRMLANDS LÄN</t>
        </is>
      </c>
      <c r="E12912" t="inlineStr">
        <is>
          <t>SUNNE</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63095-2023</t>
        </is>
      </c>
      <c r="B12913" s="1" t="n">
        <v>45273</v>
      </c>
      <c r="C12913" s="1" t="n">
        <v>45736</v>
      </c>
      <c r="D12913" t="inlineStr">
        <is>
          <t>VÄRMLANDS LÄN</t>
        </is>
      </c>
      <c r="E12913" t="inlineStr">
        <is>
          <t>SUNNE</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63184-2023</t>
        </is>
      </c>
      <c r="B12914" s="1" t="n">
        <v>45273</v>
      </c>
      <c r="C12914" s="1" t="n">
        <v>45736</v>
      </c>
      <c r="D12914" t="inlineStr">
        <is>
          <t>VÄRMLANDS LÄN</t>
        </is>
      </c>
      <c r="E12914" t="inlineStr">
        <is>
          <t>ARVIKA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63244-2023</t>
        </is>
      </c>
      <c r="B12915" s="1" t="n">
        <v>45273</v>
      </c>
      <c r="C12915" s="1" t="n">
        <v>45736</v>
      </c>
      <c r="D12915" t="inlineStr">
        <is>
          <t>VÄRMLANDS LÄN</t>
        </is>
      </c>
      <c r="E12915" t="inlineStr">
        <is>
          <t>TORSBY</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63282-2023</t>
        </is>
      </c>
      <c r="B12916" s="1" t="n">
        <v>45273</v>
      </c>
      <c r="C12916" s="1" t="n">
        <v>45736</v>
      </c>
      <c r="D12916" t="inlineStr">
        <is>
          <t>VÄRMLANDS LÄN</t>
        </is>
      </c>
      <c r="E12916" t="inlineStr">
        <is>
          <t>KARLSTAD</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63272-2023</t>
        </is>
      </c>
      <c r="B12917" s="1" t="n">
        <v>45273</v>
      </c>
      <c r="C12917" s="1" t="n">
        <v>45736</v>
      </c>
      <c r="D12917" t="inlineStr">
        <is>
          <t>VÄRMLANDS LÄN</t>
        </is>
      </c>
      <c r="E12917" t="inlineStr">
        <is>
          <t>EDA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63280-2023</t>
        </is>
      </c>
      <c r="B12918" s="1" t="n">
        <v>45273</v>
      </c>
      <c r="C12918" s="1" t="n">
        <v>45736</v>
      </c>
      <c r="D12918" t="inlineStr">
        <is>
          <t>VÄRMLANDS LÄN</t>
        </is>
      </c>
      <c r="E12918" t="inlineStr">
        <is>
          <t>KARLSTAD</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63158-2023</t>
        </is>
      </c>
      <c r="B12919" s="1" t="n">
        <v>45273</v>
      </c>
      <c r="C12919" s="1" t="n">
        <v>45736</v>
      </c>
      <c r="D12919" t="inlineStr">
        <is>
          <t>VÄRMLANDS LÄN</t>
        </is>
      </c>
      <c r="E12919" t="inlineStr">
        <is>
          <t>TORSBY</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63208-2023</t>
        </is>
      </c>
      <c r="B12920" s="1" t="n">
        <v>45273</v>
      </c>
      <c r="C12920" s="1" t="n">
        <v>45736</v>
      </c>
      <c r="D12920" t="inlineStr">
        <is>
          <t>VÄRMLANDS LÄN</t>
        </is>
      </c>
      <c r="E12920" t="inlineStr">
        <is>
          <t>ARVIKA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63377-2023</t>
        </is>
      </c>
      <c r="B12921" s="1" t="n">
        <v>45273</v>
      </c>
      <c r="C12921" s="1" t="n">
        <v>45736</v>
      </c>
      <c r="D12921" t="inlineStr">
        <is>
          <t>VÄRMLANDS LÄN</t>
        </is>
      </c>
      <c r="E12921" t="inlineStr">
        <is>
          <t>SUNNE</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63360-2023</t>
        </is>
      </c>
      <c r="B12922" s="1" t="n">
        <v>45273</v>
      </c>
      <c r="C12922" s="1" t="n">
        <v>45736</v>
      </c>
      <c r="D12922" t="inlineStr">
        <is>
          <t>VÄRMLANDS LÄN</t>
        </is>
      </c>
      <c r="E12922" t="inlineStr">
        <is>
          <t>SUNNE</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63370-2023</t>
        </is>
      </c>
      <c r="B12923" s="1" t="n">
        <v>45273</v>
      </c>
      <c r="C12923" s="1" t="n">
        <v>45736</v>
      </c>
      <c r="D12923" t="inlineStr">
        <is>
          <t>VÄRMLANDS LÄN</t>
        </is>
      </c>
      <c r="E12923" t="inlineStr">
        <is>
          <t>SUNNE</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63363-2023</t>
        </is>
      </c>
      <c r="B12924" s="1" t="n">
        <v>45273</v>
      </c>
      <c r="C12924" s="1" t="n">
        <v>45736</v>
      </c>
      <c r="D12924" t="inlineStr">
        <is>
          <t>VÄRMLANDS LÄN</t>
        </is>
      </c>
      <c r="E12924" t="inlineStr">
        <is>
          <t>TORSBY</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63378-2023</t>
        </is>
      </c>
      <c r="B12925" s="1" t="n">
        <v>45274</v>
      </c>
      <c r="C12925" s="1" t="n">
        <v>45736</v>
      </c>
      <c r="D12925" t="inlineStr">
        <is>
          <t>VÄRMLANDS LÄN</t>
        </is>
      </c>
      <c r="E12925" t="inlineStr">
        <is>
          <t>HAGFORS</t>
        </is>
      </c>
      <c r="F12925" t="inlineStr">
        <is>
          <t>Bergvik skog väst AB</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63399-2023</t>
        </is>
      </c>
      <c r="B12926" s="1" t="n">
        <v>45274</v>
      </c>
      <c r="C12926" s="1" t="n">
        <v>45736</v>
      </c>
      <c r="D12926" t="inlineStr">
        <is>
          <t>VÄRMLANDS LÄN</t>
        </is>
      </c>
      <c r="E12926" t="inlineStr">
        <is>
          <t>TORSBY</t>
        </is>
      </c>
      <c r="F12926" t="inlineStr">
        <is>
          <t>Bergvik skog väst AB</t>
        </is>
      </c>
      <c r="G12926" t="n">
        <v>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63411-2023</t>
        </is>
      </c>
      <c r="B12927" s="1" t="n">
        <v>45274</v>
      </c>
      <c r="C12927" s="1" t="n">
        <v>45736</v>
      </c>
      <c r="D12927" t="inlineStr">
        <is>
          <t>VÄRMLANDS LÄN</t>
        </is>
      </c>
      <c r="E12927" t="inlineStr">
        <is>
          <t>FILIPSTAD</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63435-2023</t>
        </is>
      </c>
      <c r="B12928" s="1" t="n">
        <v>45274</v>
      </c>
      <c r="C12928" s="1" t="n">
        <v>45736</v>
      </c>
      <c r="D12928" t="inlineStr">
        <is>
          <t>VÄRMLANDS LÄN</t>
        </is>
      </c>
      <c r="E12928" t="inlineStr">
        <is>
          <t>STORFORS</t>
        </is>
      </c>
      <c r="F12928" t="inlineStr">
        <is>
          <t>Kyrkan</t>
        </is>
      </c>
      <c r="G12928" t="n">
        <v>9.199999999999999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63359-2023</t>
        </is>
      </c>
      <c r="B12929" s="1" t="n">
        <v>45274</v>
      </c>
      <c r="C12929" s="1" t="n">
        <v>45736</v>
      </c>
      <c r="D12929" t="inlineStr">
        <is>
          <t>VÄRMLANDS LÄN</t>
        </is>
      </c>
      <c r="E12929" t="inlineStr">
        <is>
          <t>ARVIKA</t>
        </is>
      </c>
      <c r="F12929" t="inlineStr">
        <is>
          <t>Bergvik skog väst AB</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63416-2023</t>
        </is>
      </c>
      <c r="B12930" s="1" t="n">
        <v>45274</v>
      </c>
      <c r="C12930" s="1" t="n">
        <v>45736</v>
      </c>
      <c r="D12930" t="inlineStr">
        <is>
          <t>VÄRMLANDS LÄN</t>
        </is>
      </c>
      <c r="E12930" t="inlineStr">
        <is>
          <t>FILIPSTAD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63376-2023</t>
        </is>
      </c>
      <c r="B12931" s="1" t="n">
        <v>45274</v>
      </c>
      <c r="C12931" s="1" t="n">
        <v>45736</v>
      </c>
      <c r="D12931" t="inlineStr">
        <is>
          <t>VÄRMLANDS LÄN</t>
        </is>
      </c>
      <c r="E12931" t="inlineStr">
        <is>
          <t>EDA</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63518-2023</t>
        </is>
      </c>
      <c r="B12932" s="1" t="n">
        <v>45274</v>
      </c>
      <c r="C12932" s="1" t="n">
        <v>45736</v>
      </c>
      <c r="D12932" t="inlineStr">
        <is>
          <t>VÄRMLANDS LÄN</t>
        </is>
      </c>
      <c r="E12932" t="inlineStr">
        <is>
          <t>SUNNE</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63307-2023</t>
        </is>
      </c>
      <c r="B12933" s="1" t="n">
        <v>45274</v>
      </c>
      <c r="C12933" s="1" t="n">
        <v>45736</v>
      </c>
      <c r="D12933" t="inlineStr">
        <is>
          <t>VÄRMLANDS LÄN</t>
        </is>
      </c>
      <c r="E12933" t="inlineStr">
        <is>
          <t>ÅRJÄNG</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63311-2023</t>
        </is>
      </c>
      <c r="B12934" s="1" t="n">
        <v>45274</v>
      </c>
      <c r="C12934" s="1" t="n">
        <v>45736</v>
      </c>
      <c r="D12934" t="inlineStr">
        <is>
          <t>VÄRMLANDS LÄN</t>
        </is>
      </c>
      <c r="E12934" t="inlineStr">
        <is>
          <t>FORSHAGA</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63315-2023</t>
        </is>
      </c>
      <c r="B12935" s="1" t="n">
        <v>45274</v>
      </c>
      <c r="C12935" s="1" t="n">
        <v>45736</v>
      </c>
      <c r="D12935" t="inlineStr">
        <is>
          <t>VÄRMLANDS LÄN</t>
        </is>
      </c>
      <c r="E12935" t="inlineStr">
        <is>
          <t>FORSHAGA</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63409-2023</t>
        </is>
      </c>
      <c r="B12936" s="1" t="n">
        <v>45274</v>
      </c>
      <c r="C12936" s="1" t="n">
        <v>45736</v>
      </c>
      <c r="D12936" t="inlineStr">
        <is>
          <t>VÄRMLANDS LÄN</t>
        </is>
      </c>
      <c r="E12936" t="inlineStr">
        <is>
          <t>TORSBY</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63421-2023</t>
        </is>
      </c>
      <c r="B12937" s="1" t="n">
        <v>45274</v>
      </c>
      <c r="C12937" s="1" t="n">
        <v>45736</v>
      </c>
      <c r="D12937" t="inlineStr">
        <is>
          <t>VÄRMLANDS LÄN</t>
        </is>
      </c>
      <c r="E12937" t="inlineStr">
        <is>
          <t>FILIPSTAD</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63318-2023</t>
        </is>
      </c>
      <c r="B12938" s="1" t="n">
        <v>45274</v>
      </c>
      <c r="C12938" s="1" t="n">
        <v>45736</v>
      </c>
      <c r="D12938" t="inlineStr">
        <is>
          <t>VÄRMLANDS LÄN</t>
        </is>
      </c>
      <c r="E12938" t="inlineStr">
        <is>
          <t>FORSHAGA</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63317-2023</t>
        </is>
      </c>
      <c r="B12939" s="1" t="n">
        <v>45274</v>
      </c>
      <c r="C12939" s="1" t="n">
        <v>45736</v>
      </c>
      <c r="D12939" t="inlineStr">
        <is>
          <t>VÄRMLANDS LÄN</t>
        </is>
      </c>
      <c r="E12939" t="inlineStr">
        <is>
          <t>FORSHAGA</t>
        </is>
      </c>
      <c r="F12939" t="inlineStr">
        <is>
          <t>Bergvik skog väst AB</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63488-2023</t>
        </is>
      </c>
      <c r="B12940" s="1" t="n">
        <v>45274</v>
      </c>
      <c r="C12940" s="1" t="n">
        <v>45736</v>
      </c>
      <c r="D12940" t="inlineStr">
        <is>
          <t>VÄRMLANDS LÄN</t>
        </is>
      </c>
      <c r="E12940" t="inlineStr">
        <is>
          <t>EDA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63517-2023</t>
        </is>
      </c>
      <c r="B12941" s="1" t="n">
        <v>45274</v>
      </c>
      <c r="C12941" s="1" t="n">
        <v>45736</v>
      </c>
      <c r="D12941" t="inlineStr">
        <is>
          <t>VÄRMLANDS LÄN</t>
        </is>
      </c>
      <c r="E12941" t="inlineStr">
        <is>
          <t>SÄFFLE</t>
        </is>
      </c>
      <c r="G12941" t="n">
        <v>15.5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63321-2023</t>
        </is>
      </c>
      <c r="B12942" s="1" t="n">
        <v>45274</v>
      </c>
      <c r="C12942" s="1" t="n">
        <v>45736</v>
      </c>
      <c r="D12942" t="inlineStr">
        <is>
          <t>VÄRMLANDS LÄN</t>
        </is>
      </c>
      <c r="E12942" t="inlineStr">
        <is>
          <t>FORSHAGA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63345-2023</t>
        </is>
      </c>
      <c r="B12943" s="1" t="n">
        <v>45274</v>
      </c>
      <c r="C12943" s="1" t="n">
        <v>45736</v>
      </c>
      <c r="D12943" t="inlineStr">
        <is>
          <t>VÄRMLANDS LÄN</t>
        </is>
      </c>
      <c r="E12943" t="inlineStr">
        <is>
          <t>ARVIKA</t>
        </is>
      </c>
      <c r="F12943" t="inlineStr">
        <is>
          <t>Bergvik skog väst AB</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63566-2023</t>
        </is>
      </c>
      <c r="B12944" s="1" t="n">
        <v>45275</v>
      </c>
      <c r="C12944" s="1" t="n">
        <v>45736</v>
      </c>
      <c r="D12944" t="inlineStr">
        <is>
          <t>VÄRMLANDS LÄN</t>
        </is>
      </c>
      <c r="E12944" t="inlineStr">
        <is>
          <t>STORFORS</t>
        </is>
      </c>
      <c r="F12944" t="inlineStr">
        <is>
          <t>Bergvik skog väst AB</t>
        </is>
      </c>
      <c r="G12944" t="n">
        <v>36.4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63622-2023</t>
        </is>
      </c>
      <c r="B12945" s="1" t="n">
        <v>45275</v>
      </c>
      <c r="C12945" s="1" t="n">
        <v>45736</v>
      </c>
      <c r="D12945" t="inlineStr">
        <is>
          <t>VÄRMLANDS LÄN</t>
        </is>
      </c>
      <c r="E12945" t="inlineStr">
        <is>
          <t>FILIPSTAD</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63562-2023</t>
        </is>
      </c>
      <c r="B12946" s="1" t="n">
        <v>45275</v>
      </c>
      <c r="C12946" s="1" t="n">
        <v>45736</v>
      </c>
      <c r="D12946" t="inlineStr">
        <is>
          <t>VÄRMLANDS LÄN</t>
        </is>
      </c>
      <c r="E12946" t="inlineStr">
        <is>
          <t>SÄFFLE</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63631-2023</t>
        </is>
      </c>
      <c r="B12947" s="1" t="n">
        <v>45275</v>
      </c>
      <c r="C12947" s="1" t="n">
        <v>45736</v>
      </c>
      <c r="D12947" t="inlineStr">
        <is>
          <t>VÄRMLANDS LÄN</t>
        </is>
      </c>
      <c r="E12947" t="inlineStr">
        <is>
          <t>SUNNE</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63597-2023</t>
        </is>
      </c>
      <c r="B12948" s="1" t="n">
        <v>45275</v>
      </c>
      <c r="C12948" s="1" t="n">
        <v>45736</v>
      </c>
      <c r="D12948" t="inlineStr">
        <is>
          <t>VÄRMLANDS LÄN</t>
        </is>
      </c>
      <c r="E12948" t="inlineStr">
        <is>
          <t>EDA</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63613-2023</t>
        </is>
      </c>
      <c r="B12949" s="1" t="n">
        <v>45275</v>
      </c>
      <c r="C12949" s="1" t="n">
        <v>45736</v>
      </c>
      <c r="D12949" t="inlineStr">
        <is>
          <t>VÄRMLANDS LÄN</t>
        </is>
      </c>
      <c r="E12949" t="inlineStr">
        <is>
          <t>EDA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63617-2023</t>
        </is>
      </c>
      <c r="B12950" s="1" t="n">
        <v>45275</v>
      </c>
      <c r="C12950" s="1" t="n">
        <v>45736</v>
      </c>
      <c r="D12950" t="inlineStr">
        <is>
          <t>VÄRMLANDS LÄN</t>
        </is>
      </c>
      <c r="E12950" t="inlineStr">
        <is>
          <t>FILIPSTAD</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63621-2023</t>
        </is>
      </c>
      <c r="B12951" s="1" t="n">
        <v>45275</v>
      </c>
      <c r="C12951" s="1" t="n">
        <v>45736</v>
      </c>
      <c r="D12951" t="inlineStr">
        <is>
          <t>VÄRMLANDS LÄN</t>
        </is>
      </c>
      <c r="E12951" t="inlineStr">
        <is>
          <t>FILIPSTAD</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63596-2023</t>
        </is>
      </c>
      <c r="B12952" s="1" t="n">
        <v>45275</v>
      </c>
      <c r="C12952" s="1" t="n">
        <v>45736</v>
      </c>
      <c r="D12952" t="inlineStr">
        <is>
          <t>VÄRMLANDS LÄN</t>
        </is>
      </c>
      <c r="E12952" t="inlineStr">
        <is>
          <t>SUNNE</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63612-2023</t>
        </is>
      </c>
      <c r="B12953" s="1" t="n">
        <v>45275</v>
      </c>
      <c r="C12953" s="1" t="n">
        <v>45736</v>
      </c>
      <c r="D12953" t="inlineStr">
        <is>
          <t>VÄRMLANDS LÄN</t>
        </is>
      </c>
      <c r="E12953" t="inlineStr">
        <is>
          <t>EDA</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63644-2023</t>
        </is>
      </c>
      <c r="B12954" s="1" t="n">
        <v>45275</v>
      </c>
      <c r="C12954" s="1" t="n">
        <v>45736</v>
      </c>
      <c r="D12954" t="inlineStr">
        <is>
          <t>VÄRMLANDS LÄN</t>
        </is>
      </c>
      <c r="E12954" t="inlineStr">
        <is>
          <t>SÄFFLE</t>
        </is>
      </c>
      <c r="F12954" t="inlineStr">
        <is>
          <t>Bergvik skog väst AB</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63821-2023</t>
        </is>
      </c>
      <c r="B12955" s="1" t="n">
        <v>45275</v>
      </c>
      <c r="C12955" s="1" t="n">
        <v>45736</v>
      </c>
      <c r="D12955" t="inlineStr">
        <is>
          <t>VÄRMLANDS LÄN</t>
        </is>
      </c>
      <c r="E12955" t="inlineStr">
        <is>
          <t>TORSBY</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63822-2023</t>
        </is>
      </c>
      <c r="B12956" s="1" t="n">
        <v>45277</v>
      </c>
      <c r="C12956" s="1" t="n">
        <v>45736</v>
      </c>
      <c r="D12956" t="inlineStr">
        <is>
          <t>VÄRMLANDS LÄN</t>
        </is>
      </c>
      <c r="E12956" t="inlineStr">
        <is>
          <t>SÄFFLE</t>
        </is>
      </c>
      <c r="G12956" t="n">
        <v>6.8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63775-2023</t>
        </is>
      </c>
      <c r="B12957" s="1" t="n">
        <v>45278</v>
      </c>
      <c r="C12957" s="1" t="n">
        <v>45736</v>
      </c>
      <c r="D12957" t="inlineStr">
        <is>
          <t>VÄRMLANDS LÄN</t>
        </is>
      </c>
      <c r="E12957" t="inlineStr">
        <is>
          <t>SÄFFLE</t>
        </is>
      </c>
      <c r="F12957" t="inlineStr">
        <is>
          <t>Kommuner</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63799-2023</t>
        </is>
      </c>
      <c r="B12958" s="1" t="n">
        <v>45278</v>
      </c>
      <c r="C12958" s="1" t="n">
        <v>45736</v>
      </c>
      <c r="D12958" t="inlineStr">
        <is>
          <t>VÄRMLANDS LÄN</t>
        </is>
      </c>
      <c r="E12958" t="inlineStr">
        <is>
          <t>FORSHAGA</t>
        </is>
      </c>
      <c r="F12958" t="inlineStr">
        <is>
          <t>Bergvik skog väst AB</t>
        </is>
      </c>
      <c r="G12958" t="n">
        <v>13.6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63803-2023</t>
        </is>
      </c>
      <c r="B12959" s="1" t="n">
        <v>45278</v>
      </c>
      <c r="C12959" s="1" t="n">
        <v>45736</v>
      </c>
      <c r="D12959" t="inlineStr">
        <is>
          <t>VÄRMLANDS LÄN</t>
        </is>
      </c>
      <c r="E12959" t="inlineStr">
        <is>
          <t>SÄFFLE</t>
        </is>
      </c>
      <c r="F12959" t="inlineStr">
        <is>
          <t>Kommuner</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63807-2023</t>
        </is>
      </c>
      <c r="B12960" s="1" t="n">
        <v>45278</v>
      </c>
      <c r="C12960" s="1" t="n">
        <v>45736</v>
      </c>
      <c r="D12960" t="inlineStr">
        <is>
          <t>VÄRMLANDS LÄN</t>
        </is>
      </c>
      <c r="E12960" t="inlineStr">
        <is>
          <t>SÄFFLE</t>
        </is>
      </c>
      <c r="F12960" t="inlineStr">
        <is>
          <t>Kommuner</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63805-2023</t>
        </is>
      </c>
      <c r="B12961" s="1" t="n">
        <v>45278</v>
      </c>
      <c r="C12961" s="1" t="n">
        <v>45736</v>
      </c>
      <c r="D12961" t="inlineStr">
        <is>
          <t>VÄRMLANDS LÄN</t>
        </is>
      </c>
      <c r="E12961" t="inlineStr">
        <is>
          <t>ARVIKA</t>
        </is>
      </c>
      <c r="F12961" t="inlineStr">
        <is>
          <t>Bergvik skog väst AB</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63820-2023</t>
        </is>
      </c>
      <c r="B12962" s="1" t="n">
        <v>45278</v>
      </c>
      <c r="C12962" s="1" t="n">
        <v>45736</v>
      </c>
      <c r="D12962" t="inlineStr">
        <is>
          <t>VÄRMLANDS LÄN</t>
        </is>
      </c>
      <c r="E12962" t="inlineStr">
        <is>
          <t>TORSBY</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63858-2023</t>
        </is>
      </c>
      <c r="B12963" s="1" t="n">
        <v>45278</v>
      </c>
      <c r="C12963" s="1" t="n">
        <v>45736</v>
      </c>
      <c r="D12963" t="inlineStr">
        <is>
          <t>VÄRMLANDS LÄN</t>
        </is>
      </c>
      <c r="E12963" t="inlineStr">
        <is>
          <t>EDA</t>
        </is>
      </c>
      <c r="F12963" t="inlineStr">
        <is>
          <t>Kommuner</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63866-2023</t>
        </is>
      </c>
      <c r="B12964" s="1" t="n">
        <v>45278</v>
      </c>
      <c r="C12964" s="1" t="n">
        <v>45736</v>
      </c>
      <c r="D12964" t="inlineStr">
        <is>
          <t>VÄRMLANDS LÄN</t>
        </is>
      </c>
      <c r="E12964" t="inlineStr">
        <is>
          <t>TORSBY</t>
        </is>
      </c>
      <c r="F12964" t="inlineStr">
        <is>
          <t>Bergvik skog väst AB</t>
        </is>
      </c>
      <c r="G12964" t="n">
        <v>58.2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63843-2023</t>
        </is>
      </c>
      <c r="B12965" s="1" t="n">
        <v>45278</v>
      </c>
      <c r="C12965" s="1" t="n">
        <v>45736</v>
      </c>
      <c r="D12965" t="inlineStr">
        <is>
          <t>VÄRMLANDS LÄN</t>
        </is>
      </c>
      <c r="E12965" t="inlineStr">
        <is>
          <t>ARVIKA</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63755-2023</t>
        </is>
      </c>
      <c r="B12966" s="1" t="n">
        <v>45278</v>
      </c>
      <c r="C12966" s="1" t="n">
        <v>45736</v>
      </c>
      <c r="D12966" t="inlineStr">
        <is>
          <t>VÄRMLANDS LÄN</t>
        </is>
      </c>
      <c r="E12966" t="inlineStr">
        <is>
          <t>EDA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63781-2023</t>
        </is>
      </c>
      <c r="B12967" s="1" t="n">
        <v>45278</v>
      </c>
      <c r="C12967" s="1" t="n">
        <v>45736</v>
      </c>
      <c r="D12967" t="inlineStr">
        <is>
          <t>VÄRMLANDS LÄN</t>
        </is>
      </c>
      <c r="E12967" t="inlineStr">
        <is>
          <t>SÄFFLE</t>
        </is>
      </c>
      <c r="F12967" t="inlineStr">
        <is>
          <t>Kommuner</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63977-2023</t>
        </is>
      </c>
      <c r="B12968" s="1" t="n">
        <v>45278</v>
      </c>
      <c r="C12968" s="1" t="n">
        <v>45736</v>
      </c>
      <c r="D12968" t="inlineStr">
        <is>
          <t>VÄRMLANDS LÄN</t>
        </is>
      </c>
      <c r="E12968" t="inlineStr">
        <is>
          <t>KIL</t>
        </is>
      </c>
      <c r="F12968" t="inlineStr">
        <is>
          <t>Bergvik skog väst AB</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63855-2023</t>
        </is>
      </c>
      <c r="B12969" s="1" t="n">
        <v>45278</v>
      </c>
      <c r="C12969" s="1" t="n">
        <v>45736</v>
      </c>
      <c r="D12969" t="inlineStr">
        <is>
          <t>VÄRMLANDS LÄN</t>
        </is>
      </c>
      <c r="E12969" t="inlineStr">
        <is>
          <t>SÄFFLE</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63946-2023</t>
        </is>
      </c>
      <c r="B12970" s="1" t="n">
        <v>45278</v>
      </c>
      <c r="C12970" s="1" t="n">
        <v>45736</v>
      </c>
      <c r="D12970" t="inlineStr">
        <is>
          <t>VÄRMLANDS LÄN</t>
        </is>
      </c>
      <c r="E12970" t="inlineStr">
        <is>
          <t>ARVIKA</t>
        </is>
      </c>
      <c r="G12970" t="n">
        <v>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63947-2023</t>
        </is>
      </c>
      <c r="B12971" s="1" t="n">
        <v>45278</v>
      </c>
      <c r="C12971" s="1" t="n">
        <v>45736</v>
      </c>
      <c r="D12971" t="inlineStr">
        <is>
          <t>VÄRMLANDS LÄN</t>
        </is>
      </c>
      <c r="E12971" t="inlineStr">
        <is>
          <t>GRUMS</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63955-2023</t>
        </is>
      </c>
      <c r="B12972" s="1" t="n">
        <v>45278</v>
      </c>
      <c r="C12972" s="1" t="n">
        <v>45736</v>
      </c>
      <c r="D12972" t="inlineStr">
        <is>
          <t>VÄRMLANDS LÄN</t>
        </is>
      </c>
      <c r="E12972" t="inlineStr">
        <is>
          <t>TORSBY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63967-2023</t>
        </is>
      </c>
      <c r="B12973" s="1" t="n">
        <v>45278</v>
      </c>
      <c r="C12973" s="1" t="n">
        <v>45736</v>
      </c>
      <c r="D12973" t="inlineStr">
        <is>
          <t>VÄRMLANDS LÄN</t>
        </is>
      </c>
      <c r="E12973" t="inlineStr">
        <is>
          <t>TORSBY</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63785-2023</t>
        </is>
      </c>
      <c r="B12974" s="1" t="n">
        <v>45278</v>
      </c>
      <c r="C12974" s="1" t="n">
        <v>45736</v>
      </c>
      <c r="D12974" t="inlineStr">
        <is>
          <t>VÄRMLANDS LÄN</t>
        </is>
      </c>
      <c r="E12974" t="inlineStr">
        <is>
          <t>SÄFFLE</t>
        </is>
      </c>
      <c r="F12974" t="inlineStr">
        <is>
          <t>Kommuner</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63790-2023</t>
        </is>
      </c>
      <c r="B12975" s="1" t="n">
        <v>45278</v>
      </c>
      <c r="C12975" s="1" t="n">
        <v>45736</v>
      </c>
      <c r="D12975" t="inlineStr">
        <is>
          <t>VÄRMLANDS LÄN</t>
        </is>
      </c>
      <c r="E12975" t="inlineStr">
        <is>
          <t>SÄFFLE</t>
        </is>
      </c>
      <c r="F12975" t="inlineStr">
        <is>
          <t>Kommuner</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63794-2023</t>
        </is>
      </c>
      <c r="B12976" s="1" t="n">
        <v>45278</v>
      </c>
      <c r="C12976" s="1" t="n">
        <v>45736</v>
      </c>
      <c r="D12976" t="inlineStr">
        <is>
          <t>VÄRMLANDS LÄN</t>
        </is>
      </c>
      <c r="E12976" t="inlineStr">
        <is>
          <t>SÄFFLE</t>
        </is>
      </c>
      <c r="F12976" t="inlineStr">
        <is>
          <t>Kommuner</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63811-2023</t>
        </is>
      </c>
      <c r="B12977" s="1" t="n">
        <v>45278</v>
      </c>
      <c r="C12977" s="1" t="n">
        <v>45736</v>
      </c>
      <c r="D12977" t="inlineStr">
        <is>
          <t>VÄRMLANDS LÄN</t>
        </is>
      </c>
      <c r="E12977" t="inlineStr">
        <is>
          <t>SÄFFLE</t>
        </is>
      </c>
      <c r="F12977" t="inlineStr">
        <is>
          <t>Kommuner</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63964-2023</t>
        </is>
      </c>
      <c r="B12978" s="1" t="n">
        <v>45278</v>
      </c>
      <c r="C12978" s="1" t="n">
        <v>45736</v>
      </c>
      <c r="D12978" t="inlineStr">
        <is>
          <t>VÄRMLANDS LÄN</t>
        </is>
      </c>
      <c r="E12978" t="inlineStr">
        <is>
          <t>KRISTINEHAMN</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63985-2023</t>
        </is>
      </c>
      <c r="B12979" s="1" t="n">
        <v>45278</v>
      </c>
      <c r="C12979" s="1" t="n">
        <v>45736</v>
      </c>
      <c r="D12979" t="inlineStr">
        <is>
          <t>VÄRMLANDS LÄN</t>
        </is>
      </c>
      <c r="E12979" t="inlineStr">
        <is>
          <t>SÄFFLE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64366-2023</t>
        </is>
      </c>
      <c r="B12980" s="1" t="n">
        <v>45278</v>
      </c>
      <c r="C12980" s="1" t="n">
        <v>45736</v>
      </c>
      <c r="D12980" t="inlineStr">
        <is>
          <t>VÄRMLANDS LÄN</t>
        </is>
      </c>
      <c r="E12980" t="inlineStr">
        <is>
          <t>SÄFFLE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64368-2023</t>
        </is>
      </c>
      <c r="B12981" s="1" t="n">
        <v>45278</v>
      </c>
      <c r="C12981" s="1" t="n">
        <v>45736</v>
      </c>
      <c r="D12981" t="inlineStr">
        <is>
          <t>VÄRMLANDS LÄN</t>
        </is>
      </c>
      <c r="E12981" t="inlineStr">
        <is>
          <t>SÄFFLE</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63975-2023</t>
        </is>
      </c>
      <c r="B12982" s="1" t="n">
        <v>45278</v>
      </c>
      <c r="C12982" s="1" t="n">
        <v>45736</v>
      </c>
      <c r="D12982" t="inlineStr">
        <is>
          <t>VÄRMLANDS LÄN</t>
        </is>
      </c>
      <c r="E12982" t="inlineStr">
        <is>
          <t>FORSHAGA</t>
        </is>
      </c>
      <c r="F12982" t="inlineStr">
        <is>
          <t>Bergvik skog väst AB</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64059-2023</t>
        </is>
      </c>
      <c r="B12983" s="1" t="n">
        <v>45279</v>
      </c>
      <c r="C12983" s="1" t="n">
        <v>45736</v>
      </c>
      <c r="D12983" t="inlineStr">
        <is>
          <t>VÄRMLANDS LÄN</t>
        </is>
      </c>
      <c r="E12983" t="inlineStr">
        <is>
          <t>KARLSTAD</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64071-2023</t>
        </is>
      </c>
      <c r="B12984" s="1" t="n">
        <v>45279</v>
      </c>
      <c r="C12984" s="1" t="n">
        <v>45736</v>
      </c>
      <c r="D12984" t="inlineStr">
        <is>
          <t>VÄRMLANDS LÄN</t>
        </is>
      </c>
      <c r="E12984" t="inlineStr">
        <is>
          <t>ÅRJÄNG</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64140-2023</t>
        </is>
      </c>
      <c r="B12985" s="1" t="n">
        <v>45279</v>
      </c>
      <c r="C12985" s="1" t="n">
        <v>45736</v>
      </c>
      <c r="D12985" t="inlineStr">
        <is>
          <t>VÄRMLANDS LÄN</t>
        </is>
      </c>
      <c r="E12985" t="inlineStr">
        <is>
          <t>KIL</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64049-2023</t>
        </is>
      </c>
      <c r="B12986" s="1" t="n">
        <v>45279</v>
      </c>
      <c r="C12986" s="1" t="n">
        <v>45736</v>
      </c>
      <c r="D12986" t="inlineStr">
        <is>
          <t>VÄRMLANDS LÄN</t>
        </is>
      </c>
      <c r="E12986" t="inlineStr">
        <is>
          <t>ARVIKA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64061-2023</t>
        </is>
      </c>
      <c r="B12987" s="1" t="n">
        <v>45279</v>
      </c>
      <c r="C12987" s="1" t="n">
        <v>45736</v>
      </c>
      <c r="D12987" t="inlineStr">
        <is>
          <t>VÄRMLANDS LÄN</t>
        </is>
      </c>
      <c r="E12987" t="inlineStr">
        <is>
          <t>KARLSTAD</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64073-2023</t>
        </is>
      </c>
      <c r="B12988" s="1" t="n">
        <v>45279</v>
      </c>
      <c r="C12988" s="1" t="n">
        <v>45736</v>
      </c>
      <c r="D12988" t="inlineStr">
        <is>
          <t>VÄRMLANDS LÄN</t>
        </is>
      </c>
      <c r="E12988" t="inlineStr">
        <is>
          <t>SÄFFLE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64121-2023</t>
        </is>
      </c>
      <c r="B12989" s="1" t="n">
        <v>45279</v>
      </c>
      <c r="C12989" s="1" t="n">
        <v>45736</v>
      </c>
      <c r="D12989" t="inlineStr">
        <is>
          <t>VÄRMLANDS LÄN</t>
        </is>
      </c>
      <c r="E12989" t="inlineStr">
        <is>
          <t>FORSHAGA</t>
        </is>
      </c>
      <c r="G12989" t="n">
        <v>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64154-2023</t>
        </is>
      </c>
      <c r="B12990" s="1" t="n">
        <v>45279</v>
      </c>
      <c r="C12990" s="1" t="n">
        <v>45736</v>
      </c>
      <c r="D12990" t="inlineStr">
        <is>
          <t>VÄRMLANDS LÄN</t>
        </is>
      </c>
      <c r="E12990" t="inlineStr">
        <is>
          <t>ÅRJÄNG</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64162-2023</t>
        </is>
      </c>
      <c r="B12991" s="1" t="n">
        <v>45279</v>
      </c>
      <c r="C12991" s="1" t="n">
        <v>45736</v>
      </c>
      <c r="D12991" t="inlineStr">
        <is>
          <t>VÄRMLANDS LÄN</t>
        </is>
      </c>
      <c r="E12991" t="inlineStr">
        <is>
          <t>TORSBY</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64221-2023</t>
        </is>
      </c>
      <c r="B12992" s="1" t="n">
        <v>45279</v>
      </c>
      <c r="C12992" s="1" t="n">
        <v>45736</v>
      </c>
      <c r="D12992" t="inlineStr">
        <is>
          <t>VÄRMLANDS LÄN</t>
        </is>
      </c>
      <c r="E12992" t="inlineStr">
        <is>
          <t>SUNNE</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64229-2023</t>
        </is>
      </c>
      <c r="B12993" s="1" t="n">
        <v>45279</v>
      </c>
      <c r="C12993" s="1" t="n">
        <v>45736</v>
      </c>
      <c r="D12993" t="inlineStr">
        <is>
          <t>VÄRMLANDS LÄN</t>
        </is>
      </c>
      <c r="E12993" t="inlineStr">
        <is>
          <t>ÅRJÄNG</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64151-2023</t>
        </is>
      </c>
      <c r="B12994" s="1" t="n">
        <v>45279</v>
      </c>
      <c r="C12994" s="1" t="n">
        <v>45736</v>
      </c>
      <c r="D12994" t="inlineStr">
        <is>
          <t>VÄRMLANDS LÄN</t>
        </is>
      </c>
      <c r="E12994" t="inlineStr">
        <is>
          <t>ÅRJÄNG</t>
        </is>
      </c>
      <c r="G12994" t="n">
        <v>24.5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64155-2023</t>
        </is>
      </c>
      <c r="B12995" s="1" t="n">
        <v>45279</v>
      </c>
      <c r="C12995" s="1" t="n">
        <v>45736</v>
      </c>
      <c r="D12995" t="inlineStr">
        <is>
          <t>VÄRMLANDS LÄN</t>
        </is>
      </c>
      <c r="E12995" t="inlineStr">
        <is>
          <t>HAGFORS</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64220-2023</t>
        </is>
      </c>
      <c r="B12996" s="1" t="n">
        <v>45279</v>
      </c>
      <c r="C12996" s="1" t="n">
        <v>45736</v>
      </c>
      <c r="D12996" t="inlineStr">
        <is>
          <t>VÄRMLANDS LÄN</t>
        </is>
      </c>
      <c r="E12996" t="inlineStr">
        <is>
          <t>SUNNE</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64223-2023</t>
        </is>
      </c>
      <c r="B12997" s="1" t="n">
        <v>45279</v>
      </c>
      <c r="C12997" s="1" t="n">
        <v>45736</v>
      </c>
      <c r="D12997" t="inlineStr">
        <is>
          <t>VÄRMLANDS LÄN</t>
        </is>
      </c>
      <c r="E12997" t="inlineStr">
        <is>
          <t>SUNNE</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64287-2023</t>
        </is>
      </c>
      <c r="B12998" s="1" t="n">
        <v>45279</v>
      </c>
      <c r="C12998" s="1" t="n">
        <v>45736</v>
      </c>
      <c r="D12998" t="inlineStr">
        <is>
          <t>VÄRMLANDS LÄN</t>
        </is>
      </c>
      <c r="E12998" t="inlineStr">
        <is>
          <t>EDA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64280-2023</t>
        </is>
      </c>
      <c r="B12999" s="1" t="n">
        <v>45280</v>
      </c>
      <c r="C12999" s="1" t="n">
        <v>45736</v>
      </c>
      <c r="D12999" t="inlineStr">
        <is>
          <t>VÄRMLANDS LÄN</t>
        </is>
      </c>
      <c r="E12999" t="inlineStr">
        <is>
          <t>EDA</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64319-2023</t>
        </is>
      </c>
      <c r="B13000" s="1" t="n">
        <v>45280</v>
      </c>
      <c r="C13000" s="1" t="n">
        <v>45736</v>
      </c>
      <c r="D13000" t="inlineStr">
        <is>
          <t>VÄRMLANDS LÄN</t>
        </is>
      </c>
      <c r="E13000" t="inlineStr">
        <is>
          <t>SÄFFLE</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64341-2023</t>
        </is>
      </c>
      <c r="B13001" s="1" t="n">
        <v>45280</v>
      </c>
      <c r="C13001" s="1" t="n">
        <v>45736</v>
      </c>
      <c r="D13001" t="inlineStr">
        <is>
          <t>VÄRMLANDS LÄN</t>
        </is>
      </c>
      <c r="E13001" t="inlineStr">
        <is>
          <t>ÅRJÄNG</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64297-2023</t>
        </is>
      </c>
      <c r="B13002" s="1" t="n">
        <v>45280</v>
      </c>
      <c r="C13002" s="1" t="n">
        <v>45736</v>
      </c>
      <c r="D13002" t="inlineStr">
        <is>
          <t>VÄRMLANDS LÄN</t>
        </is>
      </c>
      <c r="E13002" t="inlineStr">
        <is>
          <t>SUNNE</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64321-2023</t>
        </is>
      </c>
      <c r="B13003" s="1" t="n">
        <v>45280</v>
      </c>
      <c r="C13003" s="1" t="n">
        <v>45736</v>
      </c>
      <c r="D13003" t="inlineStr">
        <is>
          <t>VÄRMLANDS LÄN</t>
        </is>
      </c>
      <c r="E13003" t="inlineStr">
        <is>
          <t>SUNNE</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64304-2023</t>
        </is>
      </c>
      <c r="B13004" s="1" t="n">
        <v>45280</v>
      </c>
      <c r="C13004" s="1" t="n">
        <v>45736</v>
      </c>
      <c r="D13004" t="inlineStr">
        <is>
          <t>VÄRMLANDS LÄN</t>
        </is>
      </c>
      <c r="E13004" t="inlineStr">
        <is>
          <t>GRUMS</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64316-2023</t>
        </is>
      </c>
      <c r="B13005" s="1" t="n">
        <v>45280</v>
      </c>
      <c r="C13005" s="1" t="n">
        <v>45736</v>
      </c>
      <c r="D13005" t="inlineStr">
        <is>
          <t>VÄRMLANDS LÄN</t>
        </is>
      </c>
      <c r="E13005" t="inlineStr">
        <is>
          <t>SÄFFLE</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64322-2023</t>
        </is>
      </c>
      <c r="B13006" s="1" t="n">
        <v>45280</v>
      </c>
      <c r="C13006" s="1" t="n">
        <v>45736</v>
      </c>
      <c r="D13006" t="inlineStr">
        <is>
          <t>VÄRMLANDS LÄN</t>
        </is>
      </c>
      <c r="E13006" t="inlineStr">
        <is>
          <t>SÄFFLE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64326-2023</t>
        </is>
      </c>
      <c r="B13007" s="1" t="n">
        <v>45280</v>
      </c>
      <c r="C13007" s="1" t="n">
        <v>45736</v>
      </c>
      <c r="D13007" t="inlineStr">
        <is>
          <t>VÄRMLANDS LÄN</t>
        </is>
      </c>
      <c r="E13007" t="inlineStr">
        <is>
          <t>SÄFFLE</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64374-2023</t>
        </is>
      </c>
      <c r="B13008" s="1" t="n">
        <v>45280</v>
      </c>
      <c r="C13008" s="1" t="n">
        <v>45736</v>
      </c>
      <c r="D13008" t="inlineStr">
        <is>
          <t>VÄRMLANDS LÄN</t>
        </is>
      </c>
      <c r="E13008" t="inlineStr">
        <is>
          <t>KIL</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64432-2023</t>
        </is>
      </c>
      <c r="B13009" s="1" t="n">
        <v>45280</v>
      </c>
      <c r="C13009" s="1" t="n">
        <v>45736</v>
      </c>
      <c r="D13009" t="inlineStr">
        <is>
          <t>VÄRMLANDS LÄN</t>
        </is>
      </c>
      <c r="E13009" t="inlineStr">
        <is>
          <t>TORSBY</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64325-2023</t>
        </is>
      </c>
      <c r="B13010" s="1" t="n">
        <v>45280</v>
      </c>
      <c r="C13010" s="1" t="n">
        <v>45736</v>
      </c>
      <c r="D13010" t="inlineStr">
        <is>
          <t>VÄRMLANDS LÄN</t>
        </is>
      </c>
      <c r="E13010" t="inlineStr">
        <is>
          <t>SÄFFLE</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64381-2023</t>
        </is>
      </c>
      <c r="B13011" s="1" t="n">
        <v>45280</v>
      </c>
      <c r="C13011" s="1" t="n">
        <v>45736</v>
      </c>
      <c r="D13011" t="inlineStr">
        <is>
          <t>VÄRMLANDS LÄN</t>
        </is>
      </c>
      <c r="E13011" t="inlineStr">
        <is>
          <t>ÅRJÄNG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64446-2023</t>
        </is>
      </c>
      <c r="B13012" s="1" t="n">
        <v>45280</v>
      </c>
      <c r="C13012" s="1" t="n">
        <v>45736</v>
      </c>
      <c r="D13012" t="inlineStr">
        <is>
          <t>VÄRMLANDS LÄN</t>
        </is>
      </c>
      <c r="E13012" t="inlineStr">
        <is>
          <t>SUNNE</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64385-2023</t>
        </is>
      </c>
      <c r="B13013" s="1" t="n">
        <v>45280</v>
      </c>
      <c r="C13013" s="1" t="n">
        <v>45736</v>
      </c>
      <c r="D13013" t="inlineStr">
        <is>
          <t>VÄRMLANDS LÄN</t>
        </is>
      </c>
      <c r="E13013" t="inlineStr">
        <is>
          <t>KIL</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64389-2023</t>
        </is>
      </c>
      <c r="B13014" s="1" t="n">
        <v>45280</v>
      </c>
      <c r="C13014" s="1" t="n">
        <v>45736</v>
      </c>
      <c r="D13014" t="inlineStr">
        <is>
          <t>VÄRMLANDS LÄN</t>
        </is>
      </c>
      <c r="E13014" t="inlineStr">
        <is>
          <t>TORSBY</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64454-2023</t>
        </is>
      </c>
      <c r="B13015" s="1" t="n">
        <v>45280</v>
      </c>
      <c r="C13015" s="1" t="n">
        <v>45736</v>
      </c>
      <c r="D13015" t="inlineStr">
        <is>
          <t>VÄRMLANDS LÄN</t>
        </is>
      </c>
      <c r="E13015" t="inlineStr">
        <is>
          <t>TORSBY</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64383-2023</t>
        </is>
      </c>
      <c r="B13016" s="1" t="n">
        <v>45280</v>
      </c>
      <c r="C13016" s="1" t="n">
        <v>45736</v>
      </c>
      <c r="D13016" t="inlineStr">
        <is>
          <t>VÄRMLANDS LÄN</t>
        </is>
      </c>
      <c r="E13016" t="inlineStr">
        <is>
          <t>KIL</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64395-2023</t>
        </is>
      </c>
      <c r="B13017" s="1" t="n">
        <v>45280</v>
      </c>
      <c r="C13017" s="1" t="n">
        <v>45736</v>
      </c>
      <c r="D13017" t="inlineStr">
        <is>
          <t>VÄRMLANDS LÄN</t>
        </is>
      </c>
      <c r="E13017" t="inlineStr">
        <is>
          <t>TORSBY</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64400-2023</t>
        </is>
      </c>
      <c r="B13018" s="1" t="n">
        <v>45280</v>
      </c>
      <c r="C13018" s="1" t="n">
        <v>45736</v>
      </c>
      <c r="D13018" t="inlineStr">
        <is>
          <t>VÄRMLANDS LÄN</t>
        </is>
      </c>
      <c r="E13018" t="inlineStr">
        <is>
          <t>TORSBY</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64425-2023</t>
        </is>
      </c>
      <c r="B13019" s="1" t="n">
        <v>45280</v>
      </c>
      <c r="C13019" s="1" t="n">
        <v>45736</v>
      </c>
      <c r="D13019" t="inlineStr">
        <is>
          <t>VÄRMLANDS LÄN</t>
        </is>
      </c>
      <c r="E13019" t="inlineStr">
        <is>
          <t>SUNNE</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64429-2023</t>
        </is>
      </c>
      <c r="B13020" s="1" t="n">
        <v>45280</v>
      </c>
      <c r="C13020" s="1" t="n">
        <v>45736</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64548-2023</t>
        </is>
      </c>
      <c r="B13021" s="1" t="n">
        <v>45281</v>
      </c>
      <c r="C13021" s="1" t="n">
        <v>45736</v>
      </c>
      <c r="D13021" t="inlineStr">
        <is>
          <t>VÄRMLANDS LÄN</t>
        </is>
      </c>
      <c r="E13021" t="inlineStr">
        <is>
          <t>STORFORS</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64556-2023</t>
        </is>
      </c>
      <c r="B13022" s="1" t="n">
        <v>45281</v>
      </c>
      <c r="C13022" s="1" t="n">
        <v>45736</v>
      </c>
      <c r="D13022" t="inlineStr">
        <is>
          <t>VÄRMLANDS LÄN</t>
        </is>
      </c>
      <c r="E13022" t="inlineStr">
        <is>
          <t>ÅRJÄNG</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64534-2023</t>
        </is>
      </c>
      <c r="B13023" s="1" t="n">
        <v>45281</v>
      </c>
      <c r="C13023" s="1" t="n">
        <v>45736</v>
      </c>
      <c r="D13023" t="inlineStr">
        <is>
          <t>VÄRMLANDS LÄN</t>
        </is>
      </c>
      <c r="E13023" t="inlineStr">
        <is>
          <t>SUNNE</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64546-2023</t>
        </is>
      </c>
      <c r="B13024" s="1" t="n">
        <v>45281</v>
      </c>
      <c r="C13024" s="1" t="n">
        <v>45736</v>
      </c>
      <c r="D13024" t="inlineStr">
        <is>
          <t>VÄRMLANDS LÄN</t>
        </is>
      </c>
      <c r="E13024" t="inlineStr">
        <is>
          <t>ARVIKA</t>
        </is>
      </c>
      <c r="G13024" t="n">
        <v>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64558-2023</t>
        </is>
      </c>
      <c r="B13025" s="1" t="n">
        <v>45281</v>
      </c>
      <c r="C13025" s="1" t="n">
        <v>45736</v>
      </c>
      <c r="D13025" t="inlineStr">
        <is>
          <t>VÄRMLANDS LÄN</t>
        </is>
      </c>
      <c r="E13025" t="inlineStr">
        <is>
          <t>STORFORS</t>
        </is>
      </c>
      <c r="G13025" t="n">
        <v>5.5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64570-2023</t>
        </is>
      </c>
      <c r="B13026" s="1" t="n">
        <v>45281</v>
      </c>
      <c r="C13026" s="1" t="n">
        <v>45736</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64582-2023</t>
        </is>
      </c>
      <c r="B13027" s="1" t="n">
        <v>45281</v>
      </c>
      <c r="C13027" s="1" t="n">
        <v>45736</v>
      </c>
      <c r="D13027" t="inlineStr">
        <is>
          <t>VÄRMLANDS LÄN</t>
        </is>
      </c>
      <c r="E13027" t="inlineStr">
        <is>
          <t>SUNNE</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64590-2023</t>
        </is>
      </c>
      <c r="B13028" s="1" t="n">
        <v>45281</v>
      </c>
      <c r="C13028" s="1" t="n">
        <v>45736</v>
      </c>
      <c r="D13028" t="inlineStr">
        <is>
          <t>VÄRMLANDS LÄN</t>
        </is>
      </c>
      <c r="E13028" t="inlineStr">
        <is>
          <t>TORSBY</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64525-2023</t>
        </is>
      </c>
      <c r="B13029" s="1" t="n">
        <v>45281</v>
      </c>
      <c r="C13029" s="1" t="n">
        <v>45736</v>
      </c>
      <c r="D13029" t="inlineStr">
        <is>
          <t>VÄRMLANDS LÄN</t>
        </is>
      </c>
      <c r="E13029" t="inlineStr">
        <is>
          <t>KARLSTAD</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64602-2023</t>
        </is>
      </c>
      <c r="B13030" s="1" t="n">
        <v>45281</v>
      </c>
      <c r="C13030" s="1" t="n">
        <v>45736</v>
      </c>
      <c r="D13030" t="inlineStr">
        <is>
          <t>VÄRMLANDS LÄN</t>
        </is>
      </c>
      <c r="E13030" t="inlineStr">
        <is>
          <t>TORSBY</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64646-2023</t>
        </is>
      </c>
      <c r="B13031" s="1" t="n">
        <v>45281</v>
      </c>
      <c r="C13031" s="1" t="n">
        <v>45736</v>
      </c>
      <c r="D13031" t="inlineStr">
        <is>
          <t>VÄRMLANDS LÄN</t>
        </is>
      </c>
      <c r="E13031" t="inlineStr">
        <is>
          <t>ARVIKA</t>
        </is>
      </c>
      <c r="F13031" t="inlineStr">
        <is>
          <t>Bergvik skog väst AB</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64531-2023</t>
        </is>
      </c>
      <c r="B13032" s="1" t="n">
        <v>45281</v>
      </c>
      <c r="C13032" s="1" t="n">
        <v>45736</v>
      </c>
      <c r="D13032" t="inlineStr">
        <is>
          <t>VÄRMLANDS LÄN</t>
        </is>
      </c>
      <c r="E13032" t="inlineStr">
        <is>
          <t>HAGFORS</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64636-2023</t>
        </is>
      </c>
      <c r="B13033" s="1" t="n">
        <v>45281</v>
      </c>
      <c r="C13033" s="1" t="n">
        <v>45736</v>
      </c>
      <c r="D13033" t="inlineStr">
        <is>
          <t>VÄRMLANDS LÄN</t>
        </is>
      </c>
      <c r="E13033" t="inlineStr">
        <is>
          <t>ARVIKA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64585-2023</t>
        </is>
      </c>
      <c r="B13034" s="1" t="n">
        <v>45281</v>
      </c>
      <c r="C13034" s="1" t="n">
        <v>45736</v>
      </c>
      <c r="D13034" t="inlineStr">
        <is>
          <t>VÄRMLANDS LÄN</t>
        </is>
      </c>
      <c r="E13034" t="inlineStr">
        <is>
          <t>ARVIKA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64539-2023</t>
        </is>
      </c>
      <c r="B13035" s="1" t="n">
        <v>45281</v>
      </c>
      <c r="C13035" s="1" t="n">
        <v>45736</v>
      </c>
      <c r="D13035" t="inlineStr">
        <is>
          <t>VÄRMLANDS LÄN</t>
        </is>
      </c>
      <c r="E13035" t="inlineStr">
        <is>
          <t>SUNNE</t>
        </is>
      </c>
      <c r="G13035" t="n">
        <v>12.5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64641-2023</t>
        </is>
      </c>
      <c r="B13036" s="1" t="n">
        <v>45281</v>
      </c>
      <c r="C13036" s="1" t="n">
        <v>45736</v>
      </c>
      <c r="D13036" t="inlineStr">
        <is>
          <t>VÄRMLANDS LÄN</t>
        </is>
      </c>
      <c r="E13036" t="inlineStr">
        <is>
          <t>TORSBY</t>
        </is>
      </c>
      <c r="F13036" t="inlineStr">
        <is>
          <t>Bergvik skog väst AB</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64583-2023</t>
        </is>
      </c>
      <c r="B13037" s="1" t="n">
        <v>45281</v>
      </c>
      <c r="C13037" s="1" t="n">
        <v>45736</v>
      </c>
      <c r="D13037" t="inlineStr">
        <is>
          <t>VÄRMLANDS LÄN</t>
        </is>
      </c>
      <c r="E13037" t="inlineStr">
        <is>
          <t>ARVIKA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64670-2023</t>
        </is>
      </c>
      <c r="B13038" s="1" t="n">
        <v>45281</v>
      </c>
      <c r="C13038" s="1" t="n">
        <v>45736</v>
      </c>
      <c r="D13038" t="inlineStr">
        <is>
          <t>VÄRMLANDS LÄN</t>
        </is>
      </c>
      <c r="E13038" t="inlineStr">
        <is>
          <t>HAGFORS</t>
        </is>
      </c>
      <c r="F13038" t="inlineStr">
        <is>
          <t>Bergvik skog väst AB</t>
        </is>
      </c>
      <c r="G13038" t="n">
        <v>6.9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64686-2023</t>
        </is>
      </c>
      <c r="B13039" s="1" t="n">
        <v>45281</v>
      </c>
      <c r="C13039" s="1" t="n">
        <v>45736</v>
      </c>
      <c r="D13039" t="inlineStr">
        <is>
          <t>VÄRMLANDS LÄN</t>
        </is>
      </c>
      <c r="E13039" t="inlineStr">
        <is>
          <t>EDA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64690-2023</t>
        </is>
      </c>
      <c r="B13040" s="1" t="n">
        <v>45281</v>
      </c>
      <c r="C13040" s="1" t="n">
        <v>45736</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64698-2023</t>
        </is>
      </c>
      <c r="B13041" s="1" t="n">
        <v>45281</v>
      </c>
      <c r="C13041" s="1" t="n">
        <v>45736</v>
      </c>
      <c r="D13041" t="inlineStr">
        <is>
          <t>VÄRMLANDS LÄN</t>
        </is>
      </c>
      <c r="E13041" t="inlineStr">
        <is>
          <t>EDA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64701-2023</t>
        </is>
      </c>
      <c r="B13042" s="1" t="n">
        <v>45281</v>
      </c>
      <c r="C13042" s="1" t="n">
        <v>45736</v>
      </c>
      <c r="D13042" t="inlineStr">
        <is>
          <t>VÄRMLANDS LÄN</t>
        </is>
      </c>
      <c r="E13042" t="inlineStr">
        <is>
          <t>EDA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64705-2023</t>
        </is>
      </c>
      <c r="B13043" s="1" t="n">
        <v>45281</v>
      </c>
      <c r="C13043" s="1" t="n">
        <v>45736</v>
      </c>
      <c r="D13043" t="inlineStr">
        <is>
          <t>VÄRMLANDS LÄN</t>
        </is>
      </c>
      <c r="E13043" t="inlineStr">
        <is>
          <t>EDA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64671-2023</t>
        </is>
      </c>
      <c r="B13044" s="1" t="n">
        <v>45281</v>
      </c>
      <c r="C13044" s="1" t="n">
        <v>45736</v>
      </c>
      <c r="D13044" t="inlineStr">
        <is>
          <t>VÄRMLANDS LÄN</t>
        </is>
      </c>
      <c r="E13044" t="inlineStr">
        <is>
          <t>TORSBY</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64664-2023</t>
        </is>
      </c>
      <c r="B13045" s="1" t="n">
        <v>45281</v>
      </c>
      <c r="C13045" s="1" t="n">
        <v>45736</v>
      </c>
      <c r="D13045" t="inlineStr">
        <is>
          <t>VÄRMLANDS LÄN</t>
        </is>
      </c>
      <c r="E13045" t="inlineStr">
        <is>
          <t>TORSBY</t>
        </is>
      </c>
      <c r="F13045" t="inlineStr">
        <is>
          <t>Bergvik skog väst AB</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64741-2023</t>
        </is>
      </c>
      <c r="B13046" s="1" t="n">
        <v>45281</v>
      </c>
      <c r="C13046" s="1" t="n">
        <v>45736</v>
      </c>
      <c r="D13046" t="inlineStr">
        <is>
          <t>VÄRMLANDS LÄN</t>
        </is>
      </c>
      <c r="E13046" t="inlineStr">
        <is>
          <t>KARLSTAD</t>
        </is>
      </c>
      <c r="G13046" t="n">
        <v>7.6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64819-2023</t>
        </is>
      </c>
      <c r="B13047" s="1" t="n">
        <v>45281</v>
      </c>
      <c r="C13047" s="1" t="n">
        <v>45736</v>
      </c>
      <c r="D13047" t="inlineStr">
        <is>
          <t>VÄRMLANDS LÄN</t>
        </is>
      </c>
      <c r="E13047" t="inlineStr">
        <is>
          <t>SÄFFLE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64700-2023</t>
        </is>
      </c>
      <c r="B13048" s="1" t="n">
        <v>45281</v>
      </c>
      <c r="C13048" s="1" t="n">
        <v>45736</v>
      </c>
      <c r="D13048" t="inlineStr">
        <is>
          <t>VÄRMLANDS LÄN</t>
        </is>
      </c>
      <c r="E13048" t="inlineStr">
        <is>
          <t>HAGFORS</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64672-2023</t>
        </is>
      </c>
      <c r="B13049" s="1" t="n">
        <v>45281</v>
      </c>
      <c r="C13049" s="1" t="n">
        <v>45736</v>
      </c>
      <c r="D13049" t="inlineStr">
        <is>
          <t>VÄRMLANDS LÄN</t>
        </is>
      </c>
      <c r="E13049" t="inlineStr">
        <is>
          <t>TORSBY</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64640-2023</t>
        </is>
      </c>
      <c r="B13050" s="1" t="n">
        <v>45281</v>
      </c>
      <c r="C13050" s="1" t="n">
        <v>45736</v>
      </c>
      <c r="D13050" t="inlineStr">
        <is>
          <t>VÄRMLANDS LÄN</t>
        </is>
      </c>
      <c r="E13050" t="inlineStr">
        <is>
          <t>TORSBY</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64703-2023</t>
        </is>
      </c>
      <c r="B13051" s="1" t="n">
        <v>45281</v>
      </c>
      <c r="C13051" s="1" t="n">
        <v>45736</v>
      </c>
      <c r="D13051" t="inlineStr">
        <is>
          <t>VÄRMLANDS LÄN</t>
        </is>
      </c>
      <c r="E13051" t="inlineStr">
        <is>
          <t>EDA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64824-2023</t>
        </is>
      </c>
      <c r="B13052" s="1" t="n">
        <v>45281</v>
      </c>
      <c r="C13052" s="1" t="n">
        <v>45736</v>
      </c>
      <c r="D13052" t="inlineStr">
        <is>
          <t>VÄRMLANDS LÄN</t>
        </is>
      </c>
      <c r="E13052" t="inlineStr">
        <is>
          <t>SÄFFLE</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64772-2023</t>
        </is>
      </c>
      <c r="B13053" s="1" t="n">
        <v>45282</v>
      </c>
      <c r="C13053" s="1" t="n">
        <v>45736</v>
      </c>
      <c r="D13053" t="inlineStr">
        <is>
          <t>VÄRMLANDS LÄN</t>
        </is>
      </c>
      <c r="E13053" t="inlineStr">
        <is>
          <t>MUNKFORS</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64777-2023</t>
        </is>
      </c>
      <c r="B13054" s="1" t="n">
        <v>45282</v>
      </c>
      <c r="C13054" s="1" t="n">
        <v>45736</v>
      </c>
      <c r="D13054" t="inlineStr">
        <is>
          <t>VÄRMLANDS LÄN</t>
        </is>
      </c>
      <c r="E13054" t="inlineStr">
        <is>
          <t>KARLSTAD</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64778-2023</t>
        </is>
      </c>
      <c r="B13055" s="1" t="n">
        <v>45282</v>
      </c>
      <c r="C13055" s="1" t="n">
        <v>45736</v>
      </c>
      <c r="D13055" t="inlineStr">
        <is>
          <t>VÄRMLANDS LÄN</t>
        </is>
      </c>
      <c r="E13055" t="inlineStr">
        <is>
          <t>KARLSTAD</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64823-2023</t>
        </is>
      </c>
      <c r="B13056" s="1" t="n">
        <v>45282</v>
      </c>
      <c r="C13056" s="1" t="n">
        <v>45736</v>
      </c>
      <c r="D13056" t="inlineStr">
        <is>
          <t>VÄRMLANDS LÄN</t>
        </is>
      </c>
      <c r="E13056" t="inlineStr">
        <is>
          <t>SUNNE</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64775-2023</t>
        </is>
      </c>
      <c r="B13057" s="1" t="n">
        <v>45282</v>
      </c>
      <c r="C13057" s="1" t="n">
        <v>45736</v>
      </c>
      <c r="D13057" t="inlineStr">
        <is>
          <t>VÄRMLANDS LÄN</t>
        </is>
      </c>
      <c r="E13057" t="inlineStr">
        <is>
          <t>KARLSTAD</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64791-2023</t>
        </is>
      </c>
      <c r="B13058" s="1" t="n">
        <v>45282</v>
      </c>
      <c r="C13058" s="1" t="n">
        <v>45736</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65023-2023</t>
        </is>
      </c>
      <c r="B13059" s="1" t="n">
        <v>45282</v>
      </c>
      <c r="C13059" s="1" t="n">
        <v>45736</v>
      </c>
      <c r="D13059" t="inlineStr">
        <is>
          <t>VÄRMLANDS LÄN</t>
        </is>
      </c>
      <c r="E13059" t="inlineStr">
        <is>
          <t>SÄFFLE</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64903-2023</t>
        </is>
      </c>
      <c r="B13060" s="1" t="n">
        <v>45282</v>
      </c>
      <c r="C13060" s="1" t="n">
        <v>45736</v>
      </c>
      <c r="D13060" t="inlineStr">
        <is>
          <t>VÄRMLANDS LÄN</t>
        </is>
      </c>
      <c r="E13060" t="inlineStr">
        <is>
          <t>ÅRJÄNG</t>
        </is>
      </c>
      <c r="G13060" t="n">
        <v>7.5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64807-2023</t>
        </is>
      </c>
      <c r="B13061" s="1" t="n">
        <v>45282</v>
      </c>
      <c r="C13061" s="1" t="n">
        <v>45736</v>
      </c>
      <c r="D13061" t="inlineStr">
        <is>
          <t>VÄRMLANDS LÄN</t>
        </is>
      </c>
      <c r="E13061" t="inlineStr">
        <is>
          <t>KARLSTAD</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64877-2023</t>
        </is>
      </c>
      <c r="B13062" s="1" t="n">
        <v>45282</v>
      </c>
      <c r="C13062" s="1" t="n">
        <v>45736</v>
      </c>
      <c r="D13062" t="inlineStr">
        <is>
          <t>VÄRMLANDS LÄN</t>
        </is>
      </c>
      <c r="E13062" t="inlineStr">
        <is>
          <t>ARVIKA</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65053-2023</t>
        </is>
      </c>
      <c r="B13063" s="1" t="n">
        <v>45282</v>
      </c>
      <c r="C13063" s="1" t="n">
        <v>45736</v>
      </c>
      <c r="D13063" t="inlineStr">
        <is>
          <t>VÄRMLANDS LÄN</t>
        </is>
      </c>
      <c r="E13063" t="inlineStr">
        <is>
          <t>KRISTINEHAMN</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65054-2023</t>
        </is>
      </c>
      <c r="B13064" s="1" t="n">
        <v>45282</v>
      </c>
      <c r="C13064" s="1" t="n">
        <v>45736</v>
      </c>
      <c r="D13064" t="inlineStr">
        <is>
          <t>VÄRMLANDS LÄN</t>
        </is>
      </c>
      <c r="E13064" t="inlineStr">
        <is>
          <t>KRISTINEHAMN</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64936-2023</t>
        </is>
      </c>
      <c r="B13065" s="1" t="n">
        <v>45282</v>
      </c>
      <c r="C13065" s="1" t="n">
        <v>45736</v>
      </c>
      <c r="D13065" t="inlineStr">
        <is>
          <t>VÄRMLANDS LÄN</t>
        </is>
      </c>
      <c r="E13065" t="inlineStr">
        <is>
          <t>HAGFORS</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65020-2023</t>
        </is>
      </c>
      <c r="B13066" s="1" t="n">
        <v>45282</v>
      </c>
      <c r="C13066" s="1" t="n">
        <v>45736</v>
      </c>
      <c r="D13066" t="inlineStr">
        <is>
          <t>VÄRMLANDS LÄN</t>
        </is>
      </c>
      <c r="E13066" t="inlineStr">
        <is>
          <t>SUNNE</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65050-2023</t>
        </is>
      </c>
      <c r="B13067" s="1" t="n">
        <v>45282</v>
      </c>
      <c r="C13067" s="1" t="n">
        <v>45736</v>
      </c>
      <c r="D13067" t="inlineStr">
        <is>
          <t>VÄRMLANDS LÄN</t>
        </is>
      </c>
      <c r="E13067" t="inlineStr">
        <is>
          <t>KRISTINEHAMN</t>
        </is>
      </c>
      <c r="G13067" t="n">
        <v>9.6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65055-2023</t>
        </is>
      </c>
      <c r="B13068" s="1" t="n">
        <v>45282</v>
      </c>
      <c r="C13068" s="1" t="n">
        <v>45736</v>
      </c>
      <c r="D13068" t="inlineStr">
        <is>
          <t>VÄRMLANDS LÄN</t>
        </is>
      </c>
      <c r="E13068" t="inlineStr">
        <is>
          <t>KRISTINEHAMN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65048-2023</t>
        </is>
      </c>
      <c r="B13069" s="1" t="n">
        <v>45284</v>
      </c>
      <c r="C13069" s="1" t="n">
        <v>45736</v>
      </c>
      <c r="D13069" t="inlineStr">
        <is>
          <t>VÄRMLANDS LÄN</t>
        </is>
      </c>
      <c r="E13069" t="inlineStr">
        <is>
          <t>KIL</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65052-2023</t>
        </is>
      </c>
      <c r="B13070" s="1" t="n">
        <v>45284</v>
      </c>
      <c r="C13070" s="1" t="n">
        <v>45736</v>
      </c>
      <c r="D13070" t="inlineStr">
        <is>
          <t>VÄRMLANDS LÄN</t>
        </is>
      </c>
      <c r="E13070" t="inlineStr">
        <is>
          <t>KIL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65069-2023</t>
        </is>
      </c>
      <c r="B13071" s="1" t="n">
        <v>45285</v>
      </c>
      <c r="C13071" s="1" t="n">
        <v>45736</v>
      </c>
      <c r="D13071" t="inlineStr">
        <is>
          <t>VÄRMLANDS LÄN</t>
        </is>
      </c>
      <c r="E13071" t="inlineStr">
        <is>
          <t>SÄFFLE</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65007-2023</t>
        </is>
      </c>
      <c r="B13072" s="1" t="n">
        <v>45287</v>
      </c>
      <c r="C13072" s="1" t="n">
        <v>45736</v>
      </c>
      <c r="D13072" t="inlineStr">
        <is>
          <t>VÄRMLANDS LÄN</t>
        </is>
      </c>
      <c r="E13072" t="inlineStr">
        <is>
          <t>KIL</t>
        </is>
      </c>
      <c r="G13072" t="n">
        <v>14.2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65016-2023</t>
        </is>
      </c>
      <c r="B13073" s="1" t="n">
        <v>45287</v>
      </c>
      <c r="C13073" s="1" t="n">
        <v>45736</v>
      </c>
      <c r="D13073" t="inlineStr">
        <is>
          <t>VÄRMLANDS LÄN</t>
        </is>
      </c>
      <c r="E13073" t="inlineStr">
        <is>
          <t>HAGFORS</t>
        </is>
      </c>
      <c r="F13073" t="inlineStr">
        <is>
          <t>Bergvik skog väst AB</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65058-2023</t>
        </is>
      </c>
      <c r="B13074" s="1" t="n">
        <v>45287</v>
      </c>
      <c r="C13074" s="1" t="n">
        <v>45736</v>
      </c>
      <c r="D13074" t="inlineStr">
        <is>
          <t>VÄRMLANDS LÄN</t>
        </is>
      </c>
      <c r="E13074" t="inlineStr">
        <is>
          <t>HAGFORS</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65062-2023</t>
        </is>
      </c>
      <c r="B13075" s="1" t="n">
        <v>45287</v>
      </c>
      <c r="C13075" s="1" t="n">
        <v>45736</v>
      </c>
      <c r="D13075" t="inlineStr">
        <is>
          <t>VÄRMLANDS LÄN</t>
        </is>
      </c>
      <c r="E13075" t="inlineStr">
        <is>
          <t>FORSHAGA</t>
        </is>
      </c>
      <c r="F13075" t="inlineStr">
        <is>
          <t>Bergvik skog väst AB</t>
        </is>
      </c>
      <c r="G13075" t="n">
        <v>11.3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65002-2023</t>
        </is>
      </c>
      <c r="B13076" s="1" t="n">
        <v>45287</v>
      </c>
      <c r="C13076" s="1" t="n">
        <v>45736</v>
      </c>
      <c r="D13076" t="inlineStr">
        <is>
          <t>VÄRMLANDS LÄN</t>
        </is>
      </c>
      <c r="E13076" t="inlineStr">
        <is>
          <t>KIL</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65036-2023</t>
        </is>
      </c>
      <c r="B13077" s="1" t="n">
        <v>45287</v>
      </c>
      <c r="C13077" s="1" t="n">
        <v>45736</v>
      </c>
      <c r="D13077" t="inlineStr">
        <is>
          <t>VÄRMLANDS LÄN</t>
        </is>
      </c>
      <c r="E13077" t="inlineStr">
        <is>
          <t>ARVIKA</t>
        </is>
      </c>
      <c r="F13077" t="inlineStr">
        <is>
          <t>Bergvik skog väst AB</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65061-2023</t>
        </is>
      </c>
      <c r="B13078" s="1" t="n">
        <v>45287</v>
      </c>
      <c r="C13078" s="1" t="n">
        <v>45736</v>
      </c>
      <c r="D13078" t="inlineStr">
        <is>
          <t>VÄRMLANDS LÄN</t>
        </is>
      </c>
      <c r="E13078" t="inlineStr">
        <is>
          <t>ÅRJÄNG</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65065-2023</t>
        </is>
      </c>
      <c r="B13079" s="1" t="n">
        <v>45287</v>
      </c>
      <c r="C13079" s="1" t="n">
        <v>45736</v>
      </c>
      <c r="D13079" t="inlineStr">
        <is>
          <t>VÄRMLANDS LÄN</t>
        </is>
      </c>
      <c r="E13079" t="inlineStr">
        <is>
          <t>HAGFORS</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65072-2023</t>
        </is>
      </c>
      <c r="B13080" s="1" t="n">
        <v>45287</v>
      </c>
      <c r="C13080" s="1" t="n">
        <v>45736</v>
      </c>
      <c r="D13080" t="inlineStr">
        <is>
          <t>VÄRMLANDS LÄN</t>
        </is>
      </c>
      <c r="E13080" t="inlineStr">
        <is>
          <t>STORFORS</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65060-2023</t>
        </is>
      </c>
      <c r="B13081" s="1" t="n">
        <v>45287</v>
      </c>
      <c r="C13081" s="1" t="n">
        <v>45736</v>
      </c>
      <c r="D13081" t="inlineStr">
        <is>
          <t>VÄRMLANDS LÄN</t>
        </is>
      </c>
      <c r="E13081" t="inlineStr">
        <is>
          <t>HAGFORS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65064-2023</t>
        </is>
      </c>
      <c r="B13082" s="1" t="n">
        <v>45287</v>
      </c>
      <c r="C13082" s="1" t="n">
        <v>45736</v>
      </c>
      <c r="D13082" t="inlineStr">
        <is>
          <t>VÄRMLANDS LÄN</t>
        </is>
      </c>
      <c r="E13082" t="inlineStr">
        <is>
          <t>HAGFORS</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65071-2023</t>
        </is>
      </c>
      <c r="B13083" s="1" t="n">
        <v>45287</v>
      </c>
      <c r="C13083" s="1" t="n">
        <v>45736</v>
      </c>
      <c r="D13083" t="inlineStr">
        <is>
          <t>VÄRMLANDS LÄN</t>
        </is>
      </c>
      <c r="E13083" t="inlineStr">
        <is>
          <t>STORFORS</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65004-2023</t>
        </is>
      </c>
      <c r="B13084" s="1" t="n">
        <v>45287</v>
      </c>
      <c r="C13084" s="1" t="n">
        <v>45736</v>
      </c>
      <c r="D13084" t="inlineStr">
        <is>
          <t>VÄRMLANDS LÄN</t>
        </is>
      </c>
      <c r="E13084" t="inlineStr">
        <is>
          <t>KIL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65008-2023</t>
        </is>
      </c>
      <c r="B13085" s="1" t="n">
        <v>45287</v>
      </c>
      <c r="C13085" s="1" t="n">
        <v>45736</v>
      </c>
      <c r="D13085" t="inlineStr">
        <is>
          <t>VÄRMLANDS LÄN</t>
        </is>
      </c>
      <c r="E13085" t="inlineStr">
        <is>
          <t>KIL</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65017-2023</t>
        </is>
      </c>
      <c r="B13086" s="1" t="n">
        <v>45287</v>
      </c>
      <c r="C13086" s="1" t="n">
        <v>45736</v>
      </c>
      <c r="D13086" t="inlineStr">
        <is>
          <t>VÄRMLANDS LÄN</t>
        </is>
      </c>
      <c r="E13086" t="inlineStr">
        <is>
          <t>HAGFORS</t>
        </is>
      </c>
      <c r="F13086" t="inlineStr">
        <is>
          <t>Bergvik skog väst AB</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65063-2023</t>
        </is>
      </c>
      <c r="B13087" s="1" t="n">
        <v>45287</v>
      </c>
      <c r="C13087" s="1" t="n">
        <v>45736</v>
      </c>
      <c r="D13087" t="inlineStr">
        <is>
          <t>VÄRMLANDS LÄN</t>
        </is>
      </c>
      <c r="E13087" t="inlineStr">
        <is>
          <t>ÅRJÄNG</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65084-2023</t>
        </is>
      </c>
      <c r="B13088" s="1" t="n">
        <v>45288</v>
      </c>
      <c r="C13088" s="1" t="n">
        <v>45736</v>
      </c>
      <c r="D13088" t="inlineStr">
        <is>
          <t>VÄRMLANDS LÄN</t>
        </is>
      </c>
      <c r="E13088" t="inlineStr">
        <is>
          <t>ARVIKA</t>
        </is>
      </c>
      <c r="F13088" t="inlineStr">
        <is>
          <t>Bergvik skog väst AB</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65103-2023</t>
        </is>
      </c>
      <c r="B13089" s="1" t="n">
        <v>45288</v>
      </c>
      <c r="C13089" s="1" t="n">
        <v>45736</v>
      </c>
      <c r="D13089" t="inlineStr">
        <is>
          <t>VÄRMLANDS LÄN</t>
        </is>
      </c>
      <c r="E13089" t="inlineStr">
        <is>
          <t>STORFORS</t>
        </is>
      </c>
      <c r="F13089" t="inlineStr">
        <is>
          <t>Bergvik skog väst AB</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65117-2023</t>
        </is>
      </c>
      <c r="B13090" s="1" t="n">
        <v>45288</v>
      </c>
      <c r="C13090" s="1" t="n">
        <v>45736</v>
      </c>
      <c r="D13090" t="inlineStr">
        <is>
          <t>VÄRMLANDS LÄN</t>
        </is>
      </c>
      <c r="E13090" t="inlineStr">
        <is>
          <t>HAGFORS</t>
        </is>
      </c>
      <c r="F13090" t="inlineStr">
        <is>
          <t>Bergvik skog väst AB</t>
        </is>
      </c>
      <c r="G13090" t="n">
        <v>11.4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65085-2023</t>
        </is>
      </c>
      <c r="B13091" s="1" t="n">
        <v>45288</v>
      </c>
      <c r="C13091" s="1" t="n">
        <v>45736</v>
      </c>
      <c r="D13091" t="inlineStr">
        <is>
          <t>VÄRMLANDS LÄN</t>
        </is>
      </c>
      <c r="E13091" t="inlineStr">
        <is>
          <t>KARLSTAD</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65168-2023</t>
        </is>
      </c>
      <c r="B13092" s="1" t="n">
        <v>45288</v>
      </c>
      <c r="C13092" s="1" t="n">
        <v>45736</v>
      </c>
      <c r="D13092" t="inlineStr">
        <is>
          <t>VÄRMLANDS LÄN</t>
        </is>
      </c>
      <c r="E13092" t="inlineStr">
        <is>
          <t>ÅRJÄNG</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65081-2023</t>
        </is>
      </c>
      <c r="B13093" s="1" t="n">
        <v>45288</v>
      </c>
      <c r="C13093" s="1" t="n">
        <v>45736</v>
      </c>
      <c r="D13093" t="inlineStr">
        <is>
          <t>VÄRMLANDS LÄN</t>
        </is>
      </c>
      <c r="E13093" t="inlineStr">
        <is>
          <t>TORSBY</t>
        </is>
      </c>
      <c r="G13093" t="n">
        <v>3.8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65086-2023</t>
        </is>
      </c>
      <c r="B13094" s="1" t="n">
        <v>45288</v>
      </c>
      <c r="C13094" s="1" t="n">
        <v>45736</v>
      </c>
      <c r="D13094" t="inlineStr">
        <is>
          <t>VÄRMLANDS LÄN</t>
        </is>
      </c>
      <c r="E13094" t="inlineStr">
        <is>
          <t>KARLSTAD</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65134-2023</t>
        </is>
      </c>
      <c r="B13095" s="1" t="n">
        <v>45288</v>
      </c>
      <c r="C13095" s="1" t="n">
        <v>45736</v>
      </c>
      <c r="D13095" t="inlineStr">
        <is>
          <t>VÄRMLANDS LÄN</t>
        </is>
      </c>
      <c r="E13095" t="inlineStr">
        <is>
          <t>TORSBY</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65108-2023</t>
        </is>
      </c>
      <c r="B13096" s="1" t="n">
        <v>45288</v>
      </c>
      <c r="C13096" s="1" t="n">
        <v>45736</v>
      </c>
      <c r="D13096" t="inlineStr">
        <is>
          <t>VÄRMLANDS LÄN</t>
        </is>
      </c>
      <c r="E13096" t="inlineStr">
        <is>
          <t>SUNNE</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65171-2023</t>
        </is>
      </c>
      <c r="B13097" s="1" t="n">
        <v>45288</v>
      </c>
      <c r="C13097" s="1" t="n">
        <v>45736</v>
      </c>
      <c r="D13097" t="inlineStr">
        <is>
          <t>VÄRMLANDS LÄN</t>
        </is>
      </c>
      <c r="E13097" t="inlineStr">
        <is>
          <t>ÅRJÄNG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65215-2023</t>
        </is>
      </c>
      <c r="B13098" s="1" t="n">
        <v>45289</v>
      </c>
      <c r="C13098" s="1" t="n">
        <v>45736</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65229-2023</t>
        </is>
      </c>
      <c r="B13099" s="1" t="n">
        <v>45289</v>
      </c>
      <c r="C13099" s="1" t="n">
        <v>45736</v>
      </c>
      <c r="D13099" t="inlineStr">
        <is>
          <t>VÄRMLANDS LÄN</t>
        </is>
      </c>
      <c r="E13099" t="inlineStr">
        <is>
          <t>ÅRJÄNG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65204-2023</t>
        </is>
      </c>
      <c r="B13100" s="1" t="n">
        <v>45289</v>
      </c>
      <c r="C13100" s="1" t="n">
        <v>45736</v>
      </c>
      <c r="D13100" t="inlineStr">
        <is>
          <t>VÄRMLANDS LÄN</t>
        </is>
      </c>
      <c r="E13100" t="inlineStr">
        <is>
          <t>TORSBY</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65251-2023</t>
        </is>
      </c>
      <c r="B13101" s="1" t="n">
        <v>45290</v>
      </c>
      <c r="C13101" s="1" t="n">
        <v>45736</v>
      </c>
      <c r="D13101" t="inlineStr">
        <is>
          <t>VÄRMLANDS LÄN</t>
        </is>
      </c>
      <c r="E13101" t="inlineStr">
        <is>
          <t>EDA</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65250-2023</t>
        </is>
      </c>
      <c r="B13102" s="1" t="n">
        <v>45290</v>
      </c>
      <c r="C13102" s="1" t="n">
        <v>45736</v>
      </c>
      <c r="D13102" t="inlineStr">
        <is>
          <t>VÄRMLANDS LÄN</t>
        </is>
      </c>
      <c r="E13102" t="inlineStr">
        <is>
          <t>EDA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1-2024</t>
        </is>
      </c>
      <c r="B13103" s="1" t="n">
        <v>45292</v>
      </c>
      <c r="C13103" s="1" t="n">
        <v>45736</v>
      </c>
      <c r="D13103" t="inlineStr">
        <is>
          <t>VÄRMLANDS LÄN</t>
        </is>
      </c>
      <c r="E13103" t="inlineStr">
        <is>
          <t>ÅRJÄNG</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2-2024</t>
        </is>
      </c>
      <c r="B13104" s="1" t="n">
        <v>45292</v>
      </c>
      <c r="C13104" s="1" t="n">
        <v>45736</v>
      </c>
      <c r="D13104" t="inlineStr">
        <is>
          <t>VÄRMLANDS LÄN</t>
        </is>
      </c>
      <c r="E13104" t="inlineStr">
        <is>
          <t>ÅRJÄNG</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33-2024</t>
        </is>
      </c>
      <c r="B13105" s="1" t="n">
        <v>45292</v>
      </c>
      <c r="C13105" s="1" t="n">
        <v>45736</v>
      </c>
      <c r="D13105" t="inlineStr">
        <is>
          <t>VÄRMLANDS LÄN</t>
        </is>
      </c>
      <c r="E13105" t="inlineStr">
        <is>
          <t>GRUMS</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66-2024</t>
        </is>
      </c>
      <c r="B13106" s="1" t="n">
        <v>45293</v>
      </c>
      <c r="C13106" s="1" t="n">
        <v>45736</v>
      </c>
      <c r="D13106" t="inlineStr">
        <is>
          <t>VÄRMLANDS LÄN</t>
        </is>
      </c>
      <c r="E13106" t="inlineStr">
        <is>
          <t>EDA</t>
        </is>
      </c>
      <c r="F13106" t="inlineStr">
        <is>
          <t>Kyrkan</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44-2024</t>
        </is>
      </c>
      <c r="B13107" s="1" t="n">
        <v>45293</v>
      </c>
      <c r="C13107" s="1" t="n">
        <v>45736</v>
      </c>
      <c r="D13107" t="inlineStr">
        <is>
          <t>VÄRMLANDS LÄN</t>
        </is>
      </c>
      <c r="E13107" t="inlineStr">
        <is>
          <t>ARVIKA</t>
        </is>
      </c>
      <c r="F13107" t="inlineStr">
        <is>
          <t>Kyrkan</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20-2024</t>
        </is>
      </c>
      <c r="B13108" s="1" t="n">
        <v>45293</v>
      </c>
      <c r="C13108" s="1" t="n">
        <v>45736</v>
      </c>
      <c r="D13108" t="inlineStr">
        <is>
          <t>VÄRMLANDS LÄN</t>
        </is>
      </c>
      <c r="E13108" t="inlineStr">
        <is>
          <t>EDA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14-2024</t>
        </is>
      </c>
      <c r="B13109" s="1" t="n">
        <v>45293</v>
      </c>
      <c r="C13109" s="1" t="n">
        <v>45736</v>
      </c>
      <c r="D13109" t="inlineStr">
        <is>
          <t>VÄRMLANDS LÄN</t>
        </is>
      </c>
      <c r="E13109" t="inlineStr">
        <is>
          <t>EDA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35-2024</t>
        </is>
      </c>
      <c r="B13110" s="1" t="n">
        <v>45293</v>
      </c>
      <c r="C13110" s="1" t="n">
        <v>45736</v>
      </c>
      <c r="D13110" t="inlineStr">
        <is>
          <t>VÄRMLANDS LÄN</t>
        </is>
      </c>
      <c r="E13110" t="inlineStr">
        <is>
          <t>SÄFFLE</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85-2024</t>
        </is>
      </c>
      <c r="B13111" s="1" t="n">
        <v>45293</v>
      </c>
      <c r="C13111" s="1" t="n">
        <v>45736</v>
      </c>
      <c r="D13111" t="inlineStr">
        <is>
          <t>VÄRMLANDS LÄN</t>
        </is>
      </c>
      <c r="E13111" t="inlineStr">
        <is>
          <t>SÄFFLE</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87-2024</t>
        </is>
      </c>
      <c r="B13112" s="1" t="n">
        <v>45293</v>
      </c>
      <c r="C13112" s="1" t="n">
        <v>45736</v>
      </c>
      <c r="D13112" t="inlineStr">
        <is>
          <t>VÄRMLANDS LÄN</t>
        </is>
      </c>
      <c r="E13112" t="inlineStr">
        <is>
          <t>SÄFFLE</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91-2024</t>
        </is>
      </c>
      <c r="B13113" s="1" t="n">
        <v>45293</v>
      </c>
      <c r="C13113" s="1" t="n">
        <v>45736</v>
      </c>
      <c r="D13113" t="inlineStr">
        <is>
          <t>VÄRMLANDS LÄN</t>
        </is>
      </c>
      <c r="E13113" t="inlineStr">
        <is>
          <t>ARVIKA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108-2024</t>
        </is>
      </c>
      <c r="B13114" s="1" t="n">
        <v>45293</v>
      </c>
      <c r="C13114" s="1" t="n">
        <v>45736</v>
      </c>
      <c r="D13114" t="inlineStr">
        <is>
          <t>VÄRMLANDS LÄN</t>
        </is>
      </c>
      <c r="E13114" t="inlineStr">
        <is>
          <t>ARVIKA</t>
        </is>
      </c>
      <c r="F13114" t="inlineStr">
        <is>
          <t>Kyrkan</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210-2024</t>
        </is>
      </c>
      <c r="B13115" s="1" t="n">
        <v>45293</v>
      </c>
      <c r="C13115" s="1" t="n">
        <v>45736</v>
      </c>
      <c r="D13115" t="inlineStr">
        <is>
          <t>VÄRMLANDS LÄN</t>
        </is>
      </c>
      <c r="E13115" t="inlineStr">
        <is>
          <t>SÄFFLE</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117-2024</t>
        </is>
      </c>
      <c r="B13116" s="1" t="n">
        <v>45294</v>
      </c>
      <c r="C13116" s="1" t="n">
        <v>45736</v>
      </c>
      <c r="D13116" t="inlineStr">
        <is>
          <t>VÄRMLANDS LÄN</t>
        </is>
      </c>
      <c r="E13116" t="inlineStr">
        <is>
          <t>ARVIKA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173-2024</t>
        </is>
      </c>
      <c r="B13117" s="1" t="n">
        <v>45294</v>
      </c>
      <c r="C13117" s="1" t="n">
        <v>45736</v>
      </c>
      <c r="D13117" t="inlineStr">
        <is>
          <t>VÄRMLANDS LÄN</t>
        </is>
      </c>
      <c r="E13117" t="inlineStr">
        <is>
          <t>TORSBY</t>
        </is>
      </c>
      <c r="F13117" t="inlineStr">
        <is>
          <t>Bergvik skog väst AB</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111-2024</t>
        </is>
      </c>
      <c r="B13118" s="1" t="n">
        <v>45294</v>
      </c>
      <c r="C13118" s="1" t="n">
        <v>45736</v>
      </c>
      <c r="D13118" t="inlineStr">
        <is>
          <t>VÄRMLANDS LÄN</t>
        </is>
      </c>
      <c r="E13118" t="inlineStr">
        <is>
          <t>ARVIKA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119-2024</t>
        </is>
      </c>
      <c r="B13119" s="1" t="n">
        <v>45294</v>
      </c>
      <c r="C13119" s="1" t="n">
        <v>45736</v>
      </c>
      <c r="D13119" t="inlineStr">
        <is>
          <t>VÄRMLANDS LÄN</t>
        </is>
      </c>
      <c r="E13119" t="inlineStr">
        <is>
          <t>TORSBY</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135-2024</t>
        </is>
      </c>
      <c r="B13120" s="1" t="n">
        <v>45294</v>
      </c>
      <c r="C13120" s="1" t="n">
        <v>45736</v>
      </c>
      <c r="D13120" t="inlineStr">
        <is>
          <t>VÄRMLANDS LÄN</t>
        </is>
      </c>
      <c r="E13120" t="inlineStr">
        <is>
          <t>EDA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144-2024</t>
        </is>
      </c>
      <c r="B13121" s="1" t="n">
        <v>45294</v>
      </c>
      <c r="C13121" s="1" t="n">
        <v>45736</v>
      </c>
      <c r="D13121" t="inlineStr">
        <is>
          <t>VÄRMLANDS LÄN</t>
        </is>
      </c>
      <c r="E13121" t="inlineStr">
        <is>
          <t>TORSBY</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234-2024</t>
        </is>
      </c>
      <c r="B13122" s="1" t="n">
        <v>45294</v>
      </c>
      <c r="C13122" s="1" t="n">
        <v>45736</v>
      </c>
      <c r="D13122" t="inlineStr">
        <is>
          <t>VÄRMLANDS LÄN</t>
        </is>
      </c>
      <c r="E13122" t="inlineStr">
        <is>
          <t>TORSBY</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242-2024</t>
        </is>
      </c>
      <c r="B13123" s="1" t="n">
        <v>45294</v>
      </c>
      <c r="C13123" s="1" t="n">
        <v>45736</v>
      </c>
      <c r="D13123" t="inlineStr">
        <is>
          <t>VÄRMLANDS LÄN</t>
        </is>
      </c>
      <c r="E13123" t="inlineStr">
        <is>
          <t>KIL</t>
        </is>
      </c>
      <c r="F13123" t="inlineStr">
        <is>
          <t>Kyrkan</t>
        </is>
      </c>
      <c r="G13123" t="n">
        <v>8.5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241-2024</t>
        </is>
      </c>
      <c r="B13124" s="1" t="n">
        <v>45294</v>
      </c>
      <c r="C13124" s="1" t="n">
        <v>45736</v>
      </c>
      <c r="D13124" t="inlineStr">
        <is>
          <t>VÄRMLANDS LÄN</t>
        </is>
      </c>
      <c r="E13124" t="inlineStr">
        <is>
          <t>SUNNE</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143-2024</t>
        </is>
      </c>
      <c r="B13125" s="1" t="n">
        <v>45294</v>
      </c>
      <c r="C13125" s="1" t="n">
        <v>45736</v>
      </c>
      <c r="D13125" t="inlineStr">
        <is>
          <t>VÄRMLANDS LÄN</t>
        </is>
      </c>
      <c r="E13125" t="inlineStr">
        <is>
          <t>ARVIKA</t>
        </is>
      </c>
      <c r="F13125" t="inlineStr">
        <is>
          <t>Kommuner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176-2024</t>
        </is>
      </c>
      <c r="B13126" s="1" t="n">
        <v>45294</v>
      </c>
      <c r="C13126" s="1" t="n">
        <v>45736</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235-2024</t>
        </is>
      </c>
      <c r="B13127" s="1" t="n">
        <v>45294</v>
      </c>
      <c r="C13127" s="1" t="n">
        <v>45736</v>
      </c>
      <c r="D13127" t="inlineStr">
        <is>
          <t>VÄRMLANDS LÄN</t>
        </is>
      </c>
      <c r="E13127" t="inlineStr">
        <is>
          <t>TORSBY</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236-2024</t>
        </is>
      </c>
      <c r="B13128" s="1" t="n">
        <v>45294</v>
      </c>
      <c r="C13128" s="1" t="n">
        <v>45736</v>
      </c>
      <c r="D13128" t="inlineStr">
        <is>
          <t>VÄRMLANDS LÄN</t>
        </is>
      </c>
      <c r="E13128" t="inlineStr">
        <is>
          <t>TORSBY</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275-2024</t>
        </is>
      </c>
      <c r="B13129" s="1" t="n">
        <v>45295</v>
      </c>
      <c r="C13129" s="1" t="n">
        <v>45736</v>
      </c>
      <c r="D13129" t="inlineStr">
        <is>
          <t>VÄRMLANDS LÄN</t>
        </is>
      </c>
      <c r="E13129" t="inlineStr">
        <is>
          <t>SUNNE</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266-2024</t>
        </is>
      </c>
      <c r="B13130" s="1" t="n">
        <v>45295</v>
      </c>
      <c r="C13130" s="1" t="n">
        <v>45736</v>
      </c>
      <c r="D13130" t="inlineStr">
        <is>
          <t>VÄRMLANDS LÄN</t>
        </is>
      </c>
      <c r="E13130" t="inlineStr">
        <is>
          <t>TORSBY</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276-2024</t>
        </is>
      </c>
      <c r="B13131" s="1" t="n">
        <v>45295</v>
      </c>
      <c r="C13131" s="1" t="n">
        <v>45736</v>
      </c>
      <c r="D13131" t="inlineStr">
        <is>
          <t>VÄRMLANDS LÄN</t>
        </is>
      </c>
      <c r="E13131" t="inlineStr">
        <is>
          <t>TORSBY</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292-2024</t>
        </is>
      </c>
      <c r="B13132" s="1" t="n">
        <v>45295</v>
      </c>
      <c r="C13132" s="1" t="n">
        <v>45736</v>
      </c>
      <c r="D13132" t="inlineStr">
        <is>
          <t>VÄRMLANDS LÄN</t>
        </is>
      </c>
      <c r="E13132" t="inlineStr">
        <is>
          <t>SÄFFLE</t>
        </is>
      </c>
      <c r="G13132" t="n">
        <v>7.2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277-2024</t>
        </is>
      </c>
      <c r="B13133" s="1" t="n">
        <v>45295</v>
      </c>
      <c r="C13133" s="1" t="n">
        <v>45736</v>
      </c>
      <c r="D13133" t="inlineStr">
        <is>
          <t>VÄRMLANDS LÄN</t>
        </is>
      </c>
      <c r="E13133" t="inlineStr">
        <is>
          <t>KIL</t>
        </is>
      </c>
      <c r="G13133" t="n">
        <v>5.7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298-2024</t>
        </is>
      </c>
      <c r="B13134" s="1" t="n">
        <v>45295</v>
      </c>
      <c r="C13134" s="1" t="n">
        <v>45736</v>
      </c>
      <c r="D13134" t="inlineStr">
        <is>
          <t>VÄRMLANDS LÄN</t>
        </is>
      </c>
      <c r="E13134" t="inlineStr">
        <is>
          <t>ARVIKA</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324-2024</t>
        </is>
      </c>
      <c r="B13135" s="1" t="n">
        <v>45295</v>
      </c>
      <c r="C13135" s="1" t="n">
        <v>45736</v>
      </c>
      <c r="D13135" t="inlineStr">
        <is>
          <t>VÄRMLANDS LÄN</t>
        </is>
      </c>
      <c r="E13135" t="inlineStr">
        <is>
          <t>TORSBY</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344-2024</t>
        </is>
      </c>
      <c r="B13136" s="1" t="n">
        <v>45295</v>
      </c>
      <c r="C13136" s="1" t="n">
        <v>45736</v>
      </c>
      <c r="D13136" t="inlineStr">
        <is>
          <t>VÄRMLANDS LÄN</t>
        </is>
      </c>
      <c r="E13136" t="inlineStr">
        <is>
          <t>KRISTINEHAMN</t>
        </is>
      </c>
      <c r="F13136" t="inlineStr">
        <is>
          <t>Naturvårdsverket</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389-2024</t>
        </is>
      </c>
      <c r="B13137" s="1" t="n">
        <v>45296</v>
      </c>
      <c r="C13137" s="1" t="n">
        <v>45736</v>
      </c>
      <c r="D13137" t="inlineStr">
        <is>
          <t>VÄRMLANDS LÄN</t>
        </is>
      </c>
      <c r="E13137" t="inlineStr">
        <is>
          <t>EDA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423-2024</t>
        </is>
      </c>
      <c r="B13138" s="1" t="n">
        <v>45296</v>
      </c>
      <c r="C13138" s="1" t="n">
        <v>45736</v>
      </c>
      <c r="D13138" t="inlineStr">
        <is>
          <t>VÄRMLANDS LÄN</t>
        </is>
      </c>
      <c r="E13138" t="inlineStr">
        <is>
          <t>TORSBY</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428-2024</t>
        </is>
      </c>
      <c r="B13139" s="1" t="n">
        <v>45296</v>
      </c>
      <c r="C13139" s="1" t="n">
        <v>45736</v>
      </c>
      <c r="D13139" t="inlineStr">
        <is>
          <t>VÄRMLANDS LÄN</t>
        </is>
      </c>
      <c r="E13139" t="inlineStr">
        <is>
          <t>EDA</t>
        </is>
      </c>
      <c r="F13139" t="inlineStr">
        <is>
          <t>Kommuner</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407-2024</t>
        </is>
      </c>
      <c r="B13140" s="1" t="n">
        <v>45296</v>
      </c>
      <c r="C13140" s="1" t="n">
        <v>45736</v>
      </c>
      <c r="D13140" t="inlineStr">
        <is>
          <t>VÄRMLANDS LÄN</t>
        </is>
      </c>
      <c r="E13140" t="inlineStr">
        <is>
          <t>MUNKFORS</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414-2024</t>
        </is>
      </c>
      <c r="B13141" s="1" t="n">
        <v>45296</v>
      </c>
      <c r="C13141" s="1" t="n">
        <v>45736</v>
      </c>
      <c r="D13141" t="inlineStr">
        <is>
          <t>VÄRMLANDS LÄN</t>
        </is>
      </c>
      <c r="E13141" t="inlineStr">
        <is>
          <t>ARVIKA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509-2024</t>
        </is>
      </c>
      <c r="B13142" s="1" t="n">
        <v>45299</v>
      </c>
      <c r="C13142" s="1" t="n">
        <v>45736</v>
      </c>
      <c r="D13142" t="inlineStr">
        <is>
          <t>VÄRMLANDS LÄN</t>
        </is>
      </c>
      <c r="E13142" t="inlineStr">
        <is>
          <t>KARLSTAD</t>
        </is>
      </c>
      <c r="G13142" t="n">
        <v>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491-2024</t>
        </is>
      </c>
      <c r="B13143" s="1" t="n">
        <v>45299</v>
      </c>
      <c r="C13143" s="1" t="n">
        <v>45736</v>
      </c>
      <c r="D13143" t="inlineStr">
        <is>
          <t>VÄRMLANDS LÄN</t>
        </is>
      </c>
      <c r="E13143" t="inlineStr">
        <is>
          <t>FILIPSTAD</t>
        </is>
      </c>
      <c r="F13143" t="inlineStr">
        <is>
          <t>Bergvik skog väst AB</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567-2024</t>
        </is>
      </c>
      <c r="B13144" s="1" t="n">
        <v>45299</v>
      </c>
      <c r="C13144" s="1" t="n">
        <v>45736</v>
      </c>
      <c r="D13144" t="inlineStr">
        <is>
          <t>VÄRMLANDS LÄN</t>
        </is>
      </c>
      <c r="E13144" t="inlineStr">
        <is>
          <t>ARVIKA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558-2024</t>
        </is>
      </c>
      <c r="B13145" s="1" t="n">
        <v>45299</v>
      </c>
      <c r="C13145" s="1" t="n">
        <v>45736</v>
      </c>
      <c r="D13145" t="inlineStr">
        <is>
          <t>VÄRMLANDS LÄN</t>
        </is>
      </c>
      <c r="E13145" t="inlineStr">
        <is>
          <t>SÄFFLE</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502-2024</t>
        </is>
      </c>
      <c r="B13146" s="1" t="n">
        <v>45299</v>
      </c>
      <c r="C13146" s="1" t="n">
        <v>45736</v>
      </c>
      <c r="D13146" t="inlineStr">
        <is>
          <t>VÄRMLANDS LÄN</t>
        </is>
      </c>
      <c r="E13146" t="inlineStr">
        <is>
          <t>TORSBY</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519-2024</t>
        </is>
      </c>
      <c r="B13147" s="1" t="n">
        <v>45299</v>
      </c>
      <c r="C13147" s="1" t="n">
        <v>45736</v>
      </c>
      <c r="D13147" t="inlineStr">
        <is>
          <t>VÄRMLANDS LÄN</t>
        </is>
      </c>
      <c r="E13147" t="inlineStr">
        <is>
          <t>ARVIKA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560-2024</t>
        </is>
      </c>
      <c r="B13148" s="1" t="n">
        <v>45299</v>
      </c>
      <c r="C13148" s="1" t="n">
        <v>45736</v>
      </c>
      <c r="D13148" t="inlineStr">
        <is>
          <t>VÄRMLANDS LÄN</t>
        </is>
      </c>
      <c r="E13148" t="inlineStr">
        <is>
          <t>SÄFFLE</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610-2024</t>
        </is>
      </c>
      <c r="B13149" s="1" t="n">
        <v>45299</v>
      </c>
      <c r="C13149" s="1" t="n">
        <v>45736</v>
      </c>
      <c r="D13149" t="inlineStr">
        <is>
          <t>VÄRMLANDS LÄN</t>
        </is>
      </c>
      <c r="E13149" t="inlineStr">
        <is>
          <t>KARLSTAD</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618-2024</t>
        </is>
      </c>
      <c r="B13150" s="1" t="n">
        <v>45299</v>
      </c>
      <c r="C13150" s="1" t="n">
        <v>45736</v>
      </c>
      <c r="D13150" t="inlineStr">
        <is>
          <t>VÄRMLANDS LÄN</t>
        </is>
      </c>
      <c r="E13150" t="inlineStr">
        <is>
          <t>KARLSTAD</t>
        </is>
      </c>
      <c r="G13150" t="n">
        <v>10.9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512-2024</t>
        </is>
      </c>
      <c r="B13151" s="1" t="n">
        <v>45299</v>
      </c>
      <c r="C13151" s="1" t="n">
        <v>45736</v>
      </c>
      <c r="D13151" t="inlineStr">
        <is>
          <t>VÄRMLANDS LÄN</t>
        </is>
      </c>
      <c r="E13151" t="inlineStr">
        <is>
          <t>KARLSTAD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621-2024</t>
        </is>
      </c>
      <c r="B13152" s="1" t="n">
        <v>45299</v>
      </c>
      <c r="C13152" s="1" t="n">
        <v>45736</v>
      </c>
      <c r="D13152" t="inlineStr">
        <is>
          <t>VÄRMLANDS LÄN</t>
        </is>
      </c>
      <c r="E13152" t="inlineStr">
        <is>
          <t>KARLSTAD</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641-2024</t>
        </is>
      </c>
      <c r="B13153" s="1" t="n">
        <v>45299</v>
      </c>
      <c r="C13153" s="1" t="n">
        <v>45736</v>
      </c>
      <c r="D13153" t="inlineStr">
        <is>
          <t>VÄRMLANDS LÄN</t>
        </is>
      </c>
      <c r="E13153" t="inlineStr">
        <is>
          <t>SUNNE</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596-2024</t>
        </is>
      </c>
      <c r="B13154" s="1" t="n">
        <v>45299</v>
      </c>
      <c r="C13154" s="1" t="n">
        <v>45736</v>
      </c>
      <c r="D13154" t="inlineStr">
        <is>
          <t>VÄRMLANDS LÄN</t>
        </is>
      </c>
      <c r="E13154" t="inlineStr">
        <is>
          <t>KARLSTAD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553-2024</t>
        </is>
      </c>
      <c r="B13155" s="1" t="n">
        <v>45299</v>
      </c>
      <c r="C13155" s="1" t="n">
        <v>45736</v>
      </c>
      <c r="D13155" t="inlineStr">
        <is>
          <t>VÄRMLANDS LÄN</t>
        </is>
      </c>
      <c r="E13155" t="inlineStr">
        <is>
          <t>KARLSTAD</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540-2024</t>
        </is>
      </c>
      <c r="B13156" s="1" t="n">
        <v>45299</v>
      </c>
      <c r="C13156" s="1" t="n">
        <v>45736</v>
      </c>
      <c r="D13156" t="inlineStr">
        <is>
          <t>VÄRMLANDS LÄN</t>
        </is>
      </c>
      <c r="E13156" t="inlineStr">
        <is>
          <t>ÅRJÄNG</t>
        </is>
      </c>
      <c r="F13156" t="inlineStr">
        <is>
          <t>Kyrkan</t>
        </is>
      </c>
      <c r="G13156" t="n">
        <v>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687-2024</t>
        </is>
      </c>
      <c r="B13157" s="1" t="n">
        <v>45300</v>
      </c>
      <c r="C13157" s="1" t="n">
        <v>45736</v>
      </c>
      <c r="D13157" t="inlineStr">
        <is>
          <t>VÄRMLANDS LÄN</t>
        </is>
      </c>
      <c r="E13157" t="inlineStr">
        <is>
          <t>ÅRJÄNG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691-2024</t>
        </is>
      </c>
      <c r="B13158" s="1" t="n">
        <v>45300</v>
      </c>
      <c r="C13158" s="1" t="n">
        <v>45736</v>
      </c>
      <c r="D13158" t="inlineStr">
        <is>
          <t>VÄRMLANDS LÄN</t>
        </is>
      </c>
      <c r="E13158" t="inlineStr">
        <is>
          <t>ARVIKA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699-2024</t>
        </is>
      </c>
      <c r="B13159" s="1" t="n">
        <v>45300</v>
      </c>
      <c r="C13159" s="1" t="n">
        <v>45736</v>
      </c>
      <c r="D13159" t="inlineStr">
        <is>
          <t>VÄRMLANDS LÄN</t>
        </is>
      </c>
      <c r="E13159" t="inlineStr">
        <is>
          <t>ÅRJÄNG</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680-2024</t>
        </is>
      </c>
      <c r="B13160" s="1" t="n">
        <v>45300</v>
      </c>
      <c r="C13160" s="1" t="n">
        <v>45736</v>
      </c>
      <c r="D13160" t="inlineStr">
        <is>
          <t>VÄRMLANDS LÄN</t>
        </is>
      </c>
      <c r="E13160" t="inlineStr">
        <is>
          <t>GRUMS</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692-2024</t>
        </is>
      </c>
      <c r="B13161" s="1" t="n">
        <v>45300</v>
      </c>
      <c r="C13161" s="1" t="n">
        <v>45736</v>
      </c>
      <c r="D13161" t="inlineStr">
        <is>
          <t>VÄRMLANDS LÄN</t>
        </is>
      </c>
      <c r="E13161" t="inlineStr">
        <is>
          <t>ARVIKA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696-2024</t>
        </is>
      </c>
      <c r="B13162" s="1" t="n">
        <v>45300</v>
      </c>
      <c r="C13162" s="1" t="n">
        <v>45736</v>
      </c>
      <c r="D13162" t="inlineStr">
        <is>
          <t>VÄRMLANDS LÄN</t>
        </is>
      </c>
      <c r="E13162" t="inlineStr">
        <is>
          <t>ARVIKA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708-2024</t>
        </is>
      </c>
      <c r="B13163" s="1" t="n">
        <v>45300</v>
      </c>
      <c r="C13163" s="1" t="n">
        <v>45736</v>
      </c>
      <c r="D13163" t="inlineStr">
        <is>
          <t>VÄRMLANDS LÄN</t>
        </is>
      </c>
      <c r="E13163" t="inlineStr">
        <is>
          <t>SÄFFLE</t>
        </is>
      </c>
      <c r="F13163" t="inlineStr">
        <is>
          <t>Kyrkan</t>
        </is>
      </c>
      <c r="G13163" t="n">
        <v>14.1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673-2024</t>
        </is>
      </c>
      <c r="B13164" s="1" t="n">
        <v>45300</v>
      </c>
      <c r="C13164" s="1" t="n">
        <v>45736</v>
      </c>
      <c r="D13164" t="inlineStr">
        <is>
          <t>VÄRMLANDS LÄN</t>
        </is>
      </c>
      <c r="E13164" t="inlineStr">
        <is>
          <t>ARVIKA</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713-2024</t>
        </is>
      </c>
      <c r="B13165" s="1" t="n">
        <v>45300</v>
      </c>
      <c r="C13165" s="1" t="n">
        <v>45736</v>
      </c>
      <c r="D13165" t="inlineStr">
        <is>
          <t>VÄRMLANDS LÄN</t>
        </is>
      </c>
      <c r="E13165" t="inlineStr">
        <is>
          <t>ÅRJÄNG</t>
        </is>
      </c>
      <c r="F13165" t="inlineStr">
        <is>
          <t>Kyrkan</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737-2024</t>
        </is>
      </c>
      <c r="B13166" s="1" t="n">
        <v>45300</v>
      </c>
      <c r="C13166" s="1" t="n">
        <v>45736</v>
      </c>
      <c r="D13166" t="inlineStr">
        <is>
          <t>VÄRMLANDS LÄN</t>
        </is>
      </c>
      <c r="E13166" t="inlineStr">
        <is>
          <t>TORSBY</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816-2024</t>
        </is>
      </c>
      <c r="B13167" s="1" t="n">
        <v>45300</v>
      </c>
      <c r="C13167" s="1" t="n">
        <v>45736</v>
      </c>
      <c r="D13167" t="inlineStr">
        <is>
          <t>VÄRMLANDS LÄN</t>
        </is>
      </c>
      <c r="E13167" t="inlineStr">
        <is>
          <t>SUNNE</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686-2024</t>
        </is>
      </c>
      <c r="B13168" s="1" t="n">
        <v>45300</v>
      </c>
      <c r="C13168" s="1" t="n">
        <v>45736</v>
      </c>
      <c r="D13168" t="inlineStr">
        <is>
          <t>VÄRMLANDS LÄN</t>
        </is>
      </c>
      <c r="E13168" t="inlineStr">
        <is>
          <t>ARVIKA</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710-2024</t>
        </is>
      </c>
      <c r="B13169" s="1" t="n">
        <v>45300</v>
      </c>
      <c r="C13169" s="1" t="n">
        <v>45736</v>
      </c>
      <c r="D13169" t="inlineStr">
        <is>
          <t>VÄRMLANDS LÄN</t>
        </is>
      </c>
      <c r="E13169" t="inlineStr">
        <is>
          <t>SÄFFLE</t>
        </is>
      </c>
      <c r="F13169" t="inlineStr">
        <is>
          <t>Kyrkan</t>
        </is>
      </c>
      <c r="G13169" t="n">
        <v>7.8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714-2024</t>
        </is>
      </c>
      <c r="B13170" s="1" t="n">
        <v>45300</v>
      </c>
      <c r="C13170" s="1" t="n">
        <v>45736</v>
      </c>
      <c r="D13170" t="inlineStr">
        <is>
          <t>VÄRMLANDS LÄN</t>
        </is>
      </c>
      <c r="E13170" t="inlineStr">
        <is>
          <t>TORSBY</t>
        </is>
      </c>
      <c r="G13170" t="n">
        <v>18.1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752-2024</t>
        </is>
      </c>
      <c r="B13171" s="1" t="n">
        <v>45300</v>
      </c>
      <c r="C13171" s="1" t="n">
        <v>45736</v>
      </c>
      <c r="D13171" t="inlineStr">
        <is>
          <t>VÄRMLANDS LÄN</t>
        </is>
      </c>
      <c r="E13171" t="inlineStr">
        <is>
          <t>SUNNE</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805-2024</t>
        </is>
      </c>
      <c r="B13172" s="1" t="n">
        <v>45300</v>
      </c>
      <c r="C13172" s="1" t="n">
        <v>45736</v>
      </c>
      <c r="D13172" t="inlineStr">
        <is>
          <t>VÄRMLANDS LÄN</t>
        </is>
      </c>
      <c r="E13172" t="inlineStr">
        <is>
          <t>SUNNE</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834-2024</t>
        </is>
      </c>
      <c r="B13173" s="1" t="n">
        <v>45300</v>
      </c>
      <c r="C13173" s="1" t="n">
        <v>45736</v>
      </c>
      <c r="D13173" t="inlineStr">
        <is>
          <t>VÄRMLANDS LÄN</t>
        </is>
      </c>
      <c r="E13173" t="inlineStr">
        <is>
          <t>SUNNE</t>
        </is>
      </c>
      <c r="F13173" t="inlineStr">
        <is>
          <t>Övriga statliga verk och myndigheter</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744-2024</t>
        </is>
      </c>
      <c r="B13174" s="1" t="n">
        <v>45300</v>
      </c>
      <c r="C13174" s="1" t="n">
        <v>45736</v>
      </c>
      <c r="D13174" t="inlineStr">
        <is>
          <t>VÄRMLANDS LÄN</t>
        </is>
      </c>
      <c r="E13174" t="inlineStr">
        <is>
          <t>KARLSTAD</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753-2024</t>
        </is>
      </c>
      <c r="B13175" s="1" t="n">
        <v>45300</v>
      </c>
      <c r="C13175" s="1" t="n">
        <v>45736</v>
      </c>
      <c r="D13175" t="inlineStr">
        <is>
          <t>VÄRMLANDS LÄN</t>
        </is>
      </c>
      <c r="E13175" t="inlineStr">
        <is>
          <t>SUNNE</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731-2024</t>
        </is>
      </c>
      <c r="B13176" s="1" t="n">
        <v>45300</v>
      </c>
      <c r="C13176" s="1" t="n">
        <v>45736</v>
      </c>
      <c r="D13176" t="inlineStr">
        <is>
          <t>VÄRMLANDS LÄN</t>
        </is>
      </c>
      <c r="E13176" t="inlineStr">
        <is>
          <t>TORSBY</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711-2024</t>
        </is>
      </c>
      <c r="B13177" s="1" t="n">
        <v>45300</v>
      </c>
      <c r="C13177" s="1" t="n">
        <v>45736</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862-2024</t>
        </is>
      </c>
      <c r="B13178" s="1" t="n">
        <v>45301</v>
      </c>
      <c r="C13178" s="1" t="n">
        <v>45736</v>
      </c>
      <c r="D13178" t="inlineStr">
        <is>
          <t>VÄRMLANDS LÄN</t>
        </is>
      </c>
      <c r="E13178" t="inlineStr">
        <is>
          <t>EDA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887-2024</t>
        </is>
      </c>
      <c r="B13179" s="1" t="n">
        <v>45301</v>
      </c>
      <c r="C13179" s="1" t="n">
        <v>45736</v>
      </c>
      <c r="D13179" t="inlineStr">
        <is>
          <t>VÄRMLANDS LÄN</t>
        </is>
      </c>
      <c r="E13179" t="inlineStr">
        <is>
          <t>EDA</t>
        </is>
      </c>
      <c r="F13179" t="inlineStr">
        <is>
          <t>Kyrkan</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913-2024</t>
        </is>
      </c>
      <c r="B13180" s="1" t="n">
        <v>45301</v>
      </c>
      <c r="C13180" s="1" t="n">
        <v>45736</v>
      </c>
      <c r="D13180" t="inlineStr">
        <is>
          <t>VÄRMLANDS LÄN</t>
        </is>
      </c>
      <c r="E13180" t="inlineStr">
        <is>
          <t>SUNNE</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875-2024</t>
        </is>
      </c>
      <c r="B13181" s="1" t="n">
        <v>45301</v>
      </c>
      <c r="C13181" s="1" t="n">
        <v>45736</v>
      </c>
      <c r="D13181" t="inlineStr">
        <is>
          <t>VÄRMLANDS LÄN</t>
        </is>
      </c>
      <c r="E13181" t="inlineStr">
        <is>
          <t>SUNNE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924-2024</t>
        </is>
      </c>
      <c r="B13182" s="1" t="n">
        <v>45301</v>
      </c>
      <c r="C13182" s="1" t="n">
        <v>45736</v>
      </c>
      <c r="D13182" t="inlineStr">
        <is>
          <t>VÄRMLANDS LÄN</t>
        </is>
      </c>
      <c r="E13182" t="inlineStr">
        <is>
          <t>TORSBY</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869-2024</t>
        </is>
      </c>
      <c r="B13183" s="1" t="n">
        <v>45301</v>
      </c>
      <c r="C13183" s="1" t="n">
        <v>45736</v>
      </c>
      <c r="D13183" t="inlineStr">
        <is>
          <t>VÄRMLANDS LÄN</t>
        </is>
      </c>
      <c r="E13183" t="inlineStr">
        <is>
          <t>TORSBY</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877-2024</t>
        </is>
      </c>
      <c r="B13184" s="1" t="n">
        <v>45301</v>
      </c>
      <c r="C13184" s="1" t="n">
        <v>45736</v>
      </c>
      <c r="D13184" t="inlineStr">
        <is>
          <t>VÄRMLANDS LÄN</t>
        </is>
      </c>
      <c r="E13184" t="inlineStr">
        <is>
          <t>TORSBY</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1001-2024</t>
        </is>
      </c>
      <c r="B13185" s="1" t="n">
        <v>45301</v>
      </c>
      <c r="C13185" s="1" t="n">
        <v>45736</v>
      </c>
      <c r="D13185" t="inlineStr">
        <is>
          <t>VÄRMLANDS LÄN</t>
        </is>
      </c>
      <c r="E13185" t="inlineStr">
        <is>
          <t>TORSBY</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894-2024</t>
        </is>
      </c>
      <c r="B13186" s="1" t="n">
        <v>45301</v>
      </c>
      <c r="C13186" s="1" t="n">
        <v>45736</v>
      </c>
      <c r="D13186" t="inlineStr">
        <is>
          <t>VÄRMLANDS LÄN</t>
        </is>
      </c>
      <c r="E13186" t="inlineStr">
        <is>
          <t>TORSBY</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930-2024</t>
        </is>
      </c>
      <c r="B13187" s="1" t="n">
        <v>45301</v>
      </c>
      <c r="C13187" s="1" t="n">
        <v>45736</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974-2024</t>
        </is>
      </c>
      <c r="B13188" s="1" t="n">
        <v>45301</v>
      </c>
      <c r="C13188" s="1" t="n">
        <v>45736</v>
      </c>
      <c r="D13188" t="inlineStr">
        <is>
          <t>VÄRMLANDS LÄN</t>
        </is>
      </c>
      <c r="E13188" t="inlineStr">
        <is>
          <t>SÄFFLE</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1042-2024</t>
        </is>
      </c>
      <c r="B13189" s="1" t="n">
        <v>45301</v>
      </c>
      <c r="C13189" s="1" t="n">
        <v>45736</v>
      </c>
      <c r="D13189" t="inlineStr">
        <is>
          <t>VÄRMLANDS LÄN</t>
        </is>
      </c>
      <c r="E13189" t="inlineStr">
        <is>
          <t>TORSBY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1046-2024</t>
        </is>
      </c>
      <c r="B13190" s="1" t="n">
        <v>45301</v>
      </c>
      <c r="C13190" s="1" t="n">
        <v>45736</v>
      </c>
      <c r="D13190" t="inlineStr">
        <is>
          <t>VÄRMLANDS LÄN</t>
        </is>
      </c>
      <c r="E13190" t="inlineStr">
        <is>
          <t>TORSBY</t>
        </is>
      </c>
      <c r="G13190" t="n">
        <v>17.5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1041-2024</t>
        </is>
      </c>
      <c r="B13191" s="1" t="n">
        <v>45301</v>
      </c>
      <c r="C13191" s="1" t="n">
        <v>45736</v>
      </c>
      <c r="D13191" t="inlineStr">
        <is>
          <t>VÄRMLANDS LÄN</t>
        </is>
      </c>
      <c r="E13191" t="inlineStr">
        <is>
          <t>TORSBY</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1045-2024</t>
        </is>
      </c>
      <c r="B13192" s="1" t="n">
        <v>45301</v>
      </c>
      <c r="C13192" s="1" t="n">
        <v>45736</v>
      </c>
      <c r="D13192" t="inlineStr">
        <is>
          <t>VÄRMLANDS LÄN</t>
        </is>
      </c>
      <c r="E13192" t="inlineStr">
        <is>
          <t>SUNNE</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1040-2024</t>
        </is>
      </c>
      <c r="B13193" s="1" t="n">
        <v>45301</v>
      </c>
      <c r="C13193" s="1" t="n">
        <v>45736</v>
      </c>
      <c r="D13193" t="inlineStr">
        <is>
          <t>VÄRMLANDS LÄN</t>
        </is>
      </c>
      <c r="E13193" t="inlineStr">
        <is>
          <t>TORSBY</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1044-2024</t>
        </is>
      </c>
      <c r="B13194" s="1" t="n">
        <v>45301</v>
      </c>
      <c r="C13194" s="1" t="n">
        <v>45736</v>
      </c>
      <c r="D13194" t="inlineStr">
        <is>
          <t>VÄRMLANDS LÄN</t>
        </is>
      </c>
      <c r="E13194" t="inlineStr">
        <is>
          <t>SUNNE</t>
        </is>
      </c>
      <c r="G13194" t="n">
        <v>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1110-2024</t>
        </is>
      </c>
      <c r="B13195" s="1" t="n">
        <v>45302</v>
      </c>
      <c r="C13195" s="1" t="n">
        <v>45736</v>
      </c>
      <c r="D13195" t="inlineStr">
        <is>
          <t>VÄRMLANDS LÄN</t>
        </is>
      </c>
      <c r="E13195" t="inlineStr">
        <is>
          <t>ÅRJÄNG</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1126-2024</t>
        </is>
      </c>
      <c r="B13196" s="1" t="n">
        <v>45302</v>
      </c>
      <c r="C13196" s="1" t="n">
        <v>45736</v>
      </c>
      <c r="D13196" t="inlineStr">
        <is>
          <t>VÄRMLANDS LÄN</t>
        </is>
      </c>
      <c r="E13196" t="inlineStr">
        <is>
          <t>ARVIKA</t>
        </is>
      </c>
      <c r="G13196" t="n">
        <v>6.7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1134-2024</t>
        </is>
      </c>
      <c r="B13197" s="1" t="n">
        <v>45302</v>
      </c>
      <c r="C13197" s="1" t="n">
        <v>45736</v>
      </c>
      <c r="D13197" t="inlineStr">
        <is>
          <t>VÄRMLANDS LÄN</t>
        </is>
      </c>
      <c r="E13197" t="inlineStr">
        <is>
          <t>ARVIKA</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1080-2024</t>
        </is>
      </c>
      <c r="B13198" s="1" t="n">
        <v>45302</v>
      </c>
      <c r="C13198" s="1" t="n">
        <v>45736</v>
      </c>
      <c r="D13198" t="inlineStr">
        <is>
          <t>VÄRMLANDS LÄN</t>
        </is>
      </c>
      <c r="E13198" t="inlineStr">
        <is>
          <t>TORSBY</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1086-2024</t>
        </is>
      </c>
      <c r="B13199" s="1" t="n">
        <v>45302</v>
      </c>
      <c r="C13199" s="1" t="n">
        <v>45736</v>
      </c>
      <c r="D13199" t="inlineStr">
        <is>
          <t>VÄRMLANDS LÄN</t>
        </is>
      </c>
      <c r="E13199" t="inlineStr">
        <is>
          <t>TORSBY</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1091-2024</t>
        </is>
      </c>
      <c r="B13200" s="1" t="n">
        <v>45302</v>
      </c>
      <c r="C13200" s="1" t="n">
        <v>45736</v>
      </c>
      <c r="D13200" t="inlineStr">
        <is>
          <t>VÄRMLANDS LÄN</t>
        </is>
      </c>
      <c r="E13200" t="inlineStr">
        <is>
          <t>TORSBY</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1243-2024</t>
        </is>
      </c>
      <c r="B13201" s="1" t="n">
        <v>45302</v>
      </c>
      <c r="C13201" s="1" t="n">
        <v>45736</v>
      </c>
      <c r="D13201" t="inlineStr">
        <is>
          <t>VÄRMLANDS LÄN</t>
        </is>
      </c>
      <c r="E13201" t="inlineStr">
        <is>
          <t>TORSBY</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1129-2024</t>
        </is>
      </c>
      <c r="B13202" s="1" t="n">
        <v>45302</v>
      </c>
      <c r="C13202" s="1" t="n">
        <v>45736</v>
      </c>
      <c r="D13202" t="inlineStr">
        <is>
          <t>VÄRMLANDS LÄN</t>
        </is>
      </c>
      <c r="E13202" t="inlineStr">
        <is>
          <t>KRISTINEHAMN</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1150-2024</t>
        </is>
      </c>
      <c r="B13203" s="1" t="n">
        <v>45302</v>
      </c>
      <c r="C13203" s="1" t="n">
        <v>45736</v>
      </c>
      <c r="D13203" t="inlineStr">
        <is>
          <t>VÄRMLANDS LÄN</t>
        </is>
      </c>
      <c r="E13203" t="inlineStr">
        <is>
          <t>KRISTINEHAMN</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1154-2024</t>
        </is>
      </c>
      <c r="B13204" s="1" t="n">
        <v>45302</v>
      </c>
      <c r="C13204" s="1" t="n">
        <v>45736</v>
      </c>
      <c r="D13204" t="inlineStr">
        <is>
          <t>VÄRMLANDS LÄN</t>
        </is>
      </c>
      <c r="E13204" t="inlineStr">
        <is>
          <t>TORSBY</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1090-2024</t>
        </is>
      </c>
      <c r="B13205" s="1" t="n">
        <v>45302</v>
      </c>
      <c r="C13205" s="1" t="n">
        <v>45736</v>
      </c>
      <c r="D13205" t="inlineStr">
        <is>
          <t>VÄRMLANDS LÄN</t>
        </is>
      </c>
      <c r="E13205" t="inlineStr">
        <is>
          <t>TORSBY</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1094-2024</t>
        </is>
      </c>
      <c r="B13206" s="1" t="n">
        <v>45302</v>
      </c>
      <c r="C13206" s="1" t="n">
        <v>45736</v>
      </c>
      <c r="D13206" t="inlineStr">
        <is>
          <t>VÄRMLANDS LÄN</t>
        </is>
      </c>
      <c r="E13206" t="inlineStr">
        <is>
          <t>TORSBY</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1115-2024</t>
        </is>
      </c>
      <c r="B13207" s="1" t="n">
        <v>45302</v>
      </c>
      <c r="C13207" s="1" t="n">
        <v>45736</v>
      </c>
      <c r="D13207" t="inlineStr">
        <is>
          <t>VÄRMLANDS LÄN</t>
        </is>
      </c>
      <c r="E13207" t="inlineStr">
        <is>
          <t>ÅRJÄNG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1127-2024</t>
        </is>
      </c>
      <c r="B13208" s="1" t="n">
        <v>45302</v>
      </c>
      <c r="C13208" s="1" t="n">
        <v>45736</v>
      </c>
      <c r="D13208" t="inlineStr">
        <is>
          <t>VÄRMLANDS LÄN</t>
        </is>
      </c>
      <c r="E13208" t="inlineStr">
        <is>
          <t>KRISTINEHAMN</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1266-2024</t>
        </is>
      </c>
      <c r="B13209" s="1" t="n">
        <v>45302</v>
      </c>
      <c r="C13209" s="1" t="n">
        <v>45736</v>
      </c>
      <c r="D13209" t="inlineStr">
        <is>
          <t>VÄRMLANDS LÄN</t>
        </is>
      </c>
      <c r="E13209" t="inlineStr">
        <is>
          <t>KRISTINEHAMN</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1165-2024</t>
        </is>
      </c>
      <c r="B13210" s="1" t="n">
        <v>45302</v>
      </c>
      <c r="C13210" s="1" t="n">
        <v>45736</v>
      </c>
      <c r="D13210" t="inlineStr">
        <is>
          <t>VÄRMLANDS LÄN</t>
        </is>
      </c>
      <c r="E13210" t="inlineStr">
        <is>
          <t>KARLSTAD</t>
        </is>
      </c>
      <c r="G13210" t="n">
        <v>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1265-2024</t>
        </is>
      </c>
      <c r="B13211" s="1" t="n">
        <v>45302</v>
      </c>
      <c r="C13211" s="1" t="n">
        <v>45736</v>
      </c>
      <c r="D13211" t="inlineStr">
        <is>
          <t>VÄRMLANDS LÄN</t>
        </is>
      </c>
      <c r="E13211" t="inlineStr">
        <is>
          <t>KRISTINEHAMN</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1232-2024</t>
        </is>
      </c>
      <c r="B13212" s="1" t="n">
        <v>45302</v>
      </c>
      <c r="C13212" s="1" t="n">
        <v>45736</v>
      </c>
      <c r="D13212" t="inlineStr">
        <is>
          <t>VÄRMLANDS LÄN</t>
        </is>
      </c>
      <c r="E13212" t="inlineStr">
        <is>
          <t>TORSBY</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1236-2024</t>
        </is>
      </c>
      <c r="B13213" s="1" t="n">
        <v>45302</v>
      </c>
      <c r="C13213" s="1" t="n">
        <v>45736</v>
      </c>
      <c r="D13213" t="inlineStr">
        <is>
          <t>VÄRMLANDS LÄN</t>
        </is>
      </c>
      <c r="E13213" t="inlineStr">
        <is>
          <t>TORSBY</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1264-2024</t>
        </is>
      </c>
      <c r="B13214" s="1" t="n">
        <v>45302</v>
      </c>
      <c r="C13214" s="1" t="n">
        <v>45736</v>
      </c>
      <c r="D13214" t="inlineStr">
        <is>
          <t>VÄRMLANDS LÄN</t>
        </is>
      </c>
      <c r="E13214" t="inlineStr">
        <is>
          <t>KRISTINEHAMN</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1520-2024</t>
        </is>
      </c>
      <c r="B13215" s="1" t="n">
        <v>45302</v>
      </c>
      <c r="C13215" s="1" t="n">
        <v>45736</v>
      </c>
      <c r="D13215" t="inlineStr">
        <is>
          <t>VÄRMLANDS LÄN</t>
        </is>
      </c>
      <c r="E13215" t="inlineStr">
        <is>
          <t>SÄFFLE</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1275-2024</t>
        </is>
      </c>
      <c r="B13216" s="1" t="n">
        <v>45302</v>
      </c>
      <c r="C13216" s="1" t="n">
        <v>45736</v>
      </c>
      <c r="D13216" t="inlineStr">
        <is>
          <t>VÄRMLANDS LÄN</t>
        </is>
      </c>
      <c r="E13216" t="inlineStr">
        <is>
          <t>TORSBY</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1320-2024</t>
        </is>
      </c>
      <c r="B13217" s="1" t="n">
        <v>45303</v>
      </c>
      <c r="C13217" s="1" t="n">
        <v>45736</v>
      </c>
      <c r="D13217" t="inlineStr">
        <is>
          <t>VÄRMLANDS LÄN</t>
        </is>
      </c>
      <c r="E13217" t="inlineStr">
        <is>
          <t>FILIPSTAD</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1422-2024</t>
        </is>
      </c>
      <c r="B13218" s="1" t="n">
        <v>45303</v>
      </c>
      <c r="C13218" s="1" t="n">
        <v>45736</v>
      </c>
      <c r="D13218" t="inlineStr">
        <is>
          <t>VÄRMLANDS LÄN</t>
        </is>
      </c>
      <c r="E13218" t="inlineStr">
        <is>
          <t>ARVIKA</t>
        </is>
      </c>
      <c r="F13218" t="inlineStr">
        <is>
          <t>Kyrkan</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1389-2024</t>
        </is>
      </c>
      <c r="B13219" s="1" t="n">
        <v>45303</v>
      </c>
      <c r="C13219" s="1" t="n">
        <v>45736</v>
      </c>
      <c r="D13219" t="inlineStr">
        <is>
          <t>VÄRMLANDS LÄN</t>
        </is>
      </c>
      <c r="E13219" t="inlineStr">
        <is>
          <t>SÄFFLE</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1401-2024</t>
        </is>
      </c>
      <c r="B13220" s="1" t="n">
        <v>45303</v>
      </c>
      <c r="C13220" s="1" t="n">
        <v>45736</v>
      </c>
      <c r="D13220" t="inlineStr">
        <is>
          <t>VÄRMLANDS LÄN</t>
        </is>
      </c>
      <c r="E13220" t="inlineStr">
        <is>
          <t>SÄFFLE</t>
        </is>
      </c>
      <c r="G13220" t="n">
        <v>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1363-2024</t>
        </is>
      </c>
      <c r="B13221" s="1" t="n">
        <v>45303</v>
      </c>
      <c r="C13221" s="1" t="n">
        <v>45736</v>
      </c>
      <c r="D13221" t="inlineStr">
        <is>
          <t>VÄRMLANDS LÄN</t>
        </is>
      </c>
      <c r="E13221" t="inlineStr">
        <is>
          <t>TORSBY</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1387-2024</t>
        </is>
      </c>
      <c r="B13222" s="1" t="n">
        <v>45303</v>
      </c>
      <c r="C13222" s="1" t="n">
        <v>45736</v>
      </c>
      <c r="D13222" t="inlineStr">
        <is>
          <t>VÄRMLANDS LÄN</t>
        </is>
      </c>
      <c r="E13222" t="inlineStr">
        <is>
          <t>HAGFORS</t>
        </is>
      </c>
      <c r="F13222" t="inlineStr">
        <is>
          <t>Bergvik skog väst AB</t>
        </is>
      </c>
      <c r="G13222" t="n">
        <v>64.90000000000001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1399-2024</t>
        </is>
      </c>
      <c r="B13223" s="1" t="n">
        <v>45303</v>
      </c>
      <c r="C13223" s="1" t="n">
        <v>45736</v>
      </c>
      <c r="D13223" t="inlineStr">
        <is>
          <t>VÄRMLANDS LÄN</t>
        </is>
      </c>
      <c r="E13223" t="inlineStr">
        <is>
          <t>KRISTINEHAMN</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1448-2024</t>
        </is>
      </c>
      <c r="B13224" s="1" t="n">
        <v>45303</v>
      </c>
      <c r="C13224" s="1" t="n">
        <v>45736</v>
      </c>
      <c r="D13224" t="inlineStr">
        <is>
          <t>VÄRMLANDS LÄN</t>
        </is>
      </c>
      <c r="E13224" t="inlineStr">
        <is>
          <t>SÄFFLE</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1315-2024</t>
        </is>
      </c>
      <c r="B13225" s="1" t="n">
        <v>45303</v>
      </c>
      <c r="C13225" s="1" t="n">
        <v>45736</v>
      </c>
      <c r="D13225" t="inlineStr">
        <is>
          <t>VÄRMLANDS LÄN</t>
        </is>
      </c>
      <c r="E13225" t="inlineStr">
        <is>
          <t>SUNNE</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1449-2024</t>
        </is>
      </c>
      <c r="B13226" s="1" t="n">
        <v>45303</v>
      </c>
      <c r="C13226" s="1" t="n">
        <v>45736</v>
      </c>
      <c r="D13226" t="inlineStr">
        <is>
          <t>VÄRMLANDS LÄN</t>
        </is>
      </c>
      <c r="E13226" t="inlineStr">
        <is>
          <t>SÄFFLE</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1468-2024</t>
        </is>
      </c>
      <c r="B13227" s="1" t="n">
        <v>45304</v>
      </c>
      <c r="C13227" s="1" t="n">
        <v>45736</v>
      </c>
      <c r="D13227" t="inlineStr">
        <is>
          <t>VÄRMLANDS LÄN</t>
        </is>
      </c>
      <c r="E13227" t="inlineStr">
        <is>
          <t>ARVIKA</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1527-2024</t>
        </is>
      </c>
      <c r="B13228" s="1" t="n">
        <v>45306</v>
      </c>
      <c r="C13228" s="1" t="n">
        <v>45736</v>
      </c>
      <c r="D13228" t="inlineStr">
        <is>
          <t>VÄRMLANDS LÄN</t>
        </is>
      </c>
      <c r="E13228" t="inlineStr">
        <is>
          <t>TORSBY</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1506-2024</t>
        </is>
      </c>
      <c r="B13229" s="1" t="n">
        <v>45306</v>
      </c>
      <c r="C13229" s="1" t="n">
        <v>45736</v>
      </c>
      <c r="D13229" t="inlineStr">
        <is>
          <t>VÄRMLANDS LÄN</t>
        </is>
      </c>
      <c r="E13229" t="inlineStr">
        <is>
          <t>ARVIKA</t>
        </is>
      </c>
      <c r="G13229" t="n">
        <v>11.3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1522-2024</t>
        </is>
      </c>
      <c r="B13230" s="1" t="n">
        <v>45306</v>
      </c>
      <c r="C13230" s="1" t="n">
        <v>45736</v>
      </c>
      <c r="D13230" t="inlineStr">
        <is>
          <t>VÄRMLANDS LÄN</t>
        </is>
      </c>
      <c r="E13230" t="inlineStr">
        <is>
          <t>TORSBY</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1534-2024</t>
        </is>
      </c>
      <c r="B13231" s="1" t="n">
        <v>45306</v>
      </c>
      <c r="C13231" s="1" t="n">
        <v>45736</v>
      </c>
      <c r="D13231" t="inlineStr">
        <is>
          <t>VÄRMLANDS LÄN</t>
        </is>
      </c>
      <c r="E13231" t="inlineStr">
        <is>
          <t>SÄFFLE</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1547-2024</t>
        </is>
      </c>
      <c r="B13232" s="1" t="n">
        <v>45306</v>
      </c>
      <c r="C13232" s="1" t="n">
        <v>45736</v>
      </c>
      <c r="D13232" t="inlineStr">
        <is>
          <t>VÄRMLANDS LÄN</t>
        </is>
      </c>
      <c r="E13232" t="inlineStr">
        <is>
          <t>TORSBY</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1551-2024</t>
        </is>
      </c>
      <c r="B13233" s="1" t="n">
        <v>45306</v>
      </c>
      <c r="C13233" s="1" t="n">
        <v>45736</v>
      </c>
      <c r="D13233" t="inlineStr">
        <is>
          <t>VÄRMLANDS LÄN</t>
        </is>
      </c>
      <c r="E13233" t="inlineStr">
        <is>
          <t>ÅRJÄNG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1508-2024</t>
        </is>
      </c>
      <c r="B13234" s="1" t="n">
        <v>45306</v>
      </c>
      <c r="C13234" s="1" t="n">
        <v>45736</v>
      </c>
      <c r="D13234" t="inlineStr">
        <is>
          <t>VÄRMLANDS LÄN</t>
        </is>
      </c>
      <c r="E13234" t="inlineStr">
        <is>
          <t>SUNNE</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1528-2024</t>
        </is>
      </c>
      <c r="B13235" s="1" t="n">
        <v>45306</v>
      </c>
      <c r="C13235" s="1" t="n">
        <v>45736</v>
      </c>
      <c r="D13235" t="inlineStr">
        <is>
          <t>VÄRMLANDS LÄN</t>
        </is>
      </c>
      <c r="E13235" t="inlineStr">
        <is>
          <t>TORSBY</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1548-2024</t>
        </is>
      </c>
      <c r="B13236" s="1" t="n">
        <v>45306</v>
      </c>
      <c r="C13236" s="1" t="n">
        <v>45736</v>
      </c>
      <c r="D13236" t="inlineStr">
        <is>
          <t>VÄRMLANDS LÄN</t>
        </is>
      </c>
      <c r="E13236" t="inlineStr">
        <is>
          <t>ÅRJÄNG</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1501-2024</t>
        </is>
      </c>
      <c r="B13237" s="1" t="n">
        <v>45306</v>
      </c>
      <c r="C13237" s="1" t="n">
        <v>45736</v>
      </c>
      <c r="D13237" t="inlineStr">
        <is>
          <t>VÄRMLANDS LÄN</t>
        </is>
      </c>
      <c r="E13237" t="inlineStr">
        <is>
          <t>EDA</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1529-2024</t>
        </is>
      </c>
      <c r="B13238" s="1" t="n">
        <v>45306</v>
      </c>
      <c r="C13238" s="1" t="n">
        <v>45736</v>
      </c>
      <c r="D13238" t="inlineStr">
        <is>
          <t>VÄRMLANDS LÄN</t>
        </is>
      </c>
      <c r="E13238" t="inlineStr">
        <is>
          <t>SUNNE</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1553-2024</t>
        </is>
      </c>
      <c r="B13239" s="1" t="n">
        <v>45306</v>
      </c>
      <c r="C13239" s="1" t="n">
        <v>45736</v>
      </c>
      <c r="D13239" t="inlineStr">
        <is>
          <t>VÄRMLANDS LÄN</t>
        </is>
      </c>
      <c r="E13239" t="inlineStr">
        <is>
          <t>ÅRJÄNG</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1602-2024</t>
        </is>
      </c>
      <c r="B13240" s="1" t="n">
        <v>45306</v>
      </c>
      <c r="C13240" s="1" t="n">
        <v>45736</v>
      </c>
      <c r="D13240" t="inlineStr">
        <is>
          <t>VÄRMLANDS LÄN</t>
        </is>
      </c>
      <c r="E13240" t="inlineStr">
        <is>
          <t>SUNNE</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1614-2024</t>
        </is>
      </c>
      <c r="B13241" s="1" t="n">
        <v>45306</v>
      </c>
      <c r="C13241" s="1" t="n">
        <v>45736</v>
      </c>
      <c r="D13241" t="inlineStr">
        <is>
          <t>VÄRMLANDS LÄN</t>
        </is>
      </c>
      <c r="E13241" t="inlineStr">
        <is>
          <t>KIL</t>
        </is>
      </c>
      <c r="G13241" t="n">
        <v>12.1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1637-2024</t>
        </is>
      </c>
      <c r="B13242" s="1" t="n">
        <v>45306</v>
      </c>
      <c r="C13242" s="1" t="n">
        <v>45736</v>
      </c>
      <c r="D13242" t="inlineStr">
        <is>
          <t>VÄRMLANDS LÄN</t>
        </is>
      </c>
      <c r="E13242" t="inlineStr">
        <is>
          <t>TORSBY</t>
        </is>
      </c>
      <c r="G13242" t="n">
        <v>11.9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1649-2024</t>
        </is>
      </c>
      <c r="B13243" s="1" t="n">
        <v>45306</v>
      </c>
      <c r="C13243" s="1" t="n">
        <v>45736</v>
      </c>
      <c r="D13243" t="inlineStr">
        <is>
          <t>VÄRMLANDS LÄN</t>
        </is>
      </c>
      <c r="E13243" t="inlineStr">
        <is>
          <t>KARLSTAD</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1608-2024</t>
        </is>
      </c>
      <c r="B13244" s="1" t="n">
        <v>45306</v>
      </c>
      <c r="C13244" s="1" t="n">
        <v>45736</v>
      </c>
      <c r="D13244" t="inlineStr">
        <is>
          <t>VÄRMLANDS LÄN</t>
        </is>
      </c>
      <c r="E13244" t="inlineStr">
        <is>
          <t>TORSBY</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1648-2024</t>
        </is>
      </c>
      <c r="B13245" s="1" t="n">
        <v>45306</v>
      </c>
      <c r="C13245" s="1" t="n">
        <v>45736</v>
      </c>
      <c r="D13245" t="inlineStr">
        <is>
          <t>VÄRMLANDS LÄN</t>
        </is>
      </c>
      <c r="E13245" t="inlineStr">
        <is>
          <t>KARLSTAD</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1652-2024</t>
        </is>
      </c>
      <c r="B13246" s="1" t="n">
        <v>45306</v>
      </c>
      <c r="C13246" s="1" t="n">
        <v>45736</v>
      </c>
      <c r="D13246" t="inlineStr">
        <is>
          <t>VÄRMLANDS LÄN</t>
        </is>
      </c>
      <c r="E13246" t="inlineStr">
        <is>
          <t>EDA</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1666-2024</t>
        </is>
      </c>
      <c r="B13247" s="1" t="n">
        <v>45306</v>
      </c>
      <c r="C13247" s="1" t="n">
        <v>45736</v>
      </c>
      <c r="D13247" t="inlineStr">
        <is>
          <t>VÄRMLANDS LÄN</t>
        </is>
      </c>
      <c r="E13247" t="inlineStr">
        <is>
          <t>SUNNE</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1700-2024</t>
        </is>
      </c>
      <c r="B13248" s="1" t="n">
        <v>45307</v>
      </c>
      <c r="C13248" s="1" t="n">
        <v>45736</v>
      </c>
      <c r="D13248" t="inlineStr">
        <is>
          <t>VÄRMLANDS LÄN</t>
        </is>
      </c>
      <c r="E13248" t="inlineStr">
        <is>
          <t>TORSBY</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1716-2024</t>
        </is>
      </c>
      <c r="B13249" s="1" t="n">
        <v>45307</v>
      </c>
      <c r="C13249" s="1" t="n">
        <v>45736</v>
      </c>
      <c r="D13249" t="inlineStr">
        <is>
          <t>VÄRMLANDS LÄN</t>
        </is>
      </c>
      <c r="E13249" t="inlineStr">
        <is>
          <t>SUNNE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1732-2024</t>
        </is>
      </c>
      <c r="B13250" s="1" t="n">
        <v>45307</v>
      </c>
      <c r="C13250" s="1" t="n">
        <v>45736</v>
      </c>
      <c r="D13250" t="inlineStr">
        <is>
          <t>VÄRMLANDS LÄN</t>
        </is>
      </c>
      <c r="E13250" t="inlineStr">
        <is>
          <t>ARVIKA</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1748-2024</t>
        </is>
      </c>
      <c r="B13251" s="1" t="n">
        <v>45307</v>
      </c>
      <c r="C13251" s="1" t="n">
        <v>45736</v>
      </c>
      <c r="D13251" t="inlineStr">
        <is>
          <t>VÄRMLANDS LÄN</t>
        </is>
      </c>
      <c r="E13251" t="inlineStr">
        <is>
          <t>SUNNE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1776-2024</t>
        </is>
      </c>
      <c r="B13252" s="1" t="n">
        <v>45307</v>
      </c>
      <c r="C13252" s="1" t="n">
        <v>45736</v>
      </c>
      <c r="D13252" t="inlineStr">
        <is>
          <t>VÄRMLANDS LÄN</t>
        </is>
      </c>
      <c r="E13252" t="inlineStr">
        <is>
          <t>SUNNE</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1788-2024</t>
        </is>
      </c>
      <c r="B13253" s="1" t="n">
        <v>45307</v>
      </c>
      <c r="C13253" s="1" t="n">
        <v>45736</v>
      </c>
      <c r="D13253" t="inlineStr">
        <is>
          <t>VÄRMLANDS LÄN</t>
        </is>
      </c>
      <c r="E13253" t="inlineStr">
        <is>
          <t>HAGFORS</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1841-2024</t>
        </is>
      </c>
      <c r="B13254" s="1" t="n">
        <v>45307</v>
      </c>
      <c r="C13254" s="1" t="n">
        <v>45736</v>
      </c>
      <c r="D13254" t="inlineStr">
        <is>
          <t>VÄRMLANDS LÄN</t>
        </is>
      </c>
      <c r="E13254" t="inlineStr">
        <is>
          <t>KARLSTAD</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1718-2024</t>
        </is>
      </c>
      <c r="B13255" s="1" t="n">
        <v>45307</v>
      </c>
      <c r="C13255" s="1" t="n">
        <v>45736</v>
      </c>
      <c r="D13255" t="inlineStr">
        <is>
          <t>VÄRMLANDS LÄN</t>
        </is>
      </c>
      <c r="E13255" t="inlineStr">
        <is>
          <t>SUNNE</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1726-2024</t>
        </is>
      </c>
      <c r="B13256" s="1" t="n">
        <v>45307</v>
      </c>
      <c r="C13256" s="1" t="n">
        <v>45736</v>
      </c>
      <c r="D13256" t="inlineStr">
        <is>
          <t>VÄRMLANDS LÄN</t>
        </is>
      </c>
      <c r="E13256" t="inlineStr">
        <is>
          <t>SUNNE</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1690-2024</t>
        </is>
      </c>
      <c r="B13257" s="1" t="n">
        <v>45307</v>
      </c>
      <c r="C13257" s="1" t="n">
        <v>45736</v>
      </c>
      <c r="D13257" t="inlineStr">
        <is>
          <t>VÄRMLANDS LÄN</t>
        </is>
      </c>
      <c r="E13257" t="inlineStr">
        <is>
          <t>KARLSTAD</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1711-2024</t>
        </is>
      </c>
      <c r="B13258" s="1" t="n">
        <v>45307</v>
      </c>
      <c r="C13258" s="1" t="n">
        <v>45736</v>
      </c>
      <c r="D13258" t="inlineStr">
        <is>
          <t>VÄRMLANDS LÄN</t>
        </is>
      </c>
      <c r="E13258" t="inlineStr">
        <is>
          <t>EDA</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1715-2024</t>
        </is>
      </c>
      <c r="B13259" s="1" t="n">
        <v>45307</v>
      </c>
      <c r="C13259" s="1" t="n">
        <v>45736</v>
      </c>
      <c r="D13259" t="inlineStr">
        <is>
          <t>VÄRMLANDS LÄN</t>
        </is>
      </c>
      <c r="E13259" t="inlineStr">
        <is>
          <t>EDA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1767-2024</t>
        </is>
      </c>
      <c r="B13260" s="1" t="n">
        <v>45307</v>
      </c>
      <c r="C13260" s="1" t="n">
        <v>45736</v>
      </c>
      <c r="D13260" t="inlineStr">
        <is>
          <t>VÄRMLANDS LÄN</t>
        </is>
      </c>
      <c r="E13260" t="inlineStr">
        <is>
          <t>ÅRJÄNG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1775-2024</t>
        </is>
      </c>
      <c r="B13261" s="1" t="n">
        <v>45307</v>
      </c>
      <c r="C13261" s="1" t="n">
        <v>45736</v>
      </c>
      <c r="D13261" t="inlineStr">
        <is>
          <t>VÄRMLANDS LÄN</t>
        </is>
      </c>
      <c r="E13261" t="inlineStr">
        <is>
          <t>SÄFFLE</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1779-2024</t>
        </is>
      </c>
      <c r="B13262" s="1" t="n">
        <v>45307</v>
      </c>
      <c r="C13262" s="1" t="n">
        <v>45736</v>
      </c>
      <c r="D13262" t="inlineStr">
        <is>
          <t>VÄRMLANDS LÄN</t>
        </is>
      </c>
      <c r="E13262" t="inlineStr">
        <is>
          <t>ARVIKA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1697-2024</t>
        </is>
      </c>
      <c r="B13263" s="1" t="n">
        <v>45307</v>
      </c>
      <c r="C13263" s="1" t="n">
        <v>45736</v>
      </c>
      <c r="D13263" t="inlineStr">
        <is>
          <t>VÄRMLANDS LÄN</t>
        </is>
      </c>
      <c r="E13263" t="inlineStr">
        <is>
          <t>ÅRJÄNG</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1803-2024</t>
        </is>
      </c>
      <c r="B13264" s="1" t="n">
        <v>45307</v>
      </c>
      <c r="C13264" s="1" t="n">
        <v>45736</v>
      </c>
      <c r="D13264" t="inlineStr">
        <is>
          <t>VÄRMLANDS LÄN</t>
        </is>
      </c>
      <c r="E13264" t="inlineStr">
        <is>
          <t>TORSBY</t>
        </is>
      </c>
      <c r="G13264" t="n">
        <v>12.9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1725-2024</t>
        </is>
      </c>
      <c r="B13265" s="1" t="n">
        <v>45307</v>
      </c>
      <c r="C13265" s="1" t="n">
        <v>45736</v>
      </c>
      <c r="D13265" t="inlineStr">
        <is>
          <t>VÄRMLANDS LÄN</t>
        </is>
      </c>
      <c r="E13265" t="inlineStr">
        <is>
          <t>EDA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1816-2024</t>
        </is>
      </c>
      <c r="B13266" s="1" t="n">
        <v>45307</v>
      </c>
      <c r="C13266" s="1" t="n">
        <v>45736</v>
      </c>
      <c r="D13266" t="inlineStr">
        <is>
          <t>VÄRMLANDS LÄN</t>
        </is>
      </c>
      <c r="E13266" t="inlineStr">
        <is>
          <t>KARLSTAD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1753-2024</t>
        </is>
      </c>
      <c r="B13267" s="1" t="n">
        <v>45307</v>
      </c>
      <c r="C13267" s="1" t="n">
        <v>45736</v>
      </c>
      <c r="D13267" t="inlineStr">
        <is>
          <t>VÄRMLANDS LÄN</t>
        </is>
      </c>
      <c r="E13267" t="inlineStr">
        <is>
          <t>SÄFFLE</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1757-2024</t>
        </is>
      </c>
      <c r="B13268" s="1" t="n">
        <v>45307</v>
      </c>
      <c r="C13268" s="1" t="n">
        <v>45736</v>
      </c>
      <c r="D13268" t="inlineStr">
        <is>
          <t>VÄRMLANDS LÄN</t>
        </is>
      </c>
      <c r="E13268" t="inlineStr">
        <is>
          <t>TORSBY</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1769-2024</t>
        </is>
      </c>
      <c r="B13269" s="1" t="n">
        <v>45307</v>
      </c>
      <c r="C13269" s="1" t="n">
        <v>45736</v>
      </c>
      <c r="D13269" t="inlineStr">
        <is>
          <t>VÄRMLANDS LÄN</t>
        </is>
      </c>
      <c r="E13269" t="inlineStr">
        <is>
          <t>ÅRJÄNG</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1781-2024</t>
        </is>
      </c>
      <c r="B13270" s="1" t="n">
        <v>45307</v>
      </c>
      <c r="C13270" s="1" t="n">
        <v>45736</v>
      </c>
      <c r="D13270" t="inlineStr">
        <is>
          <t>VÄRMLANDS LÄN</t>
        </is>
      </c>
      <c r="E13270" t="inlineStr">
        <is>
          <t>HAGFORS</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1818-2024</t>
        </is>
      </c>
      <c r="B13271" s="1" t="n">
        <v>45307</v>
      </c>
      <c r="C13271" s="1" t="n">
        <v>45736</v>
      </c>
      <c r="D13271" t="inlineStr">
        <is>
          <t>VÄRMLANDS LÄN</t>
        </is>
      </c>
      <c r="E13271" t="inlineStr">
        <is>
          <t>SUNNE</t>
        </is>
      </c>
      <c r="G13271" t="n">
        <v>7.4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1842-2024</t>
        </is>
      </c>
      <c r="B13272" s="1" t="n">
        <v>45307</v>
      </c>
      <c r="C13272" s="1" t="n">
        <v>45736</v>
      </c>
      <c r="D13272" t="inlineStr">
        <is>
          <t>VÄRMLANDS LÄN</t>
        </is>
      </c>
      <c r="E13272" t="inlineStr">
        <is>
          <t>SUNNE</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1900-2024</t>
        </is>
      </c>
      <c r="B13273" s="1" t="n">
        <v>45308</v>
      </c>
      <c r="C13273" s="1" t="n">
        <v>45736</v>
      </c>
      <c r="D13273" t="inlineStr">
        <is>
          <t>VÄRMLANDS LÄN</t>
        </is>
      </c>
      <c r="E13273" t="inlineStr">
        <is>
          <t>KRISTINEHAMN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1925-2024</t>
        </is>
      </c>
      <c r="B13274" s="1" t="n">
        <v>45308</v>
      </c>
      <c r="C13274" s="1" t="n">
        <v>45736</v>
      </c>
      <c r="D13274" t="inlineStr">
        <is>
          <t>VÄRMLANDS LÄN</t>
        </is>
      </c>
      <c r="E13274" t="inlineStr">
        <is>
          <t>EDA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1933-2024</t>
        </is>
      </c>
      <c r="B13275" s="1" t="n">
        <v>45308</v>
      </c>
      <c r="C13275" s="1" t="n">
        <v>45736</v>
      </c>
      <c r="D13275" t="inlineStr">
        <is>
          <t>VÄRMLANDS LÄN</t>
        </is>
      </c>
      <c r="E13275" t="inlineStr">
        <is>
          <t>HAGFORS</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1965-2024</t>
        </is>
      </c>
      <c r="B13276" s="1" t="n">
        <v>45308</v>
      </c>
      <c r="C13276" s="1" t="n">
        <v>45736</v>
      </c>
      <c r="D13276" t="inlineStr">
        <is>
          <t>VÄRMLANDS LÄN</t>
        </is>
      </c>
      <c r="E13276" t="inlineStr">
        <is>
          <t>SUNNE</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1912-2024</t>
        </is>
      </c>
      <c r="B13277" s="1" t="n">
        <v>45308</v>
      </c>
      <c r="C13277" s="1" t="n">
        <v>45736</v>
      </c>
      <c r="D13277" t="inlineStr">
        <is>
          <t>VÄRMLANDS LÄN</t>
        </is>
      </c>
      <c r="E13277" t="inlineStr">
        <is>
          <t>ÅRJÄNG</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1920-2024</t>
        </is>
      </c>
      <c r="B13278" s="1" t="n">
        <v>45308</v>
      </c>
      <c r="C13278" s="1" t="n">
        <v>45736</v>
      </c>
      <c r="D13278" t="inlineStr">
        <is>
          <t>VÄRMLANDS LÄN</t>
        </is>
      </c>
      <c r="E13278" t="inlineStr">
        <is>
          <t>ÅRJÄNG</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1948-2024</t>
        </is>
      </c>
      <c r="B13279" s="1" t="n">
        <v>45308</v>
      </c>
      <c r="C13279" s="1" t="n">
        <v>45736</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1964-2024</t>
        </is>
      </c>
      <c r="B13280" s="1" t="n">
        <v>45308</v>
      </c>
      <c r="C13280" s="1" t="n">
        <v>45736</v>
      </c>
      <c r="D13280" t="inlineStr">
        <is>
          <t>VÄRMLANDS LÄN</t>
        </is>
      </c>
      <c r="E13280" t="inlineStr">
        <is>
          <t>KRISTINEHAMN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1954-2024</t>
        </is>
      </c>
      <c r="B13281" s="1" t="n">
        <v>45308</v>
      </c>
      <c r="C13281" s="1" t="n">
        <v>45736</v>
      </c>
      <c r="D13281" t="inlineStr">
        <is>
          <t>VÄRMLANDS LÄN</t>
        </is>
      </c>
      <c r="E13281" t="inlineStr">
        <is>
          <t>SUNNE</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1923-2024</t>
        </is>
      </c>
      <c r="B13282" s="1" t="n">
        <v>45308</v>
      </c>
      <c r="C13282" s="1" t="n">
        <v>45736</v>
      </c>
      <c r="D13282" t="inlineStr">
        <is>
          <t>VÄRMLANDS LÄN</t>
        </is>
      </c>
      <c r="E13282" t="inlineStr">
        <is>
          <t>EDA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1958-2024</t>
        </is>
      </c>
      <c r="B13283" s="1" t="n">
        <v>45308</v>
      </c>
      <c r="C13283" s="1" t="n">
        <v>45736</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1970-2024</t>
        </is>
      </c>
      <c r="B13284" s="1" t="n">
        <v>45308</v>
      </c>
      <c r="C13284" s="1" t="n">
        <v>45736</v>
      </c>
      <c r="D13284" t="inlineStr">
        <is>
          <t>VÄRMLANDS LÄN</t>
        </is>
      </c>
      <c r="E13284" t="inlineStr">
        <is>
          <t>TORSBY</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1982-2024</t>
        </is>
      </c>
      <c r="B13285" s="1" t="n">
        <v>45308</v>
      </c>
      <c r="C13285" s="1" t="n">
        <v>45736</v>
      </c>
      <c r="D13285" t="inlineStr">
        <is>
          <t>VÄRMLANDS LÄN</t>
        </is>
      </c>
      <c r="E13285" t="inlineStr">
        <is>
          <t>KARLSTAD</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1931-2024</t>
        </is>
      </c>
      <c r="B13286" s="1" t="n">
        <v>45308</v>
      </c>
      <c r="C13286" s="1" t="n">
        <v>45736</v>
      </c>
      <c r="D13286" t="inlineStr">
        <is>
          <t>VÄRMLANDS LÄN</t>
        </is>
      </c>
      <c r="E13286" t="inlineStr">
        <is>
          <t>HAGFORS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1943-2024</t>
        </is>
      </c>
      <c r="B13287" s="1" t="n">
        <v>45308</v>
      </c>
      <c r="C13287" s="1" t="n">
        <v>45736</v>
      </c>
      <c r="D13287" t="inlineStr">
        <is>
          <t>VÄRMLANDS LÄN</t>
        </is>
      </c>
      <c r="E13287" t="inlineStr">
        <is>
          <t>EDA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1963-2024</t>
        </is>
      </c>
      <c r="B13288" s="1" t="n">
        <v>45308</v>
      </c>
      <c r="C13288" s="1" t="n">
        <v>45736</v>
      </c>
      <c r="D13288" t="inlineStr">
        <is>
          <t>VÄRMLANDS LÄN</t>
        </is>
      </c>
      <c r="E13288" t="inlineStr">
        <is>
          <t>SUNNE</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1983-2024</t>
        </is>
      </c>
      <c r="B13289" s="1" t="n">
        <v>45308</v>
      </c>
      <c r="C13289" s="1" t="n">
        <v>45736</v>
      </c>
      <c r="D13289" t="inlineStr">
        <is>
          <t>VÄRMLANDS LÄN</t>
        </is>
      </c>
      <c r="E13289" t="inlineStr">
        <is>
          <t>KARLSTAD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2132-2024</t>
        </is>
      </c>
      <c r="B13290" s="1" t="n">
        <v>45309</v>
      </c>
      <c r="C13290" s="1" t="n">
        <v>45736</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2214-2024</t>
        </is>
      </c>
      <c r="B13291" s="1" t="n">
        <v>45309</v>
      </c>
      <c r="C13291" s="1" t="n">
        <v>45736</v>
      </c>
      <c r="D13291" t="inlineStr">
        <is>
          <t>VÄRMLANDS LÄN</t>
        </is>
      </c>
      <c r="E13291" t="inlineStr">
        <is>
          <t>ARVIKA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2147-2024</t>
        </is>
      </c>
      <c r="B13292" s="1" t="n">
        <v>45309</v>
      </c>
      <c r="C13292" s="1" t="n">
        <v>45736</v>
      </c>
      <c r="D13292" t="inlineStr">
        <is>
          <t>VÄRMLANDS LÄN</t>
        </is>
      </c>
      <c r="E13292" t="inlineStr">
        <is>
          <t>HAGFORS</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2155-2024</t>
        </is>
      </c>
      <c r="B13293" s="1" t="n">
        <v>45309</v>
      </c>
      <c r="C13293" s="1" t="n">
        <v>45736</v>
      </c>
      <c r="D13293" t="inlineStr">
        <is>
          <t>VÄRMLANDS LÄN</t>
        </is>
      </c>
      <c r="E13293" t="inlineStr">
        <is>
          <t>TORSBY</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2167-2024</t>
        </is>
      </c>
      <c r="B13294" s="1" t="n">
        <v>45309</v>
      </c>
      <c r="C13294" s="1" t="n">
        <v>45736</v>
      </c>
      <c r="D13294" t="inlineStr">
        <is>
          <t>VÄRMLANDS LÄN</t>
        </is>
      </c>
      <c r="E13294" t="inlineStr">
        <is>
          <t>ARVIKA</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2179-2024</t>
        </is>
      </c>
      <c r="B13295" s="1" t="n">
        <v>45309</v>
      </c>
      <c r="C13295" s="1" t="n">
        <v>45736</v>
      </c>
      <c r="D13295" t="inlineStr">
        <is>
          <t>VÄRMLANDS LÄN</t>
        </is>
      </c>
      <c r="E13295" t="inlineStr">
        <is>
          <t>ARVIKA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2101-2024</t>
        </is>
      </c>
      <c r="B13296" s="1" t="n">
        <v>45309</v>
      </c>
      <c r="C13296" s="1" t="n">
        <v>45736</v>
      </c>
      <c r="D13296" t="inlineStr">
        <is>
          <t>VÄRMLANDS LÄN</t>
        </is>
      </c>
      <c r="E13296" t="inlineStr">
        <is>
          <t>SÄFFLE</t>
        </is>
      </c>
      <c r="G13296" t="n">
        <v>8.5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2130-2024</t>
        </is>
      </c>
      <c r="B13297" s="1" t="n">
        <v>45309</v>
      </c>
      <c r="C13297" s="1" t="n">
        <v>45736</v>
      </c>
      <c r="D13297" t="inlineStr">
        <is>
          <t>VÄRMLANDS LÄN</t>
        </is>
      </c>
      <c r="E13297" t="inlineStr">
        <is>
          <t>TORSBY</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2134-2024</t>
        </is>
      </c>
      <c r="B13298" s="1" t="n">
        <v>45309</v>
      </c>
      <c r="C13298" s="1" t="n">
        <v>45736</v>
      </c>
      <c r="D13298" t="inlineStr">
        <is>
          <t>VÄRMLANDS LÄN</t>
        </is>
      </c>
      <c r="E13298" t="inlineStr">
        <is>
          <t>ARVIKA</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2176-2024</t>
        </is>
      </c>
      <c r="B13299" s="1" t="n">
        <v>45309</v>
      </c>
      <c r="C13299" s="1" t="n">
        <v>45736</v>
      </c>
      <c r="D13299" t="inlineStr">
        <is>
          <t>VÄRMLANDS LÄN</t>
        </is>
      </c>
      <c r="E13299" t="inlineStr">
        <is>
          <t>SUNNE</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2077-2024</t>
        </is>
      </c>
      <c r="B13300" s="1" t="n">
        <v>45309</v>
      </c>
      <c r="C13300" s="1" t="n">
        <v>45736</v>
      </c>
      <c r="D13300" t="inlineStr">
        <is>
          <t>VÄRMLANDS LÄN</t>
        </is>
      </c>
      <c r="E13300" t="inlineStr">
        <is>
          <t>KIL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2106-2024</t>
        </is>
      </c>
      <c r="B13301" s="1" t="n">
        <v>45309</v>
      </c>
      <c r="C13301" s="1" t="n">
        <v>45736</v>
      </c>
      <c r="D13301" t="inlineStr">
        <is>
          <t>VÄRMLANDS LÄN</t>
        </is>
      </c>
      <c r="E13301" t="inlineStr">
        <is>
          <t>ARVIKA</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2118-2024</t>
        </is>
      </c>
      <c r="B13302" s="1" t="n">
        <v>45309</v>
      </c>
      <c r="C13302" s="1" t="n">
        <v>45736</v>
      </c>
      <c r="D13302" t="inlineStr">
        <is>
          <t>VÄRMLANDS LÄN</t>
        </is>
      </c>
      <c r="E13302" t="inlineStr">
        <is>
          <t>SUNNE</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2308-2024</t>
        </is>
      </c>
      <c r="B13303" s="1" t="n">
        <v>45310</v>
      </c>
      <c r="C13303" s="1" t="n">
        <v>45736</v>
      </c>
      <c r="D13303" t="inlineStr">
        <is>
          <t>VÄRMLANDS LÄN</t>
        </is>
      </c>
      <c r="E13303" t="inlineStr">
        <is>
          <t>TORSBY</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2253-2024</t>
        </is>
      </c>
      <c r="B13304" s="1" t="n">
        <v>45310</v>
      </c>
      <c r="C13304" s="1" t="n">
        <v>45736</v>
      </c>
      <c r="D13304" t="inlineStr">
        <is>
          <t>VÄRMLANDS LÄN</t>
        </is>
      </c>
      <c r="E13304" t="inlineStr">
        <is>
          <t>GRUMS</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2261-2024</t>
        </is>
      </c>
      <c r="B13305" s="1" t="n">
        <v>45310</v>
      </c>
      <c r="C13305" s="1" t="n">
        <v>45736</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2265-2024</t>
        </is>
      </c>
      <c r="B13306" s="1" t="n">
        <v>45310</v>
      </c>
      <c r="C13306" s="1" t="n">
        <v>45736</v>
      </c>
      <c r="D13306" t="inlineStr">
        <is>
          <t>VÄRMLANDS LÄN</t>
        </is>
      </c>
      <c r="E13306" t="inlineStr">
        <is>
          <t>EDA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2306-2024</t>
        </is>
      </c>
      <c r="B13307" s="1" t="n">
        <v>45310</v>
      </c>
      <c r="C13307" s="1" t="n">
        <v>45736</v>
      </c>
      <c r="D13307" t="inlineStr">
        <is>
          <t>VÄRMLANDS LÄN</t>
        </is>
      </c>
      <c r="E13307" t="inlineStr">
        <is>
          <t>KIL</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2315-2024</t>
        </is>
      </c>
      <c r="B13308" s="1" t="n">
        <v>45310</v>
      </c>
      <c r="C13308" s="1" t="n">
        <v>45736</v>
      </c>
      <c r="D13308" t="inlineStr">
        <is>
          <t>VÄRMLANDS LÄN</t>
        </is>
      </c>
      <c r="E13308" t="inlineStr">
        <is>
          <t>HAGFORS</t>
        </is>
      </c>
      <c r="F13308" t="inlineStr">
        <is>
          <t>Kyrkan</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2328-2024</t>
        </is>
      </c>
      <c r="B13309" s="1" t="n">
        <v>45310</v>
      </c>
      <c r="C13309" s="1" t="n">
        <v>45736</v>
      </c>
      <c r="D13309" t="inlineStr">
        <is>
          <t>VÄRMLANDS LÄN</t>
        </is>
      </c>
      <c r="E13309" t="inlineStr">
        <is>
          <t>TORSBY</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2351-2024</t>
        </is>
      </c>
      <c r="B13310" s="1" t="n">
        <v>45310</v>
      </c>
      <c r="C13310" s="1" t="n">
        <v>45736</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2309-2024</t>
        </is>
      </c>
      <c r="B13311" s="1" t="n">
        <v>45310</v>
      </c>
      <c r="C13311" s="1" t="n">
        <v>45736</v>
      </c>
      <c r="D13311" t="inlineStr">
        <is>
          <t>VÄRMLANDS LÄN</t>
        </is>
      </c>
      <c r="E13311" t="inlineStr">
        <is>
          <t>KIL</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2386-2024</t>
        </is>
      </c>
      <c r="B13312" s="1" t="n">
        <v>45310</v>
      </c>
      <c r="C13312" s="1" t="n">
        <v>45736</v>
      </c>
      <c r="D13312" t="inlineStr">
        <is>
          <t>VÄRMLANDS LÄN</t>
        </is>
      </c>
      <c r="E13312" t="inlineStr">
        <is>
          <t>EDA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2390-2024</t>
        </is>
      </c>
      <c r="B13313" s="1" t="n">
        <v>45310</v>
      </c>
      <c r="C13313" s="1" t="n">
        <v>45736</v>
      </c>
      <c r="D13313" t="inlineStr">
        <is>
          <t>VÄRMLANDS LÄN</t>
        </is>
      </c>
      <c r="E13313" t="inlineStr">
        <is>
          <t>EDA</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2349-2024</t>
        </is>
      </c>
      <c r="B13314" s="1" t="n">
        <v>45310</v>
      </c>
      <c r="C13314" s="1" t="n">
        <v>45736</v>
      </c>
      <c r="D13314" t="inlineStr">
        <is>
          <t>VÄRMLANDS LÄN</t>
        </is>
      </c>
      <c r="E13314" t="inlineStr">
        <is>
          <t>SUNNE</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2353-2024</t>
        </is>
      </c>
      <c r="B13315" s="1" t="n">
        <v>45310</v>
      </c>
      <c r="C13315" s="1" t="n">
        <v>45736</v>
      </c>
      <c r="D13315" t="inlineStr">
        <is>
          <t>VÄRMLANDS LÄN</t>
        </is>
      </c>
      <c r="E13315" t="inlineStr">
        <is>
          <t>SÄFFLE</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2361-2024</t>
        </is>
      </c>
      <c r="B13316" s="1" t="n">
        <v>45310</v>
      </c>
      <c r="C13316" s="1" t="n">
        <v>45736</v>
      </c>
      <c r="D13316" t="inlineStr">
        <is>
          <t>VÄRMLANDS LÄN</t>
        </is>
      </c>
      <c r="E13316" t="inlineStr">
        <is>
          <t>FILIPSTAD</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2385-2024</t>
        </is>
      </c>
      <c r="B13317" s="1" t="n">
        <v>45310</v>
      </c>
      <c r="C13317" s="1" t="n">
        <v>45736</v>
      </c>
      <c r="D13317" t="inlineStr">
        <is>
          <t>VÄRMLANDS LÄN</t>
        </is>
      </c>
      <c r="E13317" t="inlineStr">
        <is>
          <t>SUNNE</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2411-2024</t>
        </is>
      </c>
      <c r="B13318" s="1" t="n">
        <v>45310</v>
      </c>
      <c r="C13318" s="1" t="n">
        <v>45736</v>
      </c>
      <c r="D13318" t="inlineStr">
        <is>
          <t>VÄRMLANDS LÄN</t>
        </is>
      </c>
      <c r="E13318" t="inlineStr">
        <is>
          <t>EDA</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2483-2024</t>
        </is>
      </c>
      <c r="B13319" s="1" t="n">
        <v>45313</v>
      </c>
      <c r="C13319" s="1" t="n">
        <v>45736</v>
      </c>
      <c r="D13319" t="inlineStr">
        <is>
          <t>VÄRMLANDS LÄN</t>
        </is>
      </c>
      <c r="E13319" t="inlineStr">
        <is>
          <t>ARVIKA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2468-2024</t>
        </is>
      </c>
      <c r="B13320" s="1" t="n">
        <v>45313</v>
      </c>
      <c r="C13320" s="1" t="n">
        <v>45736</v>
      </c>
      <c r="D13320" t="inlineStr">
        <is>
          <t>VÄRMLANDS LÄN</t>
        </is>
      </c>
      <c r="E13320" t="inlineStr">
        <is>
          <t>ARVIKA</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2524-2024</t>
        </is>
      </c>
      <c r="B13321" s="1" t="n">
        <v>45313</v>
      </c>
      <c r="C13321" s="1" t="n">
        <v>45736</v>
      </c>
      <c r="D13321" t="inlineStr">
        <is>
          <t>VÄRMLANDS LÄN</t>
        </is>
      </c>
      <c r="E13321" t="inlineStr">
        <is>
          <t>KRISTINEHAMN</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2503-2024</t>
        </is>
      </c>
      <c r="B13322" s="1" t="n">
        <v>45313</v>
      </c>
      <c r="C13322" s="1" t="n">
        <v>45736</v>
      </c>
      <c r="D13322" t="inlineStr">
        <is>
          <t>VÄRMLANDS LÄN</t>
        </is>
      </c>
      <c r="E13322" t="inlineStr">
        <is>
          <t>SÄFFLE</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2551-2024</t>
        </is>
      </c>
      <c r="B13323" s="1" t="n">
        <v>45313</v>
      </c>
      <c r="C13323" s="1" t="n">
        <v>45736</v>
      </c>
      <c r="D13323" t="inlineStr">
        <is>
          <t>VÄRMLANDS LÄN</t>
        </is>
      </c>
      <c r="E13323" t="inlineStr">
        <is>
          <t>EDA</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2466-2024</t>
        </is>
      </c>
      <c r="B13324" s="1" t="n">
        <v>45313</v>
      </c>
      <c r="C13324" s="1" t="n">
        <v>45736</v>
      </c>
      <c r="D13324" t="inlineStr">
        <is>
          <t>VÄRMLANDS LÄN</t>
        </is>
      </c>
      <c r="E13324" t="inlineStr">
        <is>
          <t>TORSBY</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2522-2024</t>
        </is>
      </c>
      <c r="B13325" s="1" t="n">
        <v>45313</v>
      </c>
      <c r="C13325" s="1" t="n">
        <v>45736</v>
      </c>
      <c r="D13325" t="inlineStr">
        <is>
          <t>VÄRMLANDS LÄN</t>
        </is>
      </c>
      <c r="E13325" t="inlineStr">
        <is>
          <t>KRISTINEHAMN</t>
        </is>
      </c>
      <c r="G13325" t="n">
        <v>11.2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2525-2024</t>
        </is>
      </c>
      <c r="B13326" s="1" t="n">
        <v>45313</v>
      </c>
      <c r="C13326" s="1" t="n">
        <v>45736</v>
      </c>
      <c r="D13326" t="inlineStr">
        <is>
          <t>VÄRMLANDS LÄN</t>
        </is>
      </c>
      <c r="E13326" t="inlineStr">
        <is>
          <t>KRISTINEHAMN</t>
        </is>
      </c>
      <c r="G13326" t="n">
        <v>9.800000000000001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2665-2024</t>
        </is>
      </c>
      <c r="B13327" s="1" t="n">
        <v>45314</v>
      </c>
      <c r="C13327" s="1" t="n">
        <v>45736</v>
      </c>
      <c r="D13327" t="inlineStr">
        <is>
          <t>VÄRMLANDS LÄN</t>
        </is>
      </c>
      <c r="E13327" t="inlineStr">
        <is>
          <t>SÄFFLE</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2686-2024</t>
        </is>
      </c>
      <c r="B13328" s="1" t="n">
        <v>45314</v>
      </c>
      <c r="C13328" s="1" t="n">
        <v>45736</v>
      </c>
      <c r="D13328" t="inlineStr">
        <is>
          <t>VÄRMLANDS LÄN</t>
        </is>
      </c>
      <c r="E13328" t="inlineStr">
        <is>
          <t>FORSHAGA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2689-2024</t>
        </is>
      </c>
      <c r="B13329" s="1" t="n">
        <v>45314</v>
      </c>
      <c r="C13329" s="1" t="n">
        <v>45736</v>
      </c>
      <c r="D13329" t="inlineStr">
        <is>
          <t>VÄRMLANDS LÄN</t>
        </is>
      </c>
      <c r="E13329" t="inlineStr">
        <is>
          <t>TORSBY</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2784-2024</t>
        </is>
      </c>
      <c r="B13330" s="1" t="n">
        <v>45314</v>
      </c>
      <c r="C13330" s="1" t="n">
        <v>45736</v>
      </c>
      <c r="D13330" t="inlineStr">
        <is>
          <t>VÄRMLANDS LÄN</t>
        </is>
      </c>
      <c r="E13330" t="inlineStr">
        <is>
          <t>TORSBY</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2633-2024</t>
        </is>
      </c>
      <c r="B13331" s="1" t="n">
        <v>45314</v>
      </c>
      <c r="C13331" s="1" t="n">
        <v>45736</v>
      </c>
      <c r="D13331" t="inlineStr">
        <is>
          <t>VÄRMLANDS LÄN</t>
        </is>
      </c>
      <c r="E13331" t="inlineStr">
        <is>
          <t>SÄFFLE</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2662-2024</t>
        </is>
      </c>
      <c r="B13332" s="1" t="n">
        <v>45314</v>
      </c>
      <c r="C13332" s="1" t="n">
        <v>45736</v>
      </c>
      <c r="D13332" t="inlineStr">
        <is>
          <t>VÄRMLANDS LÄN</t>
        </is>
      </c>
      <c r="E13332" t="inlineStr">
        <is>
          <t>TORSBY</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2844-2024</t>
        </is>
      </c>
      <c r="B13333" s="1" t="n">
        <v>45315</v>
      </c>
      <c r="C13333" s="1" t="n">
        <v>45736</v>
      </c>
      <c r="D13333" t="inlineStr">
        <is>
          <t>VÄRMLANDS LÄN</t>
        </is>
      </c>
      <c r="E13333" t="inlineStr">
        <is>
          <t>KIL</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2841-2024</t>
        </is>
      </c>
      <c r="B13334" s="1" t="n">
        <v>45315</v>
      </c>
      <c r="C13334" s="1" t="n">
        <v>45736</v>
      </c>
      <c r="D13334" t="inlineStr">
        <is>
          <t>VÄRMLANDS LÄN</t>
        </is>
      </c>
      <c r="E13334" t="inlineStr">
        <is>
          <t>EDA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2870-2024</t>
        </is>
      </c>
      <c r="B13335" s="1" t="n">
        <v>45315</v>
      </c>
      <c r="C13335" s="1" t="n">
        <v>45736</v>
      </c>
      <c r="D13335" t="inlineStr">
        <is>
          <t>VÄRMLANDS LÄN</t>
        </is>
      </c>
      <c r="E13335" t="inlineStr">
        <is>
          <t>TORSBY</t>
        </is>
      </c>
      <c r="F13335" t="inlineStr">
        <is>
          <t>Bergvik skog väst AB</t>
        </is>
      </c>
      <c r="G13335" t="n">
        <v>16.6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2963-2024</t>
        </is>
      </c>
      <c r="B13336" s="1" t="n">
        <v>45315</v>
      </c>
      <c r="C13336" s="1" t="n">
        <v>45736</v>
      </c>
      <c r="D13336" t="inlineStr">
        <is>
          <t>VÄRMLANDS LÄN</t>
        </is>
      </c>
      <c r="E13336" t="inlineStr">
        <is>
          <t>KRISTINEHAMN</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2977-2024</t>
        </is>
      </c>
      <c r="B13337" s="1" t="n">
        <v>45315</v>
      </c>
      <c r="C13337" s="1" t="n">
        <v>45736</v>
      </c>
      <c r="D13337" t="inlineStr">
        <is>
          <t>VÄRMLANDS LÄN</t>
        </is>
      </c>
      <c r="E13337" t="inlineStr">
        <is>
          <t>SUNNE</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2975-2024</t>
        </is>
      </c>
      <c r="B13338" s="1" t="n">
        <v>45315</v>
      </c>
      <c r="C13338" s="1" t="n">
        <v>45736</v>
      </c>
      <c r="D13338" t="inlineStr">
        <is>
          <t>VÄRMLANDS LÄN</t>
        </is>
      </c>
      <c r="E13338" t="inlineStr">
        <is>
          <t>ÅRJÄNG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2945-2024</t>
        </is>
      </c>
      <c r="B13339" s="1" t="n">
        <v>45315</v>
      </c>
      <c r="C13339" s="1" t="n">
        <v>45736</v>
      </c>
      <c r="D13339" t="inlineStr">
        <is>
          <t>VÄRMLANDS LÄN</t>
        </is>
      </c>
      <c r="E13339" t="inlineStr">
        <is>
          <t>KRISTINEHAMN</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3015-2024</t>
        </is>
      </c>
      <c r="B13340" s="1" t="n">
        <v>45315</v>
      </c>
      <c r="C13340" s="1" t="n">
        <v>45736</v>
      </c>
      <c r="D13340" t="inlineStr">
        <is>
          <t>VÄRMLANDS LÄN</t>
        </is>
      </c>
      <c r="E13340" t="inlineStr">
        <is>
          <t>ÅRJÄNG</t>
        </is>
      </c>
      <c r="F13340" t="inlineStr">
        <is>
          <t>Övriga Aktiebolag</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3074-2024</t>
        </is>
      </c>
      <c r="B13341" s="1" t="n">
        <v>45316</v>
      </c>
      <c r="C13341" s="1" t="n">
        <v>45736</v>
      </c>
      <c r="D13341" t="inlineStr">
        <is>
          <t>VÄRMLANDS LÄN</t>
        </is>
      </c>
      <c r="E13341" t="inlineStr">
        <is>
          <t>SUNNE</t>
        </is>
      </c>
      <c r="F13341" t="inlineStr">
        <is>
          <t>Kommuner</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3082-2024</t>
        </is>
      </c>
      <c r="B13342" s="1" t="n">
        <v>45316</v>
      </c>
      <c r="C13342" s="1" t="n">
        <v>45736</v>
      </c>
      <c r="D13342" t="inlineStr">
        <is>
          <t>VÄRMLANDS LÄN</t>
        </is>
      </c>
      <c r="E13342" t="inlineStr">
        <is>
          <t>SUNNE</t>
        </is>
      </c>
      <c r="F13342" t="inlineStr">
        <is>
          <t>Kommuner</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3079-2024</t>
        </is>
      </c>
      <c r="B13343" s="1" t="n">
        <v>45316</v>
      </c>
      <c r="C13343" s="1" t="n">
        <v>45736</v>
      </c>
      <c r="D13343" t="inlineStr">
        <is>
          <t>VÄRMLANDS LÄN</t>
        </is>
      </c>
      <c r="E13343" t="inlineStr">
        <is>
          <t>SUNNE</t>
        </is>
      </c>
      <c r="F13343" t="inlineStr">
        <is>
          <t>Kommuner</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3083-2024</t>
        </is>
      </c>
      <c r="B13344" s="1" t="n">
        <v>45316</v>
      </c>
      <c r="C13344" s="1" t="n">
        <v>45736</v>
      </c>
      <c r="D13344" t="inlineStr">
        <is>
          <t>VÄRMLANDS LÄN</t>
        </is>
      </c>
      <c r="E13344" t="inlineStr">
        <is>
          <t>SUNNE</t>
        </is>
      </c>
      <c r="F13344" t="inlineStr">
        <is>
          <t>Kommuner</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3087-2024</t>
        </is>
      </c>
      <c r="B13345" s="1" t="n">
        <v>45316</v>
      </c>
      <c r="C13345" s="1" t="n">
        <v>45736</v>
      </c>
      <c r="D13345" t="inlineStr">
        <is>
          <t>VÄRMLANDS LÄN</t>
        </is>
      </c>
      <c r="E13345" t="inlineStr">
        <is>
          <t>SUNNE</t>
        </is>
      </c>
      <c r="F13345" t="inlineStr">
        <is>
          <t>Kommuner</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3106-2024</t>
        </is>
      </c>
      <c r="B13346" s="1" t="n">
        <v>45316</v>
      </c>
      <c r="C13346" s="1" t="n">
        <v>45736</v>
      </c>
      <c r="D13346" t="inlineStr">
        <is>
          <t>VÄRMLANDS LÄN</t>
        </is>
      </c>
      <c r="E13346" t="inlineStr">
        <is>
          <t>TORSBY</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3223-2024</t>
        </is>
      </c>
      <c r="B13347" s="1" t="n">
        <v>45316</v>
      </c>
      <c r="C13347" s="1" t="n">
        <v>45736</v>
      </c>
      <c r="D13347" t="inlineStr">
        <is>
          <t>VÄRMLANDS LÄN</t>
        </is>
      </c>
      <c r="E13347" t="inlineStr">
        <is>
          <t>ARVIKA</t>
        </is>
      </c>
      <c r="G13347" t="n">
        <v>8.9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3072-2024</t>
        </is>
      </c>
      <c r="B13348" s="1" t="n">
        <v>45316</v>
      </c>
      <c r="C13348" s="1" t="n">
        <v>45736</v>
      </c>
      <c r="D13348" t="inlineStr">
        <is>
          <t>VÄRMLANDS LÄN</t>
        </is>
      </c>
      <c r="E13348" t="inlineStr">
        <is>
          <t>SUNNE</t>
        </is>
      </c>
      <c r="F13348" t="inlineStr">
        <is>
          <t>Kommuner</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3076-2024</t>
        </is>
      </c>
      <c r="B13349" s="1" t="n">
        <v>45316</v>
      </c>
      <c r="C13349" s="1" t="n">
        <v>45736</v>
      </c>
      <c r="D13349" t="inlineStr">
        <is>
          <t>VÄRMLANDS LÄN</t>
        </is>
      </c>
      <c r="E13349" t="inlineStr">
        <is>
          <t>SUNNE</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3065-2024</t>
        </is>
      </c>
      <c r="B13350" s="1" t="n">
        <v>45316</v>
      </c>
      <c r="C13350" s="1" t="n">
        <v>45736</v>
      </c>
      <c r="D13350" t="inlineStr">
        <is>
          <t>VÄRMLANDS LÄN</t>
        </is>
      </c>
      <c r="E13350" t="inlineStr">
        <is>
          <t>GRUMS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3069-2024</t>
        </is>
      </c>
      <c r="B13351" s="1" t="n">
        <v>45316</v>
      </c>
      <c r="C13351" s="1" t="n">
        <v>45736</v>
      </c>
      <c r="D13351" t="inlineStr">
        <is>
          <t>VÄRMLANDS LÄN</t>
        </is>
      </c>
      <c r="E13351" t="inlineStr">
        <is>
          <t>TORSBY</t>
        </is>
      </c>
      <c r="G13351" t="n">
        <v>14.8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3144-2024</t>
        </is>
      </c>
      <c r="B13352" s="1" t="n">
        <v>45316</v>
      </c>
      <c r="C13352" s="1" t="n">
        <v>45736</v>
      </c>
      <c r="D13352" t="inlineStr">
        <is>
          <t>VÄRMLANDS LÄN</t>
        </is>
      </c>
      <c r="E13352" t="inlineStr">
        <is>
          <t>ARVIKA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3148-2024</t>
        </is>
      </c>
      <c r="B13353" s="1" t="n">
        <v>45316</v>
      </c>
      <c r="C13353" s="1" t="n">
        <v>45736</v>
      </c>
      <c r="D13353" t="inlineStr">
        <is>
          <t>VÄRMLANDS LÄN</t>
        </is>
      </c>
      <c r="E13353" t="inlineStr">
        <is>
          <t>ARVIKA</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3164-2024</t>
        </is>
      </c>
      <c r="B13354" s="1" t="n">
        <v>45316</v>
      </c>
      <c r="C13354" s="1" t="n">
        <v>45736</v>
      </c>
      <c r="D13354" t="inlineStr">
        <is>
          <t>VÄRMLANDS LÄN</t>
        </is>
      </c>
      <c r="E13354" t="inlineStr">
        <is>
          <t>GRUMS</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3192-2024</t>
        </is>
      </c>
      <c r="B13355" s="1" t="n">
        <v>45316</v>
      </c>
      <c r="C13355" s="1" t="n">
        <v>45736</v>
      </c>
      <c r="D13355" t="inlineStr">
        <is>
          <t>VÄRMLANDS LÄN</t>
        </is>
      </c>
      <c r="E13355" t="inlineStr">
        <is>
          <t>ARVIKA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3085-2024</t>
        </is>
      </c>
      <c r="B13356" s="1" t="n">
        <v>45316</v>
      </c>
      <c r="C13356" s="1" t="n">
        <v>45736</v>
      </c>
      <c r="D13356" t="inlineStr">
        <is>
          <t>VÄRMLANDS LÄN</t>
        </is>
      </c>
      <c r="E13356" t="inlineStr">
        <is>
          <t>SUNNE</t>
        </is>
      </c>
      <c r="F13356" t="inlineStr">
        <is>
          <t>Kommuner</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3101-2024</t>
        </is>
      </c>
      <c r="B13357" s="1" t="n">
        <v>45316</v>
      </c>
      <c r="C13357" s="1" t="n">
        <v>45736</v>
      </c>
      <c r="D13357" t="inlineStr">
        <is>
          <t>VÄRMLANDS LÄN</t>
        </is>
      </c>
      <c r="E13357" t="inlineStr">
        <is>
          <t>SUNNE</t>
        </is>
      </c>
      <c r="F13357" t="inlineStr">
        <is>
          <t>Kommuner</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3113-2024</t>
        </is>
      </c>
      <c r="B13358" s="1" t="n">
        <v>45316</v>
      </c>
      <c r="C13358" s="1" t="n">
        <v>45736</v>
      </c>
      <c r="D13358" t="inlineStr">
        <is>
          <t>VÄRMLANDS LÄN</t>
        </is>
      </c>
      <c r="E13358" t="inlineStr">
        <is>
          <t>ÅRJÄNG</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3221-2024</t>
        </is>
      </c>
      <c r="B13359" s="1" t="n">
        <v>45316</v>
      </c>
      <c r="C13359" s="1" t="n">
        <v>45736</v>
      </c>
      <c r="D13359" t="inlineStr">
        <is>
          <t>VÄRMLANDS LÄN</t>
        </is>
      </c>
      <c r="E13359" t="inlineStr">
        <is>
          <t>ARVIKA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3311-2024</t>
        </is>
      </c>
      <c r="B13360" s="1" t="n">
        <v>45317</v>
      </c>
      <c r="C13360" s="1" t="n">
        <v>45736</v>
      </c>
      <c r="D13360" t="inlineStr">
        <is>
          <t>VÄRMLANDS LÄN</t>
        </is>
      </c>
      <c r="E13360" t="inlineStr">
        <is>
          <t>ÅRJÄNG</t>
        </is>
      </c>
      <c r="G13360" t="n">
        <v>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3326-2024</t>
        </is>
      </c>
      <c r="B13361" s="1" t="n">
        <v>45317</v>
      </c>
      <c r="C13361" s="1" t="n">
        <v>45736</v>
      </c>
      <c r="D13361" t="inlineStr">
        <is>
          <t>VÄRMLANDS LÄN</t>
        </is>
      </c>
      <c r="E13361" t="inlineStr">
        <is>
          <t>TORSBY</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3330-2024</t>
        </is>
      </c>
      <c r="B13362" s="1" t="n">
        <v>45317</v>
      </c>
      <c r="C13362" s="1" t="n">
        <v>45736</v>
      </c>
      <c r="D13362" t="inlineStr">
        <is>
          <t>VÄRMLANDS LÄN</t>
        </is>
      </c>
      <c r="E13362" t="inlineStr">
        <is>
          <t>SUNNE</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3298-2024</t>
        </is>
      </c>
      <c r="B13363" s="1" t="n">
        <v>45317</v>
      </c>
      <c r="C13363" s="1" t="n">
        <v>45736</v>
      </c>
      <c r="D13363" t="inlineStr">
        <is>
          <t>VÄRMLANDS LÄN</t>
        </is>
      </c>
      <c r="E13363" t="inlineStr">
        <is>
          <t>TORSBY</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3331-2024</t>
        </is>
      </c>
      <c r="B13364" s="1" t="n">
        <v>45317</v>
      </c>
      <c r="C13364" s="1" t="n">
        <v>45736</v>
      </c>
      <c r="D13364" t="inlineStr">
        <is>
          <t>VÄRMLANDS LÄN</t>
        </is>
      </c>
      <c r="E13364" t="inlineStr">
        <is>
          <t>TORSBY</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3335-2024</t>
        </is>
      </c>
      <c r="B13365" s="1" t="n">
        <v>45317</v>
      </c>
      <c r="C13365" s="1" t="n">
        <v>45736</v>
      </c>
      <c r="D13365" t="inlineStr">
        <is>
          <t>VÄRMLANDS LÄN</t>
        </is>
      </c>
      <c r="E13365" t="inlineStr">
        <is>
          <t>SUNNE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3350-2024</t>
        </is>
      </c>
      <c r="B13366" s="1" t="n">
        <v>45317</v>
      </c>
      <c r="C13366" s="1" t="n">
        <v>45736</v>
      </c>
      <c r="D13366" t="inlineStr">
        <is>
          <t>VÄRMLANDS LÄN</t>
        </is>
      </c>
      <c r="E13366" t="inlineStr">
        <is>
          <t>SUNNE</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3336-2024</t>
        </is>
      </c>
      <c r="B13367" s="1" t="n">
        <v>45317</v>
      </c>
      <c r="C13367" s="1" t="n">
        <v>45736</v>
      </c>
      <c r="D13367" t="inlineStr">
        <is>
          <t>VÄRMLANDS LÄN</t>
        </is>
      </c>
      <c r="E13367" t="inlineStr">
        <is>
          <t>SUNNE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3364-2024</t>
        </is>
      </c>
      <c r="B13368" s="1" t="n">
        <v>45317</v>
      </c>
      <c r="C13368" s="1" t="n">
        <v>45736</v>
      </c>
      <c r="D13368" t="inlineStr">
        <is>
          <t>VÄRMLANDS LÄN</t>
        </is>
      </c>
      <c r="E13368" t="inlineStr">
        <is>
          <t>ARVIKA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3492-2024</t>
        </is>
      </c>
      <c r="B13369" s="1" t="n">
        <v>45317</v>
      </c>
      <c r="C13369" s="1" t="n">
        <v>45736</v>
      </c>
      <c r="D13369" t="inlineStr">
        <is>
          <t>VÄRMLANDS LÄN</t>
        </is>
      </c>
      <c r="E13369" t="inlineStr">
        <is>
          <t>ÅRJÄNG</t>
        </is>
      </c>
      <c r="G13369" t="n">
        <v>8.699999999999999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3494-2024</t>
        </is>
      </c>
      <c r="B13370" s="1" t="n">
        <v>45320</v>
      </c>
      <c r="C13370" s="1" t="n">
        <v>45736</v>
      </c>
      <c r="D13370" t="inlineStr">
        <is>
          <t>VÄRMLANDS LÄN</t>
        </is>
      </c>
      <c r="E13370" t="inlineStr">
        <is>
          <t>SÄFFLE</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3499-2024</t>
        </is>
      </c>
      <c r="B13371" s="1" t="n">
        <v>45320</v>
      </c>
      <c r="C13371" s="1" t="n">
        <v>45736</v>
      </c>
      <c r="D13371" t="inlineStr">
        <is>
          <t>VÄRMLANDS LÄN</t>
        </is>
      </c>
      <c r="E13371" t="inlineStr">
        <is>
          <t>SÄFFLE</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3511-2024</t>
        </is>
      </c>
      <c r="B13372" s="1" t="n">
        <v>45320</v>
      </c>
      <c r="C13372" s="1" t="n">
        <v>45736</v>
      </c>
      <c r="D13372" t="inlineStr">
        <is>
          <t>VÄRMLANDS LÄN</t>
        </is>
      </c>
      <c r="E13372" t="inlineStr">
        <is>
          <t>KRISTINEHAMN</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3541-2024</t>
        </is>
      </c>
      <c r="B13373" s="1" t="n">
        <v>45320</v>
      </c>
      <c r="C13373" s="1" t="n">
        <v>45736</v>
      </c>
      <c r="D13373" t="inlineStr">
        <is>
          <t>VÄRMLANDS LÄN</t>
        </is>
      </c>
      <c r="E13373" t="inlineStr">
        <is>
          <t>KARLSTAD</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3485-2024</t>
        </is>
      </c>
      <c r="B13374" s="1" t="n">
        <v>45320</v>
      </c>
      <c r="C13374" s="1" t="n">
        <v>45736</v>
      </c>
      <c r="D13374" t="inlineStr">
        <is>
          <t>VÄRMLANDS LÄN</t>
        </is>
      </c>
      <c r="E13374" t="inlineStr">
        <is>
          <t>HAGFORS</t>
        </is>
      </c>
      <c r="F13374" t="inlineStr">
        <is>
          <t>Bergvik skog väst AB</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3491-2024</t>
        </is>
      </c>
      <c r="B13375" s="1" t="n">
        <v>45320</v>
      </c>
      <c r="C13375" s="1" t="n">
        <v>45736</v>
      </c>
      <c r="D13375" t="inlineStr">
        <is>
          <t>VÄRMLANDS LÄN</t>
        </is>
      </c>
      <c r="E13375" t="inlineStr">
        <is>
          <t>SÄFFLE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3501-2024</t>
        </is>
      </c>
      <c r="B13376" s="1" t="n">
        <v>45320</v>
      </c>
      <c r="C13376" s="1" t="n">
        <v>45736</v>
      </c>
      <c r="D13376" t="inlineStr">
        <is>
          <t>VÄRMLANDS LÄN</t>
        </is>
      </c>
      <c r="E13376" t="inlineStr">
        <is>
          <t>SÄFFLE</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3555-2024</t>
        </is>
      </c>
      <c r="B13377" s="1" t="n">
        <v>45320</v>
      </c>
      <c r="C13377" s="1" t="n">
        <v>45736</v>
      </c>
      <c r="D13377" t="inlineStr">
        <is>
          <t>VÄRMLANDS LÄN</t>
        </is>
      </c>
      <c r="E13377" t="inlineStr">
        <is>
          <t>ARVIKA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3591-2024</t>
        </is>
      </c>
      <c r="B13378" s="1" t="n">
        <v>45320</v>
      </c>
      <c r="C13378" s="1" t="n">
        <v>45736</v>
      </c>
      <c r="D13378" t="inlineStr">
        <is>
          <t>VÄRMLANDS LÄN</t>
        </is>
      </c>
      <c r="E13378" t="inlineStr">
        <is>
          <t>TORSBY</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3479-2024</t>
        </is>
      </c>
      <c r="B13379" s="1" t="n">
        <v>45320</v>
      </c>
      <c r="C13379" s="1" t="n">
        <v>45736</v>
      </c>
      <c r="D13379" t="inlineStr">
        <is>
          <t>VÄRMLANDS LÄN</t>
        </is>
      </c>
      <c r="E13379" t="inlineStr">
        <is>
          <t>TORSBY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3517-2024</t>
        </is>
      </c>
      <c r="B13380" s="1" t="n">
        <v>45320</v>
      </c>
      <c r="C13380" s="1" t="n">
        <v>45736</v>
      </c>
      <c r="D13380" t="inlineStr">
        <is>
          <t>VÄRMLANDS LÄN</t>
        </is>
      </c>
      <c r="E13380" t="inlineStr">
        <is>
          <t>ARVIKA</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3550-2024</t>
        </is>
      </c>
      <c r="B13381" s="1" t="n">
        <v>45320</v>
      </c>
      <c r="C13381" s="1" t="n">
        <v>45736</v>
      </c>
      <c r="D13381" t="inlineStr">
        <is>
          <t>VÄRMLANDS LÄN</t>
        </is>
      </c>
      <c r="E13381" t="inlineStr">
        <is>
          <t>KARLSTAD</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3536-2024</t>
        </is>
      </c>
      <c r="B13382" s="1" t="n">
        <v>45320</v>
      </c>
      <c r="C13382" s="1" t="n">
        <v>45736</v>
      </c>
      <c r="D13382" t="inlineStr">
        <is>
          <t>VÄRMLANDS LÄN</t>
        </is>
      </c>
      <c r="E13382" t="inlineStr">
        <is>
          <t>TORSBY</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3540-2024</t>
        </is>
      </c>
      <c r="B13383" s="1" t="n">
        <v>45320</v>
      </c>
      <c r="C13383" s="1" t="n">
        <v>45736</v>
      </c>
      <c r="D13383" t="inlineStr">
        <is>
          <t>VÄRMLANDS LÄN</t>
        </is>
      </c>
      <c r="E13383" t="inlineStr">
        <is>
          <t>HAGFORS</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3576-2024</t>
        </is>
      </c>
      <c r="B13384" s="1" t="n">
        <v>45320</v>
      </c>
      <c r="C13384" s="1" t="n">
        <v>45736</v>
      </c>
      <c r="D13384" t="inlineStr">
        <is>
          <t>VÄRMLANDS LÄN</t>
        </is>
      </c>
      <c r="E13384" t="inlineStr">
        <is>
          <t>FORSHAGA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3578-2024</t>
        </is>
      </c>
      <c r="B13385" s="1" t="n">
        <v>45320</v>
      </c>
      <c r="C13385" s="1" t="n">
        <v>45736</v>
      </c>
      <c r="D13385" t="inlineStr">
        <is>
          <t>VÄRMLANDS LÄN</t>
        </is>
      </c>
      <c r="E13385" t="inlineStr">
        <is>
          <t>ARVIKA</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3590-2024</t>
        </is>
      </c>
      <c r="B13386" s="1" t="n">
        <v>45320</v>
      </c>
      <c r="C13386" s="1" t="n">
        <v>45736</v>
      </c>
      <c r="D13386" t="inlineStr">
        <is>
          <t>VÄRMLANDS LÄN</t>
        </is>
      </c>
      <c r="E13386" t="inlineStr">
        <is>
          <t>TORSBY</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3608-2024</t>
        </is>
      </c>
      <c r="B13387" s="1" t="n">
        <v>45320</v>
      </c>
      <c r="C13387" s="1" t="n">
        <v>45736</v>
      </c>
      <c r="D13387" t="inlineStr">
        <is>
          <t>VÄRMLANDS LÄN</t>
        </is>
      </c>
      <c r="E13387" t="inlineStr">
        <is>
          <t>TORSBY</t>
        </is>
      </c>
      <c r="G13387" t="n">
        <v>20.2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3678-2024</t>
        </is>
      </c>
      <c r="B13388" s="1" t="n">
        <v>45321</v>
      </c>
      <c r="C13388" s="1" t="n">
        <v>45736</v>
      </c>
      <c r="D13388" t="inlineStr">
        <is>
          <t>VÄRMLANDS LÄN</t>
        </is>
      </c>
      <c r="E13388" t="inlineStr">
        <is>
          <t>TORSBY</t>
        </is>
      </c>
      <c r="G13388" t="n">
        <v>24.6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3664-2024</t>
        </is>
      </c>
      <c r="B13389" s="1" t="n">
        <v>45321</v>
      </c>
      <c r="C13389" s="1" t="n">
        <v>45736</v>
      </c>
      <c r="D13389" t="inlineStr">
        <is>
          <t>VÄRMLANDS LÄN</t>
        </is>
      </c>
      <c r="E13389" t="inlineStr">
        <is>
          <t>EDA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3668-2024</t>
        </is>
      </c>
      <c r="B13390" s="1" t="n">
        <v>45321</v>
      </c>
      <c r="C13390" s="1" t="n">
        <v>45736</v>
      </c>
      <c r="D13390" t="inlineStr">
        <is>
          <t>VÄRMLANDS LÄN</t>
        </is>
      </c>
      <c r="E13390" t="inlineStr">
        <is>
          <t>EDA</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3672-2024</t>
        </is>
      </c>
      <c r="B13391" s="1" t="n">
        <v>45321</v>
      </c>
      <c r="C13391" s="1" t="n">
        <v>45736</v>
      </c>
      <c r="D13391" t="inlineStr">
        <is>
          <t>VÄRMLANDS LÄN</t>
        </is>
      </c>
      <c r="E13391" t="inlineStr">
        <is>
          <t>TORSBY</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3692-2024</t>
        </is>
      </c>
      <c r="B13392" s="1" t="n">
        <v>45321</v>
      </c>
      <c r="C13392" s="1" t="n">
        <v>45736</v>
      </c>
      <c r="D13392" t="inlineStr">
        <is>
          <t>VÄRMLANDS LÄN</t>
        </is>
      </c>
      <c r="E13392" t="inlineStr">
        <is>
          <t>SUNNE</t>
        </is>
      </c>
      <c r="G13392" t="n">
        <v>5.6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3698-2024</t>
        </is>
      </c>
      <c r="B13393" s="1" t="n">
        <v>45321</v>
      </c>
      <c r="C13393" s="1" t="n">
        <v>45736</v>
      </c>
      <c r="D13393" t="inlineStr">
        <is>
          <t>VÄRMLANDS LÄN</t>
        </is>
      </c>
      <c r="E13393" t="inlineStr">
        <is>
          <t>SUNNE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3720-2024</t>
        </is>
      </c>
      <c r="B13394" s="1" t="n">
        <v>45321</v>
      </c>
      <c r="C13394" s="1" t="n">
        <v>45736</v>
      </c>
      <c r="D13394" t="inlineStr">
        <is>
          <t>VÄRMLANDS LÄN</t>
        </is>
      </c>
      <c r="E13394" t="inlineStr">
        <is>
          <t>TORSBY</t>
        </is>
      </c>
      <c r="F13394" t="inlineStr">
        <is>
          <t>Bergvik skog väst AB</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3724-2024</t>
        </is>
      </c>
      <c r="B13395" s="1" t="n">
        <v>45321</v>
      </c>
      <c r="C13395" s="1" t="n">
        <v>45736</v>
      </c>
      <c r="D13395" t="inlineStr">
        <is>
          <t>VÄRMLANDS LÄN</t>
        </is>
      </c>
      <c r="E13395" t="inlineStr">
        <is>
          <t>TORSBY</t>
        </is>
      </c>
      <c r="F13395" t="inlineStr">
        <is>
          <t>Bergvik skog väst AB</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3673-2024</t>
        </is>
      </c>
      <c r="B13396" s="1" t="n">
        <v>45321</v>
      </c>
      <c r="C13396" s="1" t="n">
        <v>45736</v>
      </c>
      <c r="D13396" t="inlineStr">
        <is>
          <t>VÄRMLANDS LÄN</t>
        </is>
      </c>
      <c r="E13396" t="inlineStr">
        <is>
          <t>TORSBY</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3681-2024</t>
        </is>
      </c>
      <c r="B13397" s="1" t="n">
        <v>45321</v>
      </c>
      <c r="C13397" s="1" t="n">
        <v>45736</v>
      </c>
      <c r="D13397" t="inlineStr">
        <is>
          <t>VÄRMLANDS LÄN</t>
        </is>
      </c>
      <c r="E13397" t="inlineStr">
        <is>
          <t>HAGFORS</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3744-2024</t>
        </is>
      </c>
      <c r="B13398" s="1" t="n">
        <v>45321</v>
      </c>
      <c r="C13398" s="1" t="n">
        <v>45736</v>
      </c>
      <c r="D13398" t="inlineStr">
        <is>
          <t>VÄRMLANDS LÄN</t>
        </is>
      </c>
      <c r="E13398" t="inlineStr">
        <is>
          <t>ARVIKA</t>
        </is>
      </c>
      <c r="F13398" t="inlineStr">
        <is>
          <t>Bergvik skog väst AB</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3659-2024</t>
        </is>
      </c>
      <c r="B13399" s="1" t="n">
        <v>45321</v>
      </c>
      <c r="C13399" s="1" t="n">
        <v>45736</v>
      </c>
      <c r="D13399" t="inlineStr">
        <is>
          <t>VÄRMLANDS LÄN</t>
        </is>
      </c>
      <c r="E13399" t="inlineStr">
        <is>
          <t>FILIPSTAD</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3679-2024</t>
        </is>
      </c>
      <c r="B13400" s="1" t="n">
        <v>45321</v>
      </c>
      <c r="C13400" s="1" t="n">
        <v>45736</v>
      </c>
      <c r="D13400" t="inlineStr">
        <is>
          <t>VÄRMLANDS LÄN</t>
        </is>
      </c>
      <c r="E13400" t="inlineStr">
        <is>
          <t>SUNNE</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3695-2024</t>
        </is>
      </c>
      <c r="B13401" s="1" t="n">
        <v>45321</v>
      </c>
      <c r="C13401" s="1" t="n">
        <v>45736</v>
      </c>
      <c r="D13401" t="inlineStr">
        <is>
          <t>VÄRMLANDS LÄN</t>
        </is>
      </c>
      <c r="E13401" t="inlineStr">
        <is>
          <t>SUNNE</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3750-2024</t>
        </is>
      </c>
      <c r="B13402" s="1" t="n">
        <v>45321</v>
      </c>
      <c r="C13402" s="1" t="n">
        <v>45736</v>
      </c>
      <c r="D13402" t="inlineStr">
        <is>
          <t>VÄRMLANDS LÄN</t>
        </is>
      </c>
      <c r="E13402" t="inlineStr">
        <is>
          <t>TORSBY</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3786-2024</t>
        </is>
      </c>
      <c r="B13403" s="1" t="n">
        <v>45321</v>
      </c>
      <c r="C13403" s="1" t="n">
        <v>45736</v>
      </c>
      <c r="D13403" t="inlineStr">
        <is>
          <t>VÄRMLANDS LÄN</t>
        </is>
      </c>
      <c r="E13403" t="inlineStr">
        <is>
          <t>FILIPSTAD</t>
        </is>
      </c>
      <c r="F13403" t="inlineStr">
        <is>
          <t>Bergvik skog väst AB</t>
        </is>
      </c>
      <c r="G13403" t="n">
        <v>13.4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3768-2024</t>
        </is>
      </c>
      <c r="B13404" s="1" t="n">
        <v>45321</v>
      </c>
      <c r="C13404" s="1" t="n">
        <v>45736</v>
      </c>
      <c r="D13404" t="inlineStr">
        <is>
          <t>VÄRMLANDS LÄN</t>
        </is>
      </c>
      <c r="E13404" t="inlineStr">
        <is>
          <t>ARVIKA</t>
        </is>
      </c>
      <c r="F13404" t="inlineStr">
        <is>
          <t>Bergvik skog väst AB</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3730-2024</t>
        </is>
      </c>
      <c r="B13405" s="1" t="n">
        <v>45321</v>
      </c>
      <c r="C13405" s="1" t="n">
        <v>45736</v>
      </c>
      <c r="D13405" t="inlineStr">
        <is>
          <t>VÄRMLANDS LÄN</t>
        </is>
      </c>
      <c r="E13405" t="inlineStr">
        <is>
          <t>ARVIKA</t>
        </is>
      </c>
      <c r="F13405" t="inlineStr">
        <is>
          <t>Bergvik skog väst AB</t>
        </is>
      </c>
      <c r="G13405" t="n">
        <v>22.1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3734-2024</t>
        </is>
      </c>
      <c r="B13406" s="1" t="n">
        <v>45321</v>
      </c>
      <c r="C13406" s="1" t="n">
        <v>45736</v>
      </c>
      <c r="D13406" t="inlineStr">
        <is>
          <t>VÄRMLANDS LÄN</t>
        </is>
      </c>
      <c r="E13406" t="inlineStr">
        <is>
          <t>TORSBY</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3787-2024</t>
        </is>
      </c>
      <c r="B13407" s="1" t="n">
        <v>45321</v>
      </c>
      <c r="C13407" s="1" t="n">
        <v>45736</v>
      </c>
      <c r="D13407" t="inlineStr">
        <is>
          <t>VÄRMLANDS LÄN</t>
        </is>
      </c>
      <c r="E13407" t="inlineStr">
        <is>
          <t>ARVIKA</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3827-2024</t>
        </is>
      </c>
      <c r="B13408" s="1" t="n">
        <v>45321</v>
      </c>
      <c r="C13408" s="1" t="n">
        <v>45736</v>
      </c>
      <c r="D13408" t="inlineStr">
        <is>
          <t>VÄRMLANDS LÄN</t>
        </is>
      </c>
      <c r="E13408" t="inlineStr">
        <is>
          <t>SUNNE</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3785-2024</t>
        </is>
      </c>
      <c r="B13409" s="1" t="n">
        <v>45321</v>
      </c>
      <c r="C13409" s="1" t="n">
        <v>45736</v>
      </c>
      <c r="D13409" t="inlineStr">
        <is>
          <t>VÄRMLANDS LÄN</t>
        </is>
      </c>
      <c r="E13409" t="inlineStr">
        <is>
          <t>ÅRJÄNG</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3822-2024</t>
        </is>
      </c>
      <c r="B13410" s="1" t="n">
        <v>45321</v>
      </c>
      <c r="C13410" s="1" t="n">
        <v>45736</v>
      </c>
      <c r="D13410" t="inlineStr">
        <is>
          <t>VÄRMLANDS LÄN</t>
        </is>
      </c>
      <c r="E13410" t="inlineStr">
        <is>
          <t>TORSBY</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3842-2024</t>
        </is>
      </c>
      <c r="B13411" s="1" t="n">
        <v>45321</v>
      </c>
      <c r="C13411" s="1" t="n">
        <v>45736</v>
      </c>
      <c r="D13411" t="inlineStr">
        <is>
          <t>VÄRMLANDS LÄN</t>
        </is>
      </c>
      <c r="E13411" t="inlineStr">
        <is>
          <t>KIL</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3851-2024</t>
        </is>
      </c>
      <c r="B13412" s="1" t="n">
        <v>45322</v>
      </c>
      <c r="C13412" s="1" t="n">
        <v>45736</v>
      </c>
      <c r="D13412" t="inlineStr">
        <is>
          <t>VÄRMLANDS LÄN</t>
        </is>
      </c>
      <c r="E13412" t="inlineStr">
        <is>
          <t>KRISTINEHAMN</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3850-2024</t>
        </is>
      </c>
      <c r="B13413" s="1" t="n">
        <v>45322</v>
      </c>
      <c r="C13413" s="1" t="n">
        <v>45736</v>
      </c>
      <c r="D13413" t="inlineStr">
        <is>
          <t>VÄRMLANDS LÄN</t>
        </is>
      </c>
      <c r="E13413" t="inlineStr">
        <is>
          <t>KRISTINEHAMN</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3922-2024</t>
        </is>
      </c>
      <c r="B13414" s="1" t="n">
        <v>45322</v>
      </c>
      <c r="C13414" s="1" t="n">
        <v>45736</v>
      </c>
      <c r="D13414" t="inlineStr">
        <is>
          <t>VÄRMLANDS LÄN</t>
        </is>
      </c>
      <c r="E13414" t="inlineStr">
        <is>
          <t>TORSBY</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3979-2024</t>
        </is>
      </c>
      <c r="B13415" s="1" t="n">
        <v>45322</v>
      </c>
      <c r="C13415" s="1" t="n">
        <v>45736</v>
      </c>
      <c r="D13415" t="inlineStr">
        <is>
          <t>VÄRMLANDS LÄN</t>
        </is>
      </c>
      <c r="E13415" t="inlineStr">
        <is>
          <t>FILIPSTAD</t>
        </is>
      </c>
      <c r="G13415" t="n">
        <v>8.199999999999999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3861-2024</t>
        </is>
      </c>
      <c r="B13416" s="1" t="n">
        <v>45322</v>
      </c>
      <c r="C13416" s="1" t="n">
        <v>45736</v>
      </c>
      <c r="D13416" t="inlineStr">
        <is>
          <t>VÄRMLANDS LÄN</t>
        </is>
      </c>
      <c r="E13416" t="inlineStr">
        <is>
          <t>KARLSTAD</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3885-2024</t>
        </is>
      </c>
      <c r="B13417" s="1" t="n">
        <v>45322</v>
      </c>
      <c r="C13417" s="1" t="n">
        <v>45736</v>
      </c>
      <c r="D13417" t="inlineStr">
        <is>
          <t>VÄRMLANDS LÄN</t>
        </is>
      </c>
      <c r="E13417" t="inlineStr">
        <is>
          <t>KARLSTAD</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3897-2024</t>
        </is>
      </c>
      <c r="B13418" s="1" t="n">
        <v>45322</v>
      </c>
      <c r="C13418" s="1" t="n">
        <v>45736</v>
      </c>
      <c r="D13418" t="inlineStr">
        <is>
          <t>VÄRMLANDS LÄN</t>
        </is>
      </c>
      <c r="E13418" t="inlineStr">
        <is>
          <t>ARVIKA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3852-2024</t>
        </is>
      </c>
      <c r="B13419" s="1" t="n">
        <v>45322</v>
      </c>
      <c r="C13419" s="1" t="n">
        <v>45736</v>
      </c>
      <c r="D13419" t="inlineStr">
        <is>
          <t>VÄRMLANDS LÄN</t>
        </is>
      </c>
      <c r="E13419" t="inlineStr">
        <is>
          <t>SUNNE</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3932-2024</t>
        </is>
      </c>
      <c r="B13420" s="1" t="n">
        <v>45322</v>
      </c>
      <c r="C13420" s="1" t="n">
        <v>45736</v>
      </c>
      <c r="D13420" t="inlineStr">
        <is>
          <t>VÄRMLANDS LÄN</t>
        </is>
      </c>
      <c r="E13420" t="inlineStr">
        <is>
          <t>KRISTINEHAMN</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3949-2024</t>
        </is>
      </c>
      <c r="B13421" s="1" t="n">
        <v>45322</v>
      </c>
      <c r="C13421" s="1" t="n">
        <v>45736</v>
      </c>
      <c r="D13421" t="inlineStr">
        <is>
          <t>VÄRMLANDS LÄN</t>
        </is>
      </c>
      <c r="E13421" t="inlineStr">
        <is>
          <t>SUNNE</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3957-2024</t>
        </is>
      </c>
      <c r="B13422" s="1" t="n">
        <v>45322</v>
      </c>
      <c r="C13422" s="1" t="n">
        <v>45736</v>
      </c>
      <c r="D13422" t="inlineStr">
        <is>
          <t>VÄRMLANDS LÄN</t>
        </is>
      </c>
      <c r="E13422" t="inlineStr">
        <is>
          <t>GRUMS</t>
        </is>
      </c>
      <c r="F13422" t="inlineStr">
        <is>
          <t>Bergvik skog väst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4030-2024</t>
        </is>
      </c>
      <c r="B13423" s="1" t="n">
        <v>45323</v>
      </c>
      <c r="C13423" s="1" t="n">
        <v>45736</v>
      </c>
      <c r="D13423" t="inlineStr">
        <is>
          <t>VÄRMLANDS LÄN</t>
        </is>
      </c>
      <c r="E13423" t="inlineStr">
        <is>
          <t>TORSBY</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4070-2024</t>
        </is>
      </c>
      <c r="B13424" s="1" t="n">
        <v>45323</v>
      </c>
      <c r="C13424" s="1" t="n">
        <v>45736</v>
      </c>
      <c r="D13424" t="inlineStr">
        <is>
          <t>VÄRMLANDS LÄN</t>
        </is>
      </c>
      <c r="E13424" t="inlineStr">
        <is>
          <t>TORSBY</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4078-2024</t>
        </is>
      </c>
      <c r="B13425" s="1" t="n">
        <v>45323</v>
      </c>
      <c r="C13425" s="1" t="n">
        <v>45736</v>
      </c>
      <c r="D13425" t="inlineStr">
        <is>
          <t>VÄRMLANDS LÄN</t>
        </is>
      </c>
      <c r="E13425" t="inlineStr">
        <is>
          <t>TORSBY</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4047-2024</t>
        </is>
      </c>
      <c r="B13426" s="1" t="n">
        <v>45323</v>
      </c>
      <c r="C13426" s="1" t="n">
        <v>45736</v>
      </c>
      <c r="D13426" t="inlineStr">
        <is>
          <t>VÄRMLANDS LÄN</t>
        </is>
      </c>
      <c r="E13426" t="inlineStr">
        <is>
          <t>HAGFORS</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4093-2024</t>
        </is>
      </c>
      <c r="B13427" s="1" t="n">
        <v>45323</v>
      </c>
      <c r="C13427" s="1" t="n">
        <v>45736</v>
      </c>
      <c r="D13427" t="inlineStr">
        <is>
          <t>VÄRMLANDS LÄN</t>
        </is>
      </c>
      <c r="E13427" t="inlineStr">
        <is>
          <t>SÄFFLE</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4117-2024</t>
        </is>
      </c>
      <c r="B13428" s="1" t="n">
        <v>45323</v>
      </c>
      <c r="C13428" s="1" t="n">
        <v>45736</v>
      </c>
      <c r="D13428" t="inlineStr">
        <is>
          <t>VÄRMLANDS LÄN</t>
        </is>
      </c>
      <c r="E13428" t="inlineStr">
        <is>
          <t>ARVIKA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4181-2024</t>
        </is>
      </c>
      <c r="B13429" s="1" t="n">
        <v>45323</v>
      </c>
      <c r="C13429" s="1" t="n">
        <v>45736</v>
      </c>
      <c r="D13429" t="inlineStr">
        <is>
          <t>VÄRMLANDS LÄN</t>
        </is>
      </c>
      <c r="E13429" t="inlineStr">
        <is>
          <t>KRISTINEHAMN</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4180-2024</t>
        </is>
      </c>
      <c r="B13430" s="1" t="n">
        <v>45323</v>
      </c>
      <c r="C13430" s="1" t="n">
        <v>45736</v>
      </c>
      <c r="D13430" t="inlineStr">
        <is>
          <t>VÄRMLANDS LÄN</t>
        </is>
      </c>
      <c r="E13430" t="inlineStr">
        <is>
          <t>KRISTINEHAMN</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4200-2024</t>
        </is>
      </c>
      <c r="B13431" s="1" t="n">
        <v>45324</v>
      </c>
      <c r="C13431" s="1" t="n">
        <v>45736</v>
      </c>
      <c r="D13431" t="inlineStr">
        <is>
          <t>VÄRMLANDS LÄN</t>
        </is>
      </c>
      <c r="E13431" t="inlineStr">
        <is>
          <t>SUNNE</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4218-2024</t>
        </is>
      </c>
      <c r="B13432" s="1" t="n">
        <v>45324</v>
      </c>
      <c r="C13432" s="1" t="n">
        <v>45736</v>
      </c>
      <c r="D13432" t="inlineStr">
        <is>
          <t>VÄRMLANDS LÄN</t>
        </is>
      </c>
      <c r="E13432" t="inlineStr">
        <is>
          <t>SUNNE</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4231-2024</t>
        </is>
      </c>
      <c r="B13433" s="1" t="n">
        <v>45324</v>
      </c>
      <c r="C13433" s="1" t="n">
        <v>45736</v>
      </c>
      <c r="D13433" t="inlineStr">
        <is>
          <t>VÄRMLANDS LÄN</t>
        </is>
      </c>
      <c r="E13433" t="inlineStr">
        <is>
          <t>TORSBY</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4186-2024</t>
        </is>
      </c>
      <c r="B13434" s="1" t="n">
        <v>45324</v>
      </c>
      <c r="C13434" s="1" t="n">
        <v>45736</v>
      </c>
      <c r="D13434" t="inlineStr">
        <is>
          <t>VÄRMLANDS LÄN</t>
        </is>
      </c>
      <c r="E13434" t="inlineStr">
        <is>
          <t>HAGFORS</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4219-2024</t>
        </is>
      </c>
      <c r="B13435" s="1" t="n">
        <v>45324</v>
      </c>
      <c r="C13435" s="1" t="n">
        <v>45736</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4330-2024</t>
        </is>
      </c>
      <c r="B13436" s="1" t="n">
        <v>45324</v>
      </c>
      <c r="C13436" s="1" t="n">
        <v>45736</v>
      </c>
      <c r="D13436" t="inlineStr">
        <is>
          <t>VÄRMLANDS LÄN</t>
        </is>
      </c>
      <c r="E13436" t="inlineStr">
        <is>
          <t>SÄFFLE</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4195-2024</t>
        </is>
      </c>
      <c r="B13437" s="1" t="n">
        <v>45324</v>
      </c>
      <c r="C13437" s="1" t="n">
        <v>45736</v>
      </c>
      <c r="D13437" t="inlineStr">
        <is>
          <t>VÄRMLANDS LÄN</t>
        </is>
      </c>
      <c r="E13437" t="inlineStr">
        <is>
          <t>ARVIKA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4253-2024</t>
        </is>
      </c>
      <c r="B13438" s="1" t="n">
        <v>45324</v>
      </c>
      <c r="C13438" s="1" t="n">
        <v>45736</v>
      </c>
      <c r="D13438" t="inlineStr">
        <is>
          <t>VÄRMLANDS LÄN</t>
        </is>
      </c>
      <c r="E13438" t="inlineStr">
        <is>
          <t>SÄFFLE</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4273-2024</t>
        </is>
      </c>
      <c r="B13439" s="1" t="n">
        <v>45324</v>
      </c>
      <c r="C13439" s="1" t="n">
        <v>45736</v>
      </c>
      <c r="D13439" t="inlineStr">
        <is>
          <t>VÄRMLANDS LÄN</t>
        </is>
      </c>
      <c r="E13439" t="inlineStr">
        <is>
          <t>SUNNE</t>
        </is>
      </c>
      <c r="G13439" t="n">
        <v>10.6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4279-2024</t>
        </is>
      </c>
      <c r="B13440" s="1" t="n">
        <v>45324</v>
      </c>
      <c r="C13440" s="1" t="n">
        <v>45736</v>
      </c>
      <c r="D13440" t="inlineStr">
        <is>
          <t>VÄRMLANDS LÄN</t>
        </is>
      </c>
      <c r="E13440" t="inlineStr">
        <is>
          <t>HAGFORS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4277-2024</t>
        </is>
      </c>
      <c r="B13441" s="1" t="n">
        <v>45324</v>
      </c>
      <c r="C13441" s="1" t="n">
        <v>45736</v>
      </c>
      <c r="D13441" t="inlineStr">
        <is>
          <t>VÄRMLANDS LÄN</t>
        </is>
      </c>
      <c r="E13441" t="inlineStr">
        <is>
          <t>KRISTINEHAMN</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4289-2024</t>
        </is>
      </c>
      <c r="B13442" s="1" t="n">
        <v>45324</v>
      </c>
      <c r="C13442" s="1" t="n">
        <v>45736</v>
      </c>
      <c r="D13442" t="inlineStr">
        <is>
          <t>VÄRMLANDS LÄN</t>
        </is>
      </c>
      <c r="E13442" t="inlineStr">
        <is>
          <t>SUNNE</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4463-2024</t>
        </is>
      </c>
      <c r="B13443" s="1" t="n">
        <v>45326</v>
      </c>
      <c r="C13443" s="1" t="n">
        <v>45736</v>
      </c>
      <c r="D13443" t="inlineStr">
        <is>
          <t>VÄRMLANDS LÄN</t>
        </is>
      </c>
      <c r="E13443" t="inlineStr">
        <is>
          <t>ARVIKA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4466-2024</t>
        </is>
      </c>
      <c r="B13444" s="1" t="n">
        <v>45326</v>
      </c>
      <c r="C13444" s="1" t="n">
        <v>45736</v>
      </c>
      <c r="D13444" t="inlineStr">
        <is>
          <t>VÄRMLANDS LÄN</t>
        </is>
      </c>
      <c r="E13444" t="inlineStr">
        <is>
          <t>ÅRJÄNG</t>
        </is>
      </c>
      <c r="G13444" t="n">
        <v>12.4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4389-2024</t>
        </is>
      </c>
      <c r="B13445" s="1" t="n">
        <v>45326</v>
      </c>
      <c r="C13445" s="1" t="n">
        <v>45736</v>
      </c>
      <c r="D13445" t="inlineStr">
        <is>
          <t>VÄRMLANDS LÄN</t>
        </is>
      </c>
      <c r="E13445" t="inlineStr">
        <is>
          <t>KARLSTAD</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4382-2024</t>
        </is>
      </c>
      <c r="B13446" s="1" t="n">
        <v>45327</v>
      </c>
      <c r="C13446" s="1" t="n">
        <v>45736</v>
      </c>
      <c r="D13446" t="inlineStr">
        <is>
          <t>VÄRMLANDS LÄN</t>
        </is>
      </c>
      <c r="E13446" t="inlineStr">
        <is>
          <t>ÅRJÄNG</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4418-2024</t>
        </is>
      </c>
      <c r="B13447" s="1" t="n">
        <v>45327</v>
      </c>
      <c r="C13447" s="1" t="n">
        <v>45736</v>
      </c>
      <c r="D13447" t="inlineStr">
        <is>
          <t>VÄRMLANDS LÄN</t>
        </is>
      </c>
      <c r="E13447" t="inlineStr">
        <is>
          <t>FILIPSTAD</t>
        </is>
      </c>
      <c r="F13447" t="inlineStr">
        <is>
          <t>Bergvik skog väst AB</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4430-2024</t>
        </is>
      </c>
      <c r="B13448" s="1" t="n">
        <v>45327</v>
      </c>
      <c r="C13448" s="1" t="n">
        <v>45736</v>
      </c>
      <c r="D13448" t="inlineStr">
        <is>
          <t>VÄRMLANDS LÄN</t>
        </is>
      </c>
      <c r="E13448" t="inlineStr">
        <is>
          <t>ARVIKA</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4388-2024</t>
        </is>
      </c>
      <c r="B13449" s="1" t="n">
        <v>45327</v>
      </c>
      <c r="C13449" s="1" t="n">
        <v>45736</v>
      </c>
      <c r="D13449" t="inlineStr">
        <is>
          <t>VÄRMLANDS LÄN</t>
        </is>
      </c>
      <c r="E13449" t="inlineStr">
        <is>
          <t>ARVIKA</t>
        </is>
      </c>
      <c r="G13449" t="n">
        <v>4.3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4545-2024</t>
        </is>
      </c>
      <c r="B13450" s="1" t="n">
        <v>45327</v>
      </c>
      <c r="C13450" s="1" t="n">
        <v>45736</v>
      </c>
      <c r="D13450" t="inlineStr">
        <is>
          <t>VÄRMLANDS LÄN</t>
        </is>
      </c>
      <c r="E13450" t="inlineStr">
        <is>
          <t>ÅRJÄNG</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4620-2024</t>
        </is>
      </c>
      <c r="B13451" s="1" t="n">
        <v>45328</v>
      </c>
      <c r="C13451" s="1" t="n">
        <v>45736</v>
      </c>
      <c r="D13451" t="inlineStr">
        <is>
          <t>VÄRMLANDS LÄN</t>
        </is>
      </c>
      <c r="E13451" t="inlineStr">
        <is>
          <t>FILIPSTAD</t>
        </is>
      </c>
      <c r="F13451" t="inlineStr">
        <is>
          <t>Bergvik skog väst AB</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4606-2024</t>
        </is>
      </c>
      <c r="B13452" s="1" t="n">
        <v>45328</v>
      </c>
      <c r="C13452" s="1" t="n">
        <v>45736</v>
      </c>
      <c r="D13452" t="inlineStr">
        <is>
          <t>VÄRMLANDS LÄN</t>
        </is>
      </c>
      <c r="E13452" t="inlineStr">
        <is>
          <t>ÅRJÄNG</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4742-2024</t>
        </is>
      </c>
      <c r="B13453" s="1" t="n">
        <v>45328</v>
      </c>
      <c r="C13453" s="1" t="n">
        <v>45736</v>
      </c>
      <c r="D13453" t="inlineStr">
        <is>
          <t>VÄRMLANDS LÄN</t>
        </is>
      </c>
      <c r="E13453" t="inlineStr">
        <is>
          <t>SÄFFLE</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4754-2024</t>
        </is>
      </c>
      <c r="B13454" s="1" t="n">
        <v>45328</v>
      </c>
      <c r="C13454" s="1" t="n">
        <v>45736</v>
      </c>
      <c r="D13454" t="inlineStr">
        <is>
          <t>VÄRMLANDS LÄN</t>
        </is>
      </c>
      <c r="E13454" t="inlineStr">
        <is>
          <t>ARVIKA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4748-2024</t>
        </is>
      </c>
      <c r="B13455" s="1" t="n">
        <v>45328</v>
      </c>
      <c r="C13455" s="1" t="n">
        <v>45736</v>
      </c>
      <c r="D13455" t="inlineStr">
        <is>
          <t>VÄRMLANDS LÄN</t>
        </is>
      </c>
      <c r="E13455" t="inlineStr">
        <is>
          <t>HAGFORS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4797-2024</t>
        </is>
      </c>
      <c r="B13456" s="1" t="n">
        <v>45328</v>
      </c>
      <c r="C13456" s="1" t="n">
        <v>45736</v>
      </c>
      <c r="D13456" t="inlineStr">
        <is>
          <t>VÄRMLANDS LÄN</t>
        </is>
      </c>
      <c r="E13456" t="inlineStr">
        <is>
          <t>ARVIKA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4743-2024</t>
        </is>
      </c>
      <c r="B13457" s="1" t="n">
        <v>45328</v>
      </c>
      <c r="C13457" s="1" t="n">
        <v>45736</v>
      </c>
      <c r="D13457" t="inlineStr">
        <is>
          <t>VÄRMLANDS LÄN</t>
        </is>
      </c>
      <c r="E13457" t="inlineStr">
        <is>
          <t>SÄFFLE</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4796-2024</t>
        </is>
      </c>
      <c r="B13458" s="1" t="n">
        <v>45328</v>
      </c>
      <c r="C13458" s="1" t="n">
        <v>45736</v>
      </c>
      <c r="D13458" t="inlineStr">
        <is>
          <t>VÄRMLANDS LÄN</t>
        </is>
      </c>
      <c r="E13458" t="inlineStr">
        <is>
          <t>KRISTINEHAMN</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4745-2024</t>
        </is>
      </c>
      <c r="B13459" s="1" t="n">
        <v>45328</v>
      </c>
      <c r="C13459" s="1" t="n">
        <v>45736</v>
      </c>
      <c r="D13459" t="inlineStr">
        <is>
          <t>VÄRMLANDS LÄN</t>
        </is>
      </c>
      <c r="E13459" t="inlineStr">
        <is>
          <t>HAGFORS</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4749-2024</t>
        </is>
      </c>
      <c r="B13460" s="1" t="n">
        <v>45328</v>
      </c>
      <c r="C13460" s="1" t="n">
        <v>45736</v>
      </c>
      <c r="D13460" t="inlineStr">
        <is>
          <t>VÄRMLANDS LÄN</t>
        </is>
      </c>
      <c r="E13460" t="inlineStr">
        <is>
          <t>ARVIKA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4870-2024</t>
        </is>
      </c>
      <c r="B13461" s="1" t="n">
        <v>45329</v>
      </c>
      <c r="C13461" s="1" t="n">
        <v>45736</v>
      </c>
      <c r="D13461" t="inlineStr">
        <is>
          <t>VÄRMLANDS LÄN</t>
        </is>
      </c>
      <c r="E13461" t="inlineStr">
        <is>
          <t>GRUMS</t>
        </is>
      </c>
      <c r="G13461" t="n">
        <v>8.4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4865-2024</t>
        </is>
      </c>
      <c r="B13462" s="1" t="n">
        <v>45329</v>
      </c>
      <c r="C13462" s="1" t="n">
        <v>45736</v>
      </c>
      <c r="D13462" t="inlineStr">
        <is>
          <t>VÄRMLANDS LÄN</t>
        </is>
      </c>
      <c r="E13462" t="inlineStr">
        <is>
          <t>ÅRJÄNG</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4890-2024</t>
        </is>
      </c>
      <c r="B13463" s="1" t="n">
        <v>45329</v>
      </c>
      <c r="C13463" s="1" t="n">
        <v>45736</v>
      </c>
      <c r="D13463" t="inlineStr">
        <is>
          <t>VÄRMLANDS LÄN</t>
        </is>
      </c>
      <c r="E13463" t="inlineStr">
        <is>
          <t>ARVIKA</t>
        </is>
      </c>
      <c r="F13463" t="inlineStr">
        <is>
          <t>Bergvik skog väst AB</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4908-2024</t>
        </is>
      </c>
      <c r="B13464" s="1" t="n">
        <v>45329</v>
      </c>
      <c r="C13464" s="1" t="n">
        <v>45736</v>
      </c>
      <c r="D13464" t="inlineStr">
        <is>
          <t>VÄRMLANDS LÄN</t>
        </is>
      </c>
      <c r="E13464" t="inlineStr">
        <is>
          <t>TORSBY</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4918-2024</t>
        </is>
      </c>
      <c r="B13465" s="1" t="n">
        <v>45329</v>
      </c>
      <c r="C13465" s="1" t="n">
        <v>45736</v>
      </c>
      <c r="D13465" t="inlineStr">
        <is>
          <t>VÄRMLANDS LÄN</t>
        </is>
      </c>
      <c r="E13465" t="inlineStr">
        <is>
          <t>TORSBY</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4920-2024</t>
        </is>
      </c>
      <c r="B13466" s="1" t="n">
        <v>45329</v>
      </c>
      <c r="C13466" s="1" t="n">
        <v>45736</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4948-2024</t>
        </is>
      </c>
      <c r="B13467" s="1" t="n">
        <v>45329</v>
      </c>
      <c r="C13467" s="1" t="n">
        <v>45736</v>
      </c>
      <c r="D13467" t="inlineStr">
        <is>
          <t>VÄRMLANDS LÄN</t>
        </is>
      </c>
      <c r="E13467" t="inlineStr">
        <is>
          <t>ARVIKA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4976-2024</t>
        </is>
      </c>
      <c r="B13468" s="1" t="n">
        <v>45329</v>
      </c>
      <c r="C13468" s="1" t="n">
        <v>45736</v>
      </c>
      <c r="D13468" t="inlineStr">
        <is>
          <t>VÄRMLANDS LÄN</t>
        </is>
      </c>
      <c r="E13468" t="inlineStr">
        <is>
          <t>GRUMS</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4982-2024</t>
        </is>
      </c>
      <c r="B13469" s="1" t="n">
        <v>45329</v>
      </c>
      <c r="C13469" s="1" t="n">
        <v>45736</v>
      </c>
      <c r="D13469" t="inlineStr">
        <is>
          <t>VÄRMLANDS LÄN</t>
        </is>
      </c>
      <c r="E13469" t="inlineStr">
        <is>
          <t>GRUMS</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4998-2024</t>
        </is>
      </c>
      <c r="B13470" s="1" t="n">
        <v>45329</v>
      </c>
      <c r="C13470" s="1" t="n">
        <v>45736</v>
      </c>
      <c r="D13470" t="inlineStr">
        <is>
          <t>VÄRMLANDS LÄN</t>
        </is>
      </c>
      <c r="E13470" t="inlineStr">
        <is>
          <t>STORFORS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4988-2024</t>
        </is>
      </c>
      <c r="B13471" s="1" t="n">
        <v>45329</v>
      </c>
      <c r="C13471" s="1" t="n">
        <v>45736</v>
      </c>
      <c r="D13471" t="inlineStr">
        <is>
          <t>VÄRMLANDS LÄN</t>
        </is>
      </c>
      <c r="E13471" t="inlineStr">
        <is>
          <t>ARVIKA</t>
        </is>
      </c>
      <c r="F13471" t="inlineStr">
        <is>
          <t>Bergvik skog väst AB</t>
        </is>
      </c>
      <c r="G13471" t="n">
        <v>9.4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4913-2024</t>
        </is>
      </c>
      <c r="B13472" s="1" t="n">
        <v>45329</v>
      </c>
      <c r="C13472" s="1" t="n">
        <v>45736</v>
      </c>
      <c r="D13472" t="inlineStr">
        <is>
          <t>VÄRMLANDS LÄN</t>
        </is>
      </c>
      <c r="E13472" t="inlineStr">
        <is>
          <t>TORSBY</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4993-2024</t>
        </is>
      </c>
      <c r="B13473" s="1" t="n">
        <v>45329</v>
      </c>
      <c r="C13473" s="1" t="n">
        <v>45736</v>
      </c>
      <c r="D13473" t="inlineStr">
        <is>
          <t>VÄRMLANDS LÄN</t>
        </is>
      </c>
      <c r="E13473" t="inlineStr">
        <is>
          <t>ARVIKA</t>
        </is>
      </c>
      <c r="F13473" t="inlineStr">
        <is>
          <t>Bergvik skog väst AB</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4907-2024</t>
        </is>
      </c>
      <c r="B13474" s="1" t="n">
        <v>45329</v>
      </c>
      <c r="C13474" s="1" t="n">
        <v>45736</v>
      </c>
      <c r="D13474" t="inlineStr">
        <is>
          <t>VÄRMLANDS LÄN</t>
        </is>
      </c>
      <c r="E13474" t="inlineStr">
        <is>
          <t>ARVIKA</t>
        </is>
      </c>
      <c r="F13474" t="inlineStr">
        <is>
          <t>Bergvik skog väst AB</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4943-2024</t>
        </is>
      </c>
      <c r="B13475" s="1" t="n">
        <v>45329</v>
      </c>
      <c r="C13475" s="1" t="n">
        <v>45736</v>
      </c>
      <c r="D13475" t="inlineStr">
        <is>
          <t>VÄRMLANDS LÄN</t>
        </is>
      </c>
      <c r="E13475" t="inlineStr">
        <is>
          <t>GRUMS</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4959-2024</t>
        </is>
      </c>
      <c r="B13476" s="1" t="n">
        <v>45329</v>
      </c>
      <c r="C13476" s="1" t="n">
        <v>45736</v>
      </c>
      <c r="D13476" t="inlineStr">
        <is>
          <t>VÄRMLANDS LÄN</t>
        </is>
      </c>
      <c r="E13476" t="inlineStr">
        <is>
          <t>ARVIKA</t>
        </is>
      </c>
      <c r="F13476" t="inlineStr">
        <is>
          <t>Bergvik skog väst AB</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4963-2024</t>
        </is>
      </c>
      <c r="B13477" s="1" t="n">
        <v>45329</v>
      </c>
      <c r="C13477" s="1" t="n">
        <v>45736</v>
      </c>
      <c r="D13477" t="inlineStr">
        <is>
          <t>VÄRMLANDS LÄN</t>
        </is>
      </c>
      <c r="E13477" t="inlineStr">
        <is>
          <t>GRUMS</t>
        </is>
      </c>
      <c r="G13477" t="n">
        <v>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4983-2024</t>
        </is>
      </c>
      <c r="B13478" s="1" t="n">
        <v>45329</v>
      </c>
      <c r="C13478" s="1" t="n">
        <v>45736</v>
      </c>
      <c r="D13478" t="inlineStr">
        <is>
          <t>VÄRMLANDS LÄN</t>
        </is>
      </c>
      <c r="E13478" t="inlineStr">
        <is>
          <t>ARVIKA</t>
        </is>
      </c>
      <c r="F13478" t="inlineStr">
        <is>
          <t>Bergvik skog väst AB</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5011-2024</t>
        </is>
      </c>
      <c r="B13479" s="1" t="n">
        <v>45329</v>
      </c>
      <c r="C13479" s="1" t="n">
        <v>45736</v>
      </c>
      <c r="D13479" t="inlineStr">
        <is>
          <t>VÄRMLANDS LÄN</t>
        </is>
      </c>
      <c r="E13479" t="inlineStr">
        <is>
          <t>GRUMS</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5115-2024</t>
        </is>
      </c>
      <c r="B13480" s="1" t="n">
        <v>45330</v>
      </c>
      <c r="C13480" s="1" t="n">
        <v>45736</v>
      </c>
      <c r="D13480" t="inlineStr">
        <is>
          <t>VÄRMLANDS LÄN</t>
        </is>
      </c>
      <c r="E13480" t="inlineStr">
        <is>
          <t>TORSBY</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5208-2024</t>
        </is>
      </c>
      <c r="B13481" s="1" t="n">
        <v>45330</v>
      </c>
      <c r="C13481" s="1" t="n">
        <v>45736</v>
      </c>
      <c r="D13481" t="inlineStr">
        <is>
          <t>VÄRMLANDS LÄN</t>
        </is>
      </c>
      <c r="E13481" t="inlineStr">
        <is>
          <t>SUNNE</t>
        </is>
      </c>
      <c r="F13481" t="inlineStr">
        <is>
          <t>Kommuner</t>
        </is>
      </c>
      <c r="G13481" t="n">
        <v>16.8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5240-2024</t>
        </is>
      </c>
      <c r="B13482" s="1" t="n">
        <v>45330</v>
      </c>
      <c r="C13482" s="1" t="n">
        <v>45736</v>
      </c>
      <c r="D13482" t="inlineStr">
        <is>
          <t>VÄRMLANDS LÄN</t>
        </is>
      </c>
      <c r="E13482" t="inlineStr">
        <is>
          <t>SUNNE</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5179-2024</t>
        </is>
      </c>
      <c r="B13483" s="1" t="n">
        <v>45330</v>
      </c>
      <c r="C13483" s="1" t="n">
        <v>45736</v>
      </c>
      <c r="D13483" t="inlineStr">
        <is>
          <t>VÄRMLANDS LÄN</t>
        </is>
      </c>
      <c r="E13483" t="inlineStr">
        <is>
          <t>SUNNE</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5214-2024</t>
        </is>
      </c>
      <c r="B13484" s="1" t="n">
        <v>45330</v>
      </c>
      <c r="C13484" s="1" t="n">
        <v>45736</v>
      </c>
      <c r="D13484" t="inlineStr">
        <is>
          <t>VÄRMLANDS LÄN</t>
        </is>
      </c>
      <c r="E13484" t="inlineStr">
        <is>
          <t>SUNNE</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5221-2024</t>
        </is>
      </c>
      <c r="B13485" s="1" t="n">
        <v>45330</v>
      </c>
      <c r="C13485" s="1" t="n">
        <v>45736</v>
      </c>
      <c r="D13485" t="inlineStr">
        <is>
          <t>VÄRMLANDS LÄN</t>
        </is>
      </c>
      <c r="E13485" t="inlineStr">
        <is>
          <t>SÄFFLE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5287-2024</t>
        </is>
      </c>
      <c r="B13486" s="1" t="n">
        <v>45331</v>
      </c>
      <c r="C13486" s="1" t="n">
        <v>45736</v>
      </c>
      <c r="D13486" t="inlineStr">
        <is>
          <t>VÄRMLANDS LÄN</t>
        </is>
      </c>
      <c r="E13486" t="inlineStr">
        <is>
          <t>SÄFFLE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5304-2024</t>
        </is>
      </c>
      <c r="B13487" s="1" t="n">
        <v>45331</v>
      </c>
      <c r="C13487" s="1" t="n">
        <v>45736</v>
      </c>
      <c r="D13487" t="inlineStr">
        <is>
          <t>VÄRMLANDS LÄN</t>
        </is>
      </c>
      <c r="E13487" t="inlineStr">
        <is>
          <t>ARVIKA</t>
        </is>
      </c>
      <c r="F13487" t="inlineStr">
        <is>
          <t>Bergvik skog väst AB</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5297-2024</t>
        </is>
      </c>
      <c r="B13488" s="1" t="n">
        <v>45331</v>
      </c>
      <c r="C13488" s="1" t="n">
        <v>45736</v>
      </c>
      <c r="D13488" t="inlineStr">
        <is>
          <t>VÄRMLANDS LÄN</t>
        </is>
      </c>
      <c r="E13488" t="inlineStr">
        <is>
          <t>EDA</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5387-2024</t>
        </is>
      </c>
      <c r="B13489" s="1" t="n">
        <v>45331</v>
      </c>
      <c r="C13489" s="1" t="n">
        <v>45736</v>
      </c>
      <c r="D13489" t="inlineStr">
        <is>
          <t>VÄRMLANDS LÄN</t>
        </is>
      </c>
      <c r="E13489" t="inlineStr">
        <is>
          <t>KARLSTAD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5393-2024</t>
        </is>
      </c>
      <c r="B13490" s="1" t="n">
        <v>45331</v>
      </c>
      <c r="C13490" s="1" t="n">
        <v>45736</v>
      </c>
      <c r="D13490" t="inlineStr">
        <is>
          <t>VÄRMLANDS LÄN</t>
        </is>
      </c>
      <c r="E13490" t="inlineStr">
        <is>
          <t>KIL</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5311-2024</t>
        </is>
      </c>
      <c r="B13491" s="1" t="n">
        <v>45331</v>
      </c>
      <c r="C13491" s="1" t="n">
        <v>45736</v>
      </c>
      <c r="D13491" t="inlineStr">
        <is>
          <t>VÄRMLANDS LÄN</t>
        </is>
      </c>
      <c r="E13491" t="inlineStr">
        <is>
          <t>ARVIKA</t>
        </is>
      </c>
      <c r="F13491" t="inlineStr">
        <is>
          <t>Bergvik skog väst AB</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5332-2024</t>
        </is>
      </c>
      <c r="B13492" s="1" t="n">
        <v>45331</v>
      </c>
      <c r="C13492" s="1" t="n">
        <v>45736</v>
      </c>
      <c r="D13492" t="inlineStr">
        <is>
          <t>VÄRMLANDS LÄN</t>
        </is>
      </c>
      <c r="E13492" t="inlineStr">
        <is>
          <t>ARVIKA</t>
        </is>
      </c>
      <c r="F13492" t="inlineStr">
        <is>
          <t>Bergvik skog väst AB</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5351-2024</t>
        </is>
      </c>
      <c r="B13493" s="1" t="n">
        <v>45331</v>
      </c>
      <c r="C13493" s="1" t="n">
        <v>45736</v>
      </c>
      <c r="D13493" t="inlineStr">
        <is>
          <t>VÄRMLANDS LÄN</t>
        </is>
      </c>
      <c r="E13493" t="inlineStr">
        <is>
          <t>TORSBY</t>
        </is>
      </c>
      <c r="G13493" t="n">
        <v>8.9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5551-2024</t>
        </is>
      </c>
      <c r="B13494" s="1" t="n">
        <v>45332</v>
      </c>
      <c r="C13494" s="1" t="n">
        <v>45736</v>
      </c>
      <c r="D13494" t="inlineStr">
        <is>
          <t>VÄRMLANDS LÄN</t>
        </is>
      </c>
      <c r="E13494" t="inlineStr">
        <is>
          <t>SÄFFLE</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5562-2024</t>
        </is>
      </c>
      <c r="B13495" s="1" t="n">
        <v>45332</v>
      </c>
      <c r="C13495" s="1" t="n">
        <v>45736</v>
      </c>
      <c r="D13495" t="inlineStr">
        <is>
          <t>VÄRMLANDS LÄN</t>
        </is>
      </c>
      <c r="E13495" t="inlineStr">
        <is>
          <t>SÄFFLE</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5484-2024</t>
        </is>
      </c>
      <c r="B13496" s="1" t="n">
        <v>45333</v>
      </c>
      <c r="C13496" s="1" t="n">
        <v>45736</v>
      </c>
      <c r="D13496" t="inlineStr">
        <is>
          <t>VÄRMLANDS LÄN</t>
        </is>
      </c>
      <c r="E13496" t="inlineStr">
        <is>
          <t>SÄFFLE</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5483-2024</t>
        </is>
      </c>
      <c r="B13497" s="1" t="n">
        <v>45333</v>
      </c>
      <c r="C13497" s="1" t="n">
        <v>45736</v>
      </c>
      <c r="D13497" t="inlineStr">
        <is>
          <t>VÄRMLANDS LÄN</t>
        </is>
      </c>
      <c r="E13497" t="inlineStr">
        <is>
          <t>SÄFFLE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5505-2024</t>
        </is>
      </c>
      <c r="B13498" s="1" t="n">
        <v>45334</v>
      </c>
      <c r="C13498" s="1" t="n">
        <v>45736</v>
      </c>
      <c r="D13498" t="inlineStr">
        <is>
          <t>VÄRMLANDS LÄN</t>
        </is>
      </c>
      <c r="E13498" t="inlineStr">
        <is>
          <t>SUNNE</t>
        </is>
      </c>
      <c r="F13498" t="inlineStr">
        <is>
          <t>Bergvik skog väst AB</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5509-2024</t>
        </is>
      </c>
      <c r="B13499" s="1" t="n">
        <v>45334</v>
      </c>
      <c r="C13499" s="1" t="n">
        <v>45736</v>
      </c>
      <c r="D13499" t="inlineStr">
        <is>
          <t>VÄRMLANDS LÄN</t>
        </is>
      </c>
      <c r="E13499" t="inlineStr">
        <is>
          <t>TORSBY</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5507-2024</t>
        </is>
      </c>
      <c r="B13500" s="1" t="n">
        <v>45334</v>
      </c>
      <c r="C13500" s="1" t="n">
        <v>45736</v>
      </c>
      <c r="D13500" t="inlineStr">
        <is>
          <t>VÄRMLANDS LÄN</t>
        </is>
      </c>
      <c r="E13500" t="inlineStr">
        <is>
          <t>ÅRJÄNG</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5523-2024</t>
        </is>
      </c>
      <c r="B13501" s="1" t="n">
        <v>45334</v>
      </c>
      <c r="C13501" s="1" t="n">
        <v>45736</v>
      </c>
      <c r="D13501" t="inlineStr">
        <is>
          <t>VÄRMLANDS LÄN</t>
        </is>
      </c>
      <c r="E13501" t="inlineStr">
        <is>
          <t>SUNNE</t>
        </is>
      </c>
      <c r="F13501" t="inlineStr">
        <is>
          <t>Bergvik skog väst AB</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5652-2024</t>
        </is>
      </c>
      <c r="B13502" s="1" t="n">
        <v>45334</v>
      </c>
      <c r="C13502" s="1" t="n">
        <v>45736</v>
      </c>
      <c r="D13502" t="inlineStr">
        <is>
          <t>VÄRMLANDS LÄN</t>
        </is>
      </c>
      <c r="E13502" t="inlineStr">
        <is>
          <t>SUNNE</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5594-2024</t>
        </is>
      </c>
      <c r="B13503" s="1" t="n">
        <v>45334</v>
      </c>
      <c r="C13503" s="1" t="n">
        <v>45736</v>
      </c>
      <c r="D13503" t="inlineStr">
        <is>
          <t>VÄRMLANDS LÄN</t>
        </is>
      </c>
      <c r="E13503" t="inlineStr">
        <is>
          <t>SÄFFLE</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5612-2024</t>
        </is>
      </c>
      <c r="B13504" s="1" t="n">
        <v>45334</v>
      </c>
      <c r="C13504" s="1" t="n">
        <v>45736</v>
      </c>
      <c r="D13504" t="inlineStr">
        <is>
          <t>VÄRMLANDS LÄN</t>
        </is>
      </c>
      <c r="E13504" t="inlineStr">
        <is>
          <t>HAGFORS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5621-2024</t>
        </is>
      </c>
      <c r="B13505" s="1" t="n">
        <v>45334</v>
      </c>
      <c r="C13505" s="1" t="n">
        <v>45736</v>
      </c>
      <c r="D13505" t="inlineStr">
        <is>
          <t>VÄRMLANDS LÄN</t>
        </is>
      </c>
      <c r="E13505" t="inlineStr">
        <is>
          <t>HAGFORS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5653-2024</t>
        </is>
      </c>
      <c r="B13506" s="1" t="n">
        <v>45334</v>
      </c>
      <c r="C13506" s="1" t="n">
        <v>45736</v>
      </c>
      <c r="D13506" t="inlineStr">
        <is>
          <t>VÄRMLANDS LÄN</t>
        </is>
      </c>
      <c r="E13506" t="inlineStr">
        <is>
          <t>SUNNE</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5741-2024</t>
        </is>
      </c>
      <c r="B13507" s="1" t="n">
        <v>45335</v>
      </c>
      <c r="C13507" s="1" t="n">
        <v>45736</v>
      </c>
      <c r="D13507" t="inlineStr">
        <is>
          <t>VÄRMLANDS LÄN</t>
        </is>
      </c>
      <c r="E13507" t="inlineStr">
        <is>
          <t>ARVIKA</t>
        </is>
      </c>
      <c r="G13507" t="n">
        <v>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5740-2024</t>
        </is>
      </c>
      <c r="B13508" s="1" t="n">
        <v>45335</v>
      </c>
      <c r="C13508" s="1" t="n">
        <v>45736</v>
      </c>
      <c r="D13508" t="inlineStr">
        <is>
          <t>VÄRMLANDS LÄN</t>
        </is>
      </c>
      <c r="E13508" t="inlineStr">
        <is>
          <t>ARVIKA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5744-2024</t>
        </is>
      </c>
      <c r="B13509" s="1" t="n">
        <v>45335</v>
      </c>
      <c r="C13509" s="1" t="n">
        <v>45736</v>
      </c>
      <c r="D13509" t="inlineStr">
        <is>
          <t>VÄRMLANDS LÄN</t>
        </is>
      </c>
      <c r="E13509" t="inlineStr">
        <is>
          <t>ARVIKA</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5746-2024</t>
        </is>
      </c>
      <c r="B13510" s="1" t="n">
        <v>45335</v>
      </c>
      <c r="C13510" s="1" t="n">
        <v>45736</v>
      </c>
      <c r="D13510" t="inlineStr">
        <is>
          <t>VÄRMLANDS LÄN</t>
        </is>
      </c>
      <c r="E13510" t="inlineStr">
        <is>
          <t>KIL</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5796-2024</t>
        </is>
      </c>
      <c r="B13511" s="1" t="n">
        <v>45335</v>
      </c>
      <c r="C13511" s="1" t="n">
        <v>45736</v>
      </c>
      <c r="D13511" t="inlineStr">
        <is>
          <t>VÄRMLANDS LÄN</t>
        </is>
      </c>
      <c r="E13511" t="inlineStr">
        <is>
          <t>HAGFORS</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5778-2024</t>
        </is>
      </c>
      <c r="B13512" s="1" t="n">
        <v>45335</v>
      </c>
      <c r="C13512" s="1" t="n">
        <v>45736</v>
      </c>
      <c r="D13512" t="inlineStr">
        <is>
          <t>VÄRMLANDS LÄN</t>
        </is>
      </c>
      <c r="E13512" t="inlineStr">
        <is>
          <t>HAGFORS</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5790-2024</t>
        </is>
      </c>
      <c r="B13513" s="1" t="n">
        <v>45335</v>
      </c>
      <c r="C13513" s="1" t="n">
        <v>45736</v>
      </c>
      <c r="D13513" t="inlineStr">
        <is>
          <t>VÄRMLANDS LÄN</t>
        </is>
      </c>
      <c r="E13513" t="inlineStr">
        <is>
          <t>HAGFORS</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5814-2024</t>
        </is>
      </c>
      <c r="B13514" s="1" t="n">
        <v>45335</v>
      </c>
      <c r="C13514" s="1" t="n">
        <v>45736</v>
      </c>
      <c r="D13514" t="inlineStr">
        <is>
          <t>VÄRMLANDS LÄN</t>
        </is>
      </c>
      <c r="E13514" t="inlineStr">
        <is>
          <t>TORSBY</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5743-2024</t>
        </is>
      </c>
      <c r="B13515" s="1" t="n">
        <v>45335</v>
      </c>
      <c r="C13515" s="1" t="n">
        <v>45736</v>
      </c>
      <c r="D13515" t="inlineStr">
        <is>
          <t>VÄRMLANDS LÄN</t>
        </is>
      </c>
      <c r="E13515" t="inlineStr">
        <is>
          <t>ARVIKA</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5783-2024</t>
        </is>
      </c>
      <c r="B13516" s="1" t="n">
        <v>45335</v>
      </c>
      <c r="C13516" s="1" t="n">
        <v>45736</v>
      </c>
      <c r="D13516" t="inlineStr">
        <is>
          <t>VÄRMLANDS LÄN</t>
        </is>
      </c>
      <c r="E13516" t="inlineStr">
        <is>
          <t>KARLSTAD</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5864-2024</t>
        </is>
      </c>
      <c r="B13517" s="1" t="n">
        <v>45335</v>
      </c>
      <c r="C13517" s="1" t="n">
        <v>45736</v>
      </c>
      <c r="D13517" t="inlineStr">
        <is>
          <t>VÄRMLANDS LÄN</t>
        </is>
      </c>
      <c r="E13517" t="inlineStr">
        <is>
          <t>KRISTINEHAMN</t>
        </is>
      </c>
      <c r="F13517" t="inlineStr">
        <is>
          <t>Kommuner</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5863-2024</t>
        </is>
      </c>
      <c r="B13518" s="1" t="n">
        <v>45335</v>
      </c>
      <c r="C13518" s="1" t="n">
        <v>45736</v>
      </c>
      <c r="D13518" t="inlineStr">
        <is>
          <t>VÄRMLANDS LÄN</t>
        </is>
      </c>
      <c r="E13518" t="inlineStr">
        <is>
          <t>TORSBY</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5872-2024</t>
        </is>
      </c>
      <c r="B13519" s="1" t="n">
        <v>45335</v>
      </c>
      <c r="C13519" s="1" t="n">
        <v>45736</v>
      </c>
      <c r="D13519" t="inlineStr">
        <is>
          <t>VÄRMLANDS LÄN</t>
        </is>
      </c>
      <c r="E13519" t="inlineStr">
        <is>
          <t>KRISTINEHAMN</t>
        </is>
      </c>
      <c r="F13519" t="inlineStr">
        <is>
          <t>Naturvårdsverket</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5954-2024</t>
        </is>
      </c>
      <c r="B13520" s="1" t="n">
        <v>45336</v>
      </c>
      <c r="C13520" s="1" t="n">
        <v>45736</v>
      </c>
      <c r="D13520" t="inlineStr">
        <is>
          <t>VÄRMLANDS LÄN</t>
        </is>
      </c>
      <c r="E13520" t="inlineStr">
        <is>
          <t>EDA</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5963-2024</t>
        </is>
      </c>
      <c r="B13521" s="1" t="n">
        <v>45336</v>
      </c>
      <c r="C13521" s="1" t="n">
        <v>45736</v>
      </c>
      <c r="D13521" t="inlineStr">
        <is>
          <t>VÄRMLANDS LÄN</t>
        </is>
      </c>
      <c r="E13521" t="inlineStr">
        <is>
          <t>SÄFFLE</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5965-2024</t>
        </is>
      </c>
      <c r="B13522" s="1" t="n">
        <v>45336</v>
      </c>
      <c r="C13522" s="1" t="n">
        <v>45736</v>
      </c>
      <c r="D13522" t="inlineStr">
        <is>
          <t>VÄRMLANDS LÄN</t>
        </is>
      </c>
      <c r="E13522" t="inlineStr">
        <is>
          <t>ARVIKA</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5948-2024</t>
        </is>
      </c>
      <c r="B13523" s="1" t="n">
        <v>45336</v>
      </c>
      <c r="C13523" s="1" t="n">
        <v>45736</v>
      </c>
      <c r="D13523" t="inlineStr">
        <is>
          <t>VÄRMLANDS LÄN</t>
        </is>
      </c>
      <c r="E13523" t="inlineStr">
        <is>
          <t>TORSBY</t>
        </is>
      </c>
      <c r="F13523" t="inlineStr">
        <is>
          <t>Bergvik skog väst AB</t>
        </is>
      </c>
      <c r="G13523" t="n">
        <v>9.300000000000001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6010-2024</t>
        </is>
      </c>
      <c r="B13524" s="1" t="n">
        <v>45336</v>
      </c>
      <c r="C13524" s="1" t="n">
        <v>45736</v>
      </c>
      <c r="D13524" t="inlineStr">
        <is>
          <t>VÄRMLANDS LÄN</t>
        </is>
      </c>
      <c r="E13524" t="inlineStr">
        <is>
          <t>HAGFORS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5953-2024</t>
        </is>
      </c>
      <c r="B13525" s="1" t="n">
        <v>45336</v>
      </c>
      <c r="C13525" s="1" t="n">
        <v>45736</v>
      </c>
      <c r="D13525" t="inlineStr">
        <is>
          <t>VÄRMLANDS LÄN</t>
        </is>
      </c>
      <c r="E13525" t="inlineStr">
        <is>
          <t>EDA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5957-2024</t>
        </is>
      </c>
      <c r="B13526" s="1" t="n">
        <v>45336</v>
      </c>
      <c r="C13526" s="1" t="n">
        <v>45736</v>
      </c>
      <c r="D13526" t="inlineStr">
        <is>
          <t>VÄRMLANDS LÄN</t>
        </is>
      </c>
      <c r="E13526" t="inlineStr">
        <is>
          <t>GRUMS</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6013-2024</t>
        </is>
      </c>
      <c r="B13527" s="1" t="n">
        <v>45336</v>
      </c>
      <c r="C13527" s="1" t="n">
        <v>45736</v>
      </c>
      <c r="D13527" t="inlineStr">
        <is>
          <t>VÄRMLANDS LÄN</t>
        </is>
      </c>
      <c r="E13527" t="inlineStr">
        <is>
          <t>TORSBY</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6107-2024</t>
        </is>
      </c>
      <c r="B13528" s="1" t="n">
        <v>45337</v>
      </c>
      <c r="C13528" s="1" t="n">
        <v>45736</v>
      </c>
      <c r="D13528" t="inlineStr">
        <is>
          <t>VÄRMLANDS LÄN</t>
        </is>
      </c>
      <c r="E13528" t="inlineStr">
        <is>
          <t>ÅRJÄNG</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6135-2024</t>
        </is>
      </c>
      <c r="B13529" s="1" t="n">
        <v>45337</v>
      </c>
      <c r="C13529" s="1" t="n">
        <v>45736</v>
      </c>
      <c r="D13529" t="inlineStr">
        <is>
          <t>VÄRMLANDS LÄN</t>
        </is>
      </c>
      <c r="E13529" t="inlineStr">
        <is>
          <t>HAGFORS</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6220-2024</t>
        </is>
      </c>
      <c r="B13530" s="1" t="n">
        <v>45337</v>
      </c>
      <c r="C13530" s="1" t="n">
        <v>45736</v>
      </c>
      <c r="D13530" t="inlineStr">
        <is>
          <t>VÄRMLANDS LÄN</t>
        </is>
      </c>
      <c r="E13530" t="inlineStr">
        <is>
          <t>KARLSTAD</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6246-2024</t>
        </is>
      </c>
      <c r="B13531" s="1" t="n">
        <v>45337</v>
      </c>
      <c r="C13531" s="1" t="n">
        <v>45736</v>
      </c>
      <c r="D13531" t="inlineStr">
        <is>
          <t>VÄRMLANDS LÄN</t>
        </is>
      </c>
      <c r="E13531" t="inlineStr">
        <is>
          <t>KRISTINEHAMN</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6254-2024</t>
        </is>
      </c>
      <c r="B13532" s="1" t="n">
        <v>45337</v>
      </c>
      <c r="C13532" s="1" t="n">
        <v>45736</v>
      </c>
      <c r="D13532" t="inlineStr">
        <is>
          <t>VÄRMLANDS LÄN</t>
        </is>
      </c>
      <c r="E13532" t="inlineStr">
        <is>
          <t>SÄFFLE</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6162-2024</t>
        </is>
      </c>
      <c r="B13533" s="1" t="n">
        <v>45337</v>
      </c>
      <c r="C13533" s="1" t="n">
        <v>45736</v>
      </c>
      <c r="D13533" t="inlineStr">
        <is>
          <t>VÄRMLANDS LÄN</t>
        </is>
      </c>
      <c r="E13533" t="inlineStr">
        <is>
          <t>STORFORS</t>
        </is>
      </c>
      <c r="F13533" t="inlineStr">
        <is>
          <t>Naturvårdsverket</t>
        </is>
      </c>
      <c r="G13533" t="n">
        <v>15.7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6118-2024</t>
        </is>
      </c>
      <c r="B13534" s="1" t="n">
        <v>45337</v>
      </c>
      <c r="C13534" s="1" t="n">
        <v>45736</v>
      </c>
      <c r="D13534" t="inlineStr">
        <is>
          <t>VÄRMLANDS LÄN</t>
        </is>
      </c>
      <c r="E13534" t="inlineStr">
        <is>
          <t>FORSHAGA</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6318-2024</t>
        </is>
      </c>
      <c r="B13535" s="1" t="n">
        <v>45338</v>
      </c>
      <c r="C13535" s="1" t="n">
        <v>45736</v>
      </c>
      <c r="D13535" t="inlineStr">
        <is>
          <t>VÄRMLANDS LÄN</t>
        </is>
      </c>
      <c r="E13535" t="inlineStr">
        <is>
          <t>EDA</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6317-2024</t>
        </is>
      </c>
      <c r="B13536" s="1" t="n">
        <v>45338</v>
      </c>
      <c r="C13536" s="1" t="n">
        <v>45736</v>
      </c>
      <c r="D13536" t="inlineStr">
        <is>
          <t>VÄRMLANDS LÄN</t>
        </is>
      </c>
      <c r="E13536" t="inlineStr">
        <is>
          <t>EDA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6321-2024</t>
        </is>
      </c>
      <c r="B13537" s="1" t="n">
        <v>45338</v>
      </c>
      <c r="C13537" s="1" t="n">
        <v>45736</v>
      </c>
      <c r="D13537" t="inlineStr">
        <is>
          <t>VÄRMLANDS LÄN</t>
        </is>
      </c>
      <c r="E13537" t="inlineStr">
        <is>
          <t>EDA</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6371-2024</t>
        </is>
      </c>
      <c r="B13538" s="1" t="n">
        <v>45338</v>
      </c>
      <c r="C13538" s="1" t="n">
        <v>45736</v>
      </c>
      <c r="D13538" t="inlineStr">
        <is>
          <t>VÄRMLANDS LÄN</t>
        </is>
      </c>
      <c r="E13538" t="inlineStr">
        <is>
          <t>TORSBY</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6405-2024</t>
        </is>
      </c>
      <c r="B13539" s="1" t="n">
        <v>45338</v>
      </c>
      <c r="C13539" s="1" t="n">
        <v>45736</v>
      </c>
      <c r="D13539" t="inlineStr">
        <is>
          <t>VÄRMLANDS LÄN</t>
        </is>
      </c>
      <c r="E13539" t="inlineStr">
        <is>
          <t>ÅRJÄNG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6320-2024</t>
        </is>
      </c>
      <c r="B13540" s="1" t="n">
        <v>45338</v>
      </c>
      <c r="C13540" s="1" t="n">
        <v>45736</v>
      </c>
      <c r="D13540" t="inlineStr">
        <is>
          <t>VÄRMLANDS LÄN</t>
        </is>
      </c>
      <c r="E13540" t="inlineStr">
        <is>
          <t>EDA</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6354-2024</t>
        </is>
      </c>
      <c r="B13541" s="1" t="n">
        <v>45338</v>
      </c>
      <c r="C13541" s="1" t="n">
        <v>45736</v>
      </c>
      <c r="D13541" t="inlineStr">
        <is>
          <t>VÄRMLANDS LÄN</t>
        </is>
      </c>
      <c r="E13541" t="inlineStr">
        <is>
          <t>ÅRJÄNG</t>
        </is>
      </c>
      <c r="F13541" t="inlineStr">
        <is>
          <t>Bergvik skog väst AB</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6404-2024</t>
        </is>
      </c>
      <c r="B13542" s="1" t="n">
        <v>45338</v>
      </c>
      <c r="C13542" s="1" t="n">
        <v>45736</v>
      </c>
      <c r="D13542" t="inlineStr">
        <is>
          <t>VÄRMLANDS LÄN</t>
        </is>
      </c>
      <c r="E13542" t="inlineStr">
        <is>
          <t>HAGFORS</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6413-2024</t>
        </is>
      </c>
      <c r="B13543" s="1" t="n">
        <v>45338</v>
      </c>
      <c r="C13543" s="1" t="n">
        <v>45736</v>
      </c>
      <c r="D13543" t="inlineStr">
        <is>
          <t>VÄRMLANDS LÄN</t>
        </is>
      </c>
      <c r="E13543" t="inlineStr">
        <is>
          <t>ARVIKA</t>
        </is>
      </c>
      <c r="G13543" t="n">
        <v>7.3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6437-2024</t>
        </is>
      </c>
      <c r="B13544" s="1" t="n">
        <v>45338</v>
      </c>
      <c r="C13544" s="1" t="n">
        <v>45736</v>
      </c>
      <c r="D13544" t="inlineStr">
        <is>
          <t>VÄRMLANDS LÄN</t>
        </is>
      </c>
      <c r="E13544" t="inlineStr">
        <is>
          <t>HAGFORS</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6582-2024</t>
        </is>
      </c>
      <c r="B13545" s="1" t="n">
        <v>45341</v>
      </c>
      <c r="C13545" s="1" t="n">
        <v>45736</v>
      </c>
      <c r="D13545" t="inlineStr">
        <is>
          <t>VÄRMLANDS LÄN</t>
        </is>
      </c>
      <c r="E13545" t="inlineStr">
        <is>
          <t>EDA</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6602-2024</t>
        </is>
      </c>
      <c r="B13546" s="1" t="n">
        <v>45341</v>
      </c>
      <c r="C13546" s="1" t="n">
        <v>45736</v>
      </c>
      <c r="D13546" t="inlineStr">
        <is>
          <t>VÄRMLANDS LÄN</t>
        </is>
      </c>
      <c r="E13546" t="inlineStr">
        <is>
          <t>ARVIKA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6636-2024</t>
        </is>
      </c>
      <c r="B13547" s="1" t="n">
        <v>45341</v>
      </c>
      <c r="C13547" s="1" t="n">
        <v>45736</v>
      </c>
      <c r="D13547" t="inlineStr">
        <is>
          <t>VÄRMLANDS LÄN</t>
        </is>
      </c>
      <c r="E13547" t="inlineStr">
        <is>
          <t>KRISTINEHAMN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6640-2024</t>
        </is>
      </c>
      <c r="B13548" s="1" t="n">
        <v>45341</v>
      </c>
      <c r="C13548" s="1" t="n">
        <v>45736</v>
      </c>
      <c r="D13548" t="inlineStr">
        <is>
          <t>VÄRMLANDS LÄN</t>
        </is>
      </c>
      <c r="E13548" t="inlineStr">
        <is>
          <t>KRISTINEHAMN</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6644-2024</t>
        </is>
      </c>
      <c r="B13549" s="1" t="n">
        <v>45341</v>
      </c>
      <c r="C13549" s="1" t="n">
        <v>45736</v>
      </c>
      <c r="D13549" t="inlineStr">
        <is>
          <t>VÄRMLANDS LÄN</t>
        </is>
      </c>
      <c r="E13549" t="inlineStr">
        <is>
          <t>KRISTINEHAMN</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6648-2024</t>
        </is>
      </c>
      <c r="B13550" s="1" t="n">
        <v>45341</v>
      </c>
      <c r="C13550" s="1" t="n">
        <v>45736</v>
      </c>
      <c r="D13550" t="inlineStr">
        <is>
          <t>VÄRMLANDS LÄN</t>
        </is>
      </c>
      <c r="E13550" t="inlineStr">
        <is>
          <t>TORSBY</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6614-2024</t>
        </is>
      </c>
      <c r="B13551" s="1" t="n">
        <v>45341</v>
      </c>
      <c r="C13551" s="1" t="n">
        <v>45736</v>
      </c>
      <c r="D13551" t="inlineStr">
        <is>
          <t>VÄRMLANDS LÄN</t>
        </is>
      </c>
      <c r="E13551" t="inlineStr">
        <is>
          <t>SÄFFLE</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6646-2024</t>
        </is>
      </c>
      <c r="B13552" s="1" t="n">
        <v>45341</v>
      </c>
      <c r="C13552" s="1" t="n">
        <v>45736</v>
      </c>
      <c r="D13552" t="inlineStr">
        <is>
          <t>VÄRMLANDS LÄN</t>
        </is>
      </c>
      <c r="E13552" t="inlineStr">
        <is>
          <t>TORSBY</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6641-2024</t>
        </is>
      </c>
      <c r="B13553" s="1" t="n">
        <v>45341</v>
      </c>
      <c r="C13553" s="1" t="n">
        <v>45736</v>
      </c>
      <c r="D13553" t="inlineStr">
        <is>
          <t>VÄRMLANDS LÄN</t>
        </is>
      </c>
      <c r="E13553" t="inlineStr">
        <is>
          <t>SUNNE</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6675-2024</t>
        </is>
      </c>
      <c r="B13554" s="1" t="n">
        <v>45341</v>
      </c>
      <c r="C13554" s="1" t="n">
        <v>45736</v>
      </c>
      <c r="D13554" t="inlineStr">
        <is>
          <t>VÄRMLANDS LÄN</t>
        </is>
      </c>
      <c r="E13554" t="inlineStr">
        <is>
          <t>TORSBY</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6828-2024</t>
        </is>
      </c>
      <c r="B13555" s="1" t="n">
        <v>45342</v>
      </c>
      <c r="C13555" s="1" t="n">
        <v>45736</v>
      </c>
      <c r="D13555" t="inlineStr">
        <is>
          <t>VÄRMLANDS LÄN</t>
        </is>
      </c>
      <c r="E13555" t="inlineStr">
        <is>
          <t>TORSBY</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6732-2024</t>
        </is>
      </c>
      <c r="B13556" s="1" t="n">
        <v>45342</v>
      </c>
      <c r="C13556" s="1" t="n">
        <v>45736</v>
      </c>
      <c r="D13556" t="inlineStr">
        <is>
          <t>VÄRMLANDS LÄN</t>
        </is>
      </c>
      <c r="E13556" t="inlineStr">
        <is>
          <t>GRUMS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6741-2024</t>
        </is>
      </c>
      <c r="B13557" s="1" t="n">
        <v>45342</v>
      </c>
      <c r="C13557" s="1" t="n">
        <v>45736</v>
      </c>
      <c r="D13557" t="inlineStr">
        <is>
          <t>VÄRMLANDS LÄN</t>
        </is>
      </c>
      <c r="E13557" t="inlineStr">
        <is>
          <t>SÄFFLE</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6829-2024</t>
        </is>
      </c>
      <c r="B13558" s="1" t="n">
        <v>45342</v>
      </c>
      <c r="C13558" s="1" t="n">
        <v>45736</v>
      </c>
      <c r="D13558" t="inlineStr">
        <is>
          <t>VÄRMLANDS LÄN</t>
        </is>
      </c>
      <c r="E13558" t="inlineStr">
        <is>
          <t>SÄFFLE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6860-2024</t>
        </is>
      </c>
      <c r="B13559" s="1" t="n">
        <v>45342</v>
      </c>
      <c r="C13559" s="1" t="n">
        <v>45736</v>
      </c>
      <c r="D13559" t="inlineStr">
        <is>
          <t>VÄRMLANDS LÄN</t>
        </is>
      </c>
      <c r="E13559" t="inlineStr">
        <is>
          <t>FILIPSTAD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6868-2024</t>
        </is>
      </c>
      <c r="B13560" s="1" t="n">
        <v>45342</v>
      </c>
      <c r="C13560" s="1" t="n">
        <v>45736</v>
      </c>
      <c r="D13560" t="inlineStr">
        <is>
          <t>VÄRMLANDS LÄN</t>
        </is>
      </c>
      <c r="E13560" t="inlineStr">
        <is>
          <t>ARVIKA</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6910-2024</t>
        </is>
      </c>
      <c r="B13561" s="1" t="n">
        <v>45343</v>
      </c>
      <c r="C13561" s="1" t="n">
        <v>45736</v>
      </c>
      <c r="D13561" t="inlineStr">
        <is>
          <t>VÄRMLANDS LÄN</t>
        </is>
      </c>
      <c r="E13561" t="inlineStr">
        <is>
          <t>HAGFORS</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6926-2024</t>
        </is>
      </c>
      <c r="B13562" s="1" t="n">
        <v>45343</v>
      </c>
      <c r="C13562" s="1" t="n">
        <v>45736</v>
      </c>
      <c r="D13562" t="inlineStr">
        <is>
          <t>VÄRMLANDS LÄN</t>
        </is>
      </c>
      <c r="E13562" t="inlineStr">
        <is>
          <t>SUNNE</t>
        </is>
      </c>
      <c r="G13562" t="n">
        <v>7.4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6935-2024</t>
        </is>
      </c>
      <c r="B13563" s="1" t="n">
        <v>45343</v>
      </c>
      <c r="C13563" s="1" t="n">
        <v>45736</v>
      </c>
      <c r="D13563" t="inlineStr">
        <is>
          <t>VÄRMLANDS LÄN</t>
        </is>
      </c>
      <c r="E13563" t="inlineStr">
        <is>
          <t>EDA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6943-2024</t>
        </is>
      </c>
      <c r="B13564" s="1" t="n">
        <v>45343</v>
      </c>
      <c r="C13564" s="1" t="n">
        <v>45736</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6956-2024</t>
        </is>
      </c>
      <c r="B13565" s="1" t="n">
        <v>45343</v>
      </c>
      <c r="C13565" s="1" t="n">
        <v>45736</v>
      </c>
      <c r="D13565" t="inlineStr">
        <is>
          <t>VÄRMLANDS LÄN</t>
        </is>
      </c>
      <c r="E13565" t="inlineStr">
        <is>
          <t>ARVIKA</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6916-2024</t>
        </is>
      </c>
      <c r="B13566" s="1" t="n">
        <v>45343</v>
      </c>
      <c r="C13566" s="1" t="n">
        <v>45736</v>
      </c>
      <c r="D13566" t="inlineStr">
        <is>
          <t>VÄRMLANDS LÄN</t>
        </is>
      </c>
      <c r="E13566" t="inlineStr">
        <is>
          <t>ARVIKA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6984-2024</t>
        </is>
      </c>
      <c r="B13567" s="1" t="n">
        <v>45343</v>
      </c>
      <c r="C13567" s="1" t="n">
        <v>45736</v>
      </c>
      <c r="D13567" t="inlineStr">
        <is>
          <t>VÄRMLANDS LÄN</t>
        </is>
      </c>
      <c r="E13567" t="inlineStr">
        <is>
          <t>EDA</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7053-2024</t>
        </is>
      </c>
      <c r="B13568" s="1" t="n">
        <v>45343</v>
      </c>
      <c r="C13568" s="1" t="n">
        <v>45736</v>
      </c>
      <c r="D13568" t="inlineStr">
        <is>
          <t>VÄRMLANDS LÄN</t>
        </is>
      </c>
      <c r="E13568" t="inlineStr">
        <is>
          <t>ARVIKA</t>
        </is>
      </c>
      <c r="F13568" t="inlineStr">
        <is>
          <t>Bergvik skog väst AB</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7002-2024</t>
        </is>
      </c>
      <c r="B13569" s="1" t="n">
        <v>45343</v>
      </c>
      <c r="C13569" s="1" t="n">
        <v>45736</v>
      </c>
      <c r="D13569" t="inlineStr">
        <is>
          <t>VÄRMLANDS LÄN</t>
        </is>
      </c>
      <c r="E13569" t="inlineStr">
        <is>
          <t>KRISTINEHAMN</t>
        </is>
      </c>
      <c r="F13569" t="inlineStr">
        <is>
          <t>Kommuner</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6938-2024</t>
        </is>
      </c>
      <c r="B13570" s="1" t="n">
        <v>45343</v>
      </c>
      <c r="C13570" s="1" t="n">
        <v>45736</v>
      </c>
      <c r="D13570" t="inlineStr">
        <is>
          <t>VÄRMLANDS LÄN</t>
        </is>
      </c>
      <c r="E13570" t="inlineStr">
        <is>
          <t>GRUMS</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6942-2024</t>
        </is>
      </c>
      <c r="B13571" s="1" t="n">
        <v>45343</v>
      </c>
      <c r="C13571" s="1" t="n">
        <v>45736</v>
      </c>
      <c r="D13571" t="inlineStr">
        <is>
          <t>VÄRMLANDS LÄN</t>
        </is>
      </c>
      <c r="E13571" t="inlineStr">
        <is>
          <t>TORSBY</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6946-2024</t>
        </is>
      </c>
      <c r="B13572" s="1" t="n">
        <v>45343</v>
      </c>
      <c r="C13572" s="1" t="n">
        <v>45736</v>
      </c>
      <c r="D13572" t="inlineStr">
        <is>
          <t>VÄRMLANDS LÄN</t>
        </is>
      </c>
      <c r="E13572" t="inlineStr">
        <is>
          <t>KARLSTAD</t>
        </is>
      </c>
      <c r="G13572" t="n">
        <v>5.9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6959-2024</t>
        </is>
      </c>
      <c r="B13573" s="1" t="n">
        <v>45343</v>
      </c>
      <c r="C13573" s="1" t="n">
        <v>45736</v>
      </c>
      <c r="D13573" t="inlineStr">
        <is>
          <t>VÄRMLANDS LÄN</t>
        </is>
      </c>
      <c r="E13573" t="inlineStr">
        <is>
          <t>SÄFFLE</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6975-2024</t>
        </is>
      </c>
      <c r="B13574" s="1" t="n">
        <v>45343</v>
      </c>
      <c r="C13574" s="1" t="n">
        <v>45736</v>
      </c>
      <c r="D13574" t="inlineStr">
        <is>
          <t>VÄRMLANDS LÄN</t>
        </is>
      </c>
      <c r="E13574" t="inlineStr">
        <is>
          <t>SUNNE</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6999-2024</t>
        </is>
      </c>
      <c r="B13575" s="1" t="n">
        <v>45343</v>
      </c>
      <c r="C13575" s="1" t="n">
        <v>45736</v>
      </c>
      <c r="D13575" t="inlineStr">
        <is>
          <t>VÄRMLANDS LÄN</t>
        </is>
      </c>
      <c r="E13575" t="inlineStr">
        <is>
          <t>SUNNE</t>
        </is>
      </c>
      <c r="G13575" t="n">
        <v>11.3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7036-2024</t>
        </is>
      </c>
      <c r="B13576" s="1" t="n">
        <v>45343</v>
      </c>
      <c r="C13576" s="1" t="n">
        <v>45736</v>
      </c>
      <c r="D13576" t="inlineStr">
        <is>
          <t>VÄRMLANDS LÄN</t>
        </is>
      </c>
      <c r="E13576" t="inlineStr">
        <is>
          <t>SUNNE</t>
        </is>
      </c>
      <c r="G13576" t="n">
        <v>10.4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7071-2024</t>
        </is>
      </c>
      <c r="B13577" s="1" t="n">
        <v>45343</v>
      </c>
      <c r="C13577" s="1" t="n">
        <v>45736</v>
      </c>
      <c r="D13577" t="inlineStr">
        <is>
          <t>VÄRMLANDS LÄN</t>
        </is>
      </c>
      <c r="E13577" t="inlineStr">
        <is>
          <t>FILIPSTAD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7057-2024</t>
        </is>
      </c>
      <c r="B13578" s="1" t="n">
        <v>45343</v>
      </c>
      <c r="C13578" s="1" t="n">
        <v>45736</v>
      </c>
      <c r="D13578" t="inlineStr">
        <is>
          <t>VÄRMLANDS LÄN</t>
        </is>
      </c>
      <c r="E13578" t="inlineStr">
        <is>
          <t>SUNNE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7100-2024</t>
        </is>
      </c>
      <c r="B13579" s="1" t="n">
        <v>45343</v>
      </c>
      <c r="C13579" s="1" t="n">
        <v>45736</v>
      </c>
      <c r="D13579" t="inlineStr">
        <is>
          <t>VÄRMLANDS LÄN</t>
        </is>
      </c>
      <c r="E13579" t="inlineStr">
        <is>
          <t>ÅRJÄNG</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7098-2024</t>
        </is>
      </c>
      <c r="B13580" s="1" t="n">
        <v>45343</v>
      </c>
      <c r="C13580" s="1" t="n">
        <v>45736</v>
      </c>
      <c r="D13580" t="inlineStr">
        <is>
          <t>VÄRMLANDS LÄN</t>
        </is>
      </c>
      <c r="E13580" t="inlineStr">
        <is>
          <t>ÅRJÄNG</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7165-2024</t>
        </is>
      </c>
      <c r="B13581" s="1" t="n">
        <v>45344</v>
      </c>
      <c r="C13581" s="1" t="n">
        <v>45736</v>
      </c>
      <c r="D13581" t="inlineStr">
        <is>
          <t>VÄRMLANDS LÄN</t>
        </is>
      </c>
      <c r="E13581" t="inlineStr">
        <is>
          <t>SUNNE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7193-2024</t>
        </is>
      </c>
      <c r="B13582" s="1" t="n">
        <v>45344</v>
      </c>
      <c r="C13582" s="1" t="n">
        <v>45736</v>
      </c>
      <c r="D13582" t="inlineStr">
        <is>
          <t>VÄRMLANDS LÄN</t>
        </is>
      </c>
      <c r="E13582" t="inlineStr">
        <is>
          <t>ÅRJÄNG</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7221-2024</t>
        </is>
      </c>
      <c r="B13583" s="1" t="n">
        <v>45344</v>
      </c>
      <c r="C13583" s="1" t="n">
        <v>45736</v>
      </c>
      <c r="D13583" t="inlineStr">
        <is>
          <t>VÄRMLANDS LÄN</t>
        </is>
      </c>
      <c r="E13583" t="inlineStr">
        <is>
          <t>TORSBY</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7139-2024</t>
        </is>
      </c>
      <c r="B13584" s="1" t="n">
        <v>45344</v>
      </c>
      <c r="C13584" s="1" t="n">
        <v>45736</v>
      </c>
      <c r="D13584" t="inlineStr">
        <is>
          <t>VÄRMLANDS LÄN</t>
        </is>
      </c>
      <c r="E13584" t="inlineStr">
        <is>
          <t>ARVIKA</t>
        </is>
      </c>
      <c r="F13584" t="inlineStr">
        <is>
          <t>Bergvik skog väst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7182-2024</t>
        </is>
      </c>
      <c r="B13585" s="1" t="n">
        <v>45344</v>
      </c>
      <c r="C13585" s="1" t="n">
        <v>45736</v>
      </c>
      <c r="D13585" t="inlineStr">
        <is>
          <t>VÄRMLANDS LÄN</t>
        </is>
      </c>
      <c r="E13585" t="inlineStr">
        <is>
          <t>ÅRJÄNG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7167-2024</t>
        </is>
      </c>
      <c r="B13586" s="1" t="n">
        <v>45344</v>
      </c>
      <c r="C13586" s="1" t="n">
        <v>45736</v>
      </c>
      <c r="D13586" t="inlineStr">
        <is>
          <t>VÄRMLANDS LÄN</t>
        </is>
      </c>
      <c r="E13586" t="inlineStr">
        <is>
          <t>SUNNE</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7171-2024</t>
        </is>
      </c>
      <c r="B13587" s="1" t="n">
        <v>45344</v>
      </c>
      <c r="C13587" s="1" t="n">
        <v>45736</v>
      </c>
      <c r="D13587" t="inlineStr">
        <is>
          <t>VÄRMLANDS LÄN</t>
        </is>
      </c>
      <c r="E13587" t="inlineStr">
        <is>
          <t>HAGFORS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7198-2024</t>
        </is>
      </c>
      <c r="B13588" s="1" t="n">
        <v>45344</v>
      </c>
      <c r="C13588" s="1" t="n">
        <v>45736</v>
      </c>
      <c r="D13588" t="inlineStr">
        <is>
          <t>VÄRMLANDS LÄN</t>
        </is>
      </c>
      <c r="E13588" t="inlineStr">
        <is>
          <t>ARVIKA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7206-2024</t>
        </is>
      </c>
      <c r="B13589" s="1" t="n">
        <v>45344</v>
      </c>
      <c r="C13589" s="1" t="n">
        <v>45736</v>
      </c>
      <c r="D13589" t="inlineStr">
        <is>
          <t>VÄRMLANDS LÄN</t>
        </is>
      </c>
      <c r="E13589" t="inlineStr">
        <is>
          <t>ÅRJÄNG</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7223-2024</t>
        </is>
      </c>
      <c r="B13590" s="1" t="n">
        <v>45344</v>
      </c>
      <c r="C13590" s="1" t="n">
        <v>45736</v>
      </c>
      <c r="D13590" t="inlineStr">
        <is>
          <t>VÄRMLANDS LÄN</t>
        </is>
      </c>
      <c r="E13590" t="inlineStr">
        <is>
          <t>FILIPSTAD</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7227-2024</t>
        </is>
      </c>
      <c r="B13591" s="1" t="n">
        <v>45344</v>
      </c>
      <c r="C13591" s="1" t="n">
        <v>45736</v>
      </c>
      <c r="D13591" t="inlineStr">
        <is>
          <t>VÄRMLANDS LÄN</t>
        </is>
      </c>
      <c r="E13591" t="inlineStr">
        <is>
          <t>KRISTINEHAMN</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7222-2024</t>
        </is>
      </c>
      <c r="B13592" s="1" t="n">
        <v>45344</v>
      </c>
      <c r="C13592" s="1" t="n">
        <v>45736</v>
      </c>
      <c r="D13592" t="inlineStr">
        <is>
          <t>VÄRMLANDS LÄN</t>
        </is>
      </c>
      <c r="E13592" t="inlineStr">
        <is>
          <t>KRISTINEHAMN</t>
        </is>
      </c>
      <c r="F13592" t="inlineStr">
        <is>
          <t>Naturvårdsverket</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7230-2024</t>
        </is>
      </c>
      <c r="B13593" s="1" t="n">
        <v>45344</v>
      </c>
      <c r="C13593" s="1" t="n">
        <v>45736</v>
      </c>
      <c r="D13593" t="inlineStr">
        <is>
          <t>VÄRMLANDS LÄN</t>
        </is>
      </c>
      <c r="E13593" t="inlineStr">
        <is>
          <t>KRISTINEHAMN</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7164-2024</t>
        </is>
      </c>
      <c r="B13594" s="1" t="n">
        <v>45344</v>
      </c>
      <c r="C13594" s="1" t="n">
        <v>45736</v>
      </c>
      <c r="D13594" t="inlineStr">
        <is>
          <t>VÄRMLANDS LÄN</t>
        </is>
      </c>
      <c r="E13594" t="inlineStr">
        <is>
          <t>SUNNE</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7168-2024</t>
        </is>
      </c>
      <c r="B13595" s="1" t="n">
        <v>45344</v>
      </c>
      <c r="C13595" s="1" t="n">
        <v>45736</v>
      </c>
      <c r="D13595" t="inlineStr">
        <is>
          <t>VÄRMLANDS LÄN</t>
        </is>
      </c>
      <c r="E13595" t="inlineStr">
        <is>
          <t>SUNNE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7184-2024</t>
        </is>
      </c>
      <c r="B13596" s="1" t="n">
        <v>45344</v>
      </c>
      <c r="C13596" s="1" t="n">
        <v>45736</v>
      </c>
      <c r="D13596" t="inlineStr">
        <is>
          <t>VÄRMLANDS LÄN</t>
        </is>
      </c>
      <c r="E13596" t="inlineStr">
        <is>
          <t>ÅRJÄNG</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7196-2024</t>
        </is>
      </c>
      <c r="B13597" s="1" t="n">
        <v>45344</v>
      </c>
      <c r="C13597" s="1" t="n">
        <v>45736</v>
      </c>
      <c r="D13597" t="inlineStr">
        <is>
          <t>VÄRMLANDS LÄN</t>
        </is>
      </c>
      <c r="E13597" t="inlineStr">
        <is>
          <t>ARVIKA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7315-2024</t>
        </is>
      </c>
      <c r="B13598" s="1" t="n">
        <v>45345</v>
      </c>
      <c r="C13598" s="1" t="n">
        <v>45736</v>
      </c>
      <c r="D13598" t="inlineStr">
        <is>
          <t>VÄRMLANDS LÄN</t>
        </is>
      </c>
      <c r="E13598" t="inlineStr">
        <is>
          <t>SUNNE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7443-2024</t>
        </is>
      </c>
      <c r="B13599" s="1" t="n">
        <v>45345</v>
      </c>
      <c r="C13599" s="1" t="n">
        <v>45736</v>
      </c>
      <c r="D13599" t="inlineStr">
        <is>
          <t>VÄRMLANDS LÄN</t>
        </is>
      </c>
      <c r="E13599" t="inlineStr">
        <is>
          <t>ÅRJÄNG</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7445-2024</t>
        </is>
      </c>
      <c r="B13600" s="1" t="n">
        <v>45345</v>
      </c>
      <c r="C13600" s="1" t="n">
        <v>45736</v>
      </c>
      <c r="D13600" t="inlineStr">
        <is>
          <t>VÄRMLANDS LÄN</t>
        </is>
      </c>
      <c r="E13600" t="inlineStr">
        <is>
          <t>ÅRJÄNG</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7339-2024</t>
        </is>
      </c>
      <c r="B13601" s="1" t="n">
        <v>45345</v>
      </c>
      <c r="C13601" s="1" t="n">
        <v>45736</v>
      </c>
      <c r="D13601" t="inlineStr">
        <is>
          <t>VÄRMLANDS LÄN</t>
        </is>
      </c>
      <c r="E13601" t="inlineStr">
        <is>
          <t>SUNNE</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7444-2024</t>
        </is>
      </c>
      <c r="B13602" s="1" t="n">
        <v>45345</v>
      </c>
      <c r="C13602" s="1" t="n">
        <v>45736</v>
      </c>
      <c r="D13602" t="inlineStr">
        <is>
          <t>VÄRMLANDS LÄN</t>
        </is>
      </c>
      <c r="E13602" t="inlineStr">
        <is>
          <t>ÅRJÄNG</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7401-2024</t>
        </is>
      </c>
      <c r="B13603" s="1" t="n">
        <v>45345</v>
      </c>
      <c r="C13603" s="1" t="n">
        <v>45736</v>
      </c>
      <c r="D13603" t="inlineStr">
        <is>
          <t>VÄRMLANDS LÄN</t>
        </is>
      </c>
      <c r="E13603" t="inlineStr">
        <is>
          <t>ÅRJÄNG</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7490-2024</t>
        </is>
      </c>
      <c r="B13604" s="1" t="n">
        <v>45346</v>
      </c>
      <c r="C13604" s="1" t="n">
        <v>45736</v>
      </c>
      <c r="D13604" t="inlineStr">
        <is>
          <t>VÄRMLANDS LÄN</t>
        </is>
      </c>
      <c r="E13604" t="inlineStr">
        <is>
          <t>TORSBY</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7494-2024</t>
        </is>
      </c>
      <c r="B13605" s="1" t="n">
        <v>45346</v>
      </c>
      <c r="C13605" s="1" t="n">
        <v>45736</v>
      </c>
      <c r="D13605" t="inlineStr">
        <is>
          <t>VÄRMLANDS LÄN</t>
        </is>
      </c>
      <c r="E13605" t="inlineStr">
        <is>
          <t>TORSBY</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7487-2024</t>
        </is>
      </c>
      <c r="B13606" s="1" t="n">
        <v>45346</v>
      </c>
      <c r="C13606" s="1" t="n">
        <v>45736</v>
      </c>
      <c r="D13606" t="inlineStr">
        <is>
          <t>VÄRMLANDS LÄN</t>
        </is>
      </c>
      <c r="E13606" t="inlineStr">
        <is>
          <t>TORSBY</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7491-2024</t>
        </is>
      </c>
      <c r="B13607" s="1" t="n">
        <v>45346</v>
      </c>
      <c r="C13607" s="1" t="n">
        <v>45736</v>
      </c>
      <c r="D13607" t="inlineStr">
        <is>
          <t>VÄRMLANDS LÄN</t>
        </is>
      </c>
      <c r="E13607" t="inlineStr">
        <is>
          <t>TORSBY</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7495-2024</t>
        </is>
      </c>
      <c r="B13608" s="1" t="n">
        <v>45346</v>
      </c>
      <c r="C13608" s="1" t="n">
        <v>45736</v>
      </c>
      <c r="D13608" t="inlineStr">
        <is>
          <t>VÄRMLANDS LÄN</t>
        </is>
      </c>
      <c r="E13608" t="inlineStr">
        <is>
          <t>SUNNE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7489-2024</t>
        </is>
      </c>
      <c r="B13609" s="1" t="n">
        <v>45346</v>
      </c>
      <c r="C13609" s="1" t="n">
        <v>45736</v>
      </c>
      <c r="D13609" t="inlineStr">
        <is>
          <t>VÄRMLANDS LÄN</t>
        </is>
      </c>
      <c r="E13609" t="inlineStr">
        <is>
          <t>TORSBY</t>
        </is>
      </c>
      <c r="G13609" t="n">
        <v>13.2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7493-2024</t>
        </is>
      </c>
      <c r="B13610" s="1" t="n">
        <v>45346</v>
      </c>
      <c r="C13610" s="1" t="n">
        <v>45736</v>
      </c>
      <c r="D13610" t="inlineStr">
        <is>
          <t>VÄRMLANDS LÄN</t>
        </is>
      </c>
      <c r="E13610" t="inlineStr">
        <is>
          <t>TORSBY</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7488-2024</t>
        </is>
      </c>
      <c r="B13611" s="1" t="n">
        <v>45346</v>
      </c>
      <c r="C13611" s="1" t="n">
        <v>45736</v>
      </c>
      <c r="D13611" t="inlineStr">
        <is>
          <t>VÄRMLANDS LÄN</t>
        </is>
      </c>
      <c r="E13611" t="inlineStr">
        <is>
          <t>TORSBY</t>
        </is>
      </c>
      <c r="G13611" t="n">
        <v>9.4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7496-2024</t>
        </is>
      </c>
      <c r="B13612" s="1" t="n">
        <v>45346</v>
      </c>
      <c r="C13612" s="1" t="n">
        <v>45736</v>
      </c>
      <c r="D13612" t="inlineStr">
        <is>
          <t>VÄRMLANDS LÄN</t>
        </is>
      </c>
      <c r="E13612" t="inlineStr">
        <is>
          <t>SUNNE</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7500-2024</t>
        </is>
      </c>
      <c r="B13613" s="1" t="n">
        <v>45347</v>
      </c>
      <c r="C13613" s="1" t="n">
        <v>45736</v>
      </c>
      <c r="D13613" t="inlineStr">
        <is>
          <t>VÄRMLANDS LÄN</t>
        </is>
      </c>
      <c r="E13613" t="inlineStr">
        <is>
          <t>TORSBY</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7577-2024</t>
        </is>
      </c>
      <c r="B13614" s="1" t="n">
        <v>45348</v>
      </c>
      <c r="C13614" s="1" t="n">
        <v>45736</v>
      </c>
      <c r="D13614" t="inlineStr">
        <is>
          <t>VÄRMLANDS LÄN</t>
        </is>
      </c>
      <c r="E13614" t="inlineStr">
        <is>
          <t>ARVIKA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7651-2024</t>
        </is>
      </c>
      <c r="B13615" s="1" t="n">
        <v>45348</v>
      </c>
      <c r="C13615" s="1" t="n">
        <v>45736</v>
      </c>
      <c r="D13615" t="inlineStr">
        <is>
          <t>VÄRMLANDS LÄN</t>
        </is>
      </c>
      <c r="E13615" t="inlineStr">
        <is>
          <t>TORSBY</t>
        </is>
      </c>
      <c r="G13615" t="n">
        <v>9.199999999999999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7523-2024</t>
        </is>
      </c>
      <c r="B13616" s="1" t="n">
        <v>45348</v>
      </c>
      <c r="C13616" s="1" t="n">
        <v>45736</v>
      </c>
      <c r="D13616" t="inlineStr">
        <is>
          <t>VÄRMLANDS LÄN</t>
        </is>
      </c>
      <c r="E13616" t="inlineStr">
        <is>
          <t>SUNNE</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7583-2024</t>
        </is>
      </c>
      <c r="B13617" s="1" t="n">
        <v>45348</v>
      </c>
      <c r="C13617" s="1" t="n">
        <v>45736</v>
      </c>
      <c r="D13617" t="inlineStr">
        <is>
          <t>VÄRMLANDS LÄN</t>
        </is>
      </c>
      <c r="E13617" t="inlineStr">
        <is>
          <t>ARVIKA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7607-2024</t>
        </is>
      </c>
      <c r="B13618" s="1" t="n">
        <v>45348</v>
      </c>
      <c r="C13618" s="1" t="n">
        <v>45736</v>
      </c>
      <c r="D13618" t="inlineStr">
        <is>
          <t>VÄRMLANDS LÄN</t>
        </is>
      </c>
      <c r="E13618" t="inlineStr">
        <is>
          <t>ARVIKA</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7574-2024</t>
        </is>
      </c>
      <c r="B13619" s="1" t="n">
        <v>45348</v>
      </c>
      <c r="C13619" s="1" t="n">
        <v>45736</v>
      </c>
      <c r="D13619" t="inlineStr">
        <is>
          <t>VÄRMLANDS LÄN</t>
        </is>
      </c>
      <c r="E13619" t="inlineStr">
        <is>
          <t>ÅRJÄNG</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7636-2024</t>
        </is>
      </c>
      <c r="B13620" s="1" t="n">
        <v>45348</v>
      </c>
      <c r="C13620" s="1" t="n">
        <v>45736</v>
      </c>
      <c r="D13620" t="inlineStr">
        <is>
          <t>VÄRMLANDS LÄN</t>
        </is>
      </c>
      <c r="E13620" t="inlineStr">
        <is>
          <t>TORSBY</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7602-2024</t>
        </is>
      </c>
      <c r="B13621" s="1" t="n">
        <v>45348</v>
      </c>
      <c r="C13621" s="1" t="n">
        <v>45736</v>
      </c>
      <c r="D13621" t="inlineStr">
        <is>
          <t>VÄRMLANDS LÄN</t>
        </is>
      </c>
      <c r="E13621" t="inlineStr">
        <is>
          <t>SÄFFLE</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7676-2024</t>
        </is>
      </c>
      <c r="B13622" s="1" t="n">
        <v>45348</v>
      </c>
      <c r="C13622" s="1" t="n">
        <v>45736</v>
      </c>
      <c r="D13622" t="inlineStr">
        <is>
          <t>VÄRMLANDS LÄN</t>
        </is>
      </c>
      <c r="E13622" t="inlineStr">
        <is>
          <t>TORSBY</t>
        </is>
      </c>
      <c r="G13622" t="n">
        <v>6.7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7637-2024</t>
        </is>
      </c>
      <c r="B13623" s="1" t="n">
        <v>45348</v>
      </c>
      <c r="C13623" s="1" t="n">
        <v>45736</v>
      </c>
      <c r="D13623" t="inlineStr">
        <is>
          <t>VÄRMLANDS LÄN</t>
        </is>
      </c>
      <c r="E13623" t="inlineStr">
        <is>
          <t>HAGFORS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7677-2024</t>
        </is>
      </c>
      <c r="B13624" s="1" t="n">
        <v>45348</v>
      </c>
      <c r="C13624" s="1" t="n">
        <v>45736</v>
      </c>
      <c r="D13624" t="inlineStr">
        <is>
          <t>VÄRMLANDS LÄN</t>
        </is>
      </c>
      <c r="E13624" t="inlineStr">
        <is>
          <t>TORSBY</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7712-2024</t>
        </is>
      </c>
      <c r="B13625" s="1" t="n">
        <v>45349</v>
      </c>
      <c r="C13625" s="1" t="n">
        <v>45736</v>
      </c>
      <c r="D13625" t="inlineStr">
        <is>
          <t>VÄRMLANDS LÄN</t>
        </is>
      </c>
      <c r="E13625" t="inlineStr">
        <is>
          <t>SUNNE</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7714-2024</t>
        </is>
      </c>
      <c r="B13626" s="1" t="n">
        <v>45349</v>
      </c>
      <c r="C13626" s="1" t="n">
        <v>45736</v>
      </c>
      <c r="D13626" t="inlineStr">
        <is>
          <t>VÄRMLANDS LÄN</t>
        </is>
      </c>
      <c r="E13626" t="inlineStr">
        <is>
          <t>SUNNE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7757-2024</t>
        </is>
      </c>
      <c r="B13627" s="1" t="n">
        <v>45349</v>
      </c>
      <c r="C13627" s="1" t="n">
        <v>45736</v>
      </c>
      <c r="D13627" t="inlineStr">
        <is>
          <t>VÄRMLANDS LÄN</t>
        </is>
      </c>
      <c r="E13627" t="inlineStr">
        <is>
          <t>TORSBY</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7816-2024</t>
        </is>
      </c>
      <c r="B13628" s="1" t="n">
        <v>45349</v>
      </c>
      <c r="C13628" s="1" t="n">
        <v>45736</v>
      </c>
      <c r="D13628" t="inlineStr">
        <is>
          <t>VÄRMLANDS LÄN</t>
        </is>
      </c>
      <c r="E13628" t="inlineStr">
        <is>
          <t>HAGFORS</t>
        </is>
      </c>
      <c r="F13628" t="inlineStr">
        <is>
          <t>Bergvik skog väst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8161-2024</t>
        </is>
      </c>
      <c r="B13629" s="1" t="n">
        <v>45349</v>
      </c>
      <c r="C13629" s="1" t="n">
        <v>45736</v>
      </c>
      <c r="D13629" t="inlineStr">
        <is>
          <t>VÄRMLANDS LÄN</t>
        </is>
      </c>
      <c r="E13629" t="inlineStr">
        <is>
          <t>ÅRJÄNG</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7822-2024</t>
        </is>
      </c>
      <c r="B13630" s="1" t="n">
        <v>45349</v>
      </c>
      <c r="C13630" s="1" t="n">
        <v>45736</v>
      </c>
      <c r="D13630" t="inlineStr">
        <is>
          <t>VÄRMLANDS LÄN</t>
        </is>
      </c>
      <c r="E13630" t="inlineStr">
        <is>
          <t>KIL</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7794-2024</t>
        </is>
      </c>
      <c r="B13631" s="1" t="n">
        <v>45349</v>
      </c>
      <c r="C13631" s="1" t="n">
        <v>45736</v>
      </c>
      <c r="D13631" t="inlineStr">
        <is>
          <t>VÄRMLANDS LÄN</t>
        </is>
      </c>
      <c r="E13631" t="inlineStr">
        <is>
          <t>ÅRJÄNG</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7986-2024</t>
        </is>
      </c>
      <c r="B13632" s="1" t="n">
        <v>45350</v>
      </c>
      <c r="C13632" s="1" t="n">
        <v>45736</v>
      </c>
      <c r="D13632" t="inlineStr">
        <is>
          <t>VÄRMLANDS LÄN</t>
        </is>
      </c>
      <c r="E13632" t="inlineStr">
        <is>
          <t>HAGFORS</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7993-2024</t>
        </is>
      </c>
      <c r="B13633" s="1" t="n">
        <v>45350</v>
      </c>
      <c r="C13633" s="1" t="n">
        <v>45736</v>
      </c>
      <c r="D13633" t="inlineStr">
        <is>
          <t>VÄRMLANDS LÄN</t>
        </is>
      </c>
      <c r="E13633" t="inlineStr">
        <is>
          <t>GRUMS</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7927-2024</t>
        </is>
      </c>
      <c r="B13634" s="1" t="n">
        <v>45350</v>
      </c>
      <c r="C13634" s="1" t="n">
        <v>45736</v>
      </c>
      <c r="D13634" t="inlineStr">
        <is>
          <t>VÄRMLANDS LÄN</t>
        </is>
      </c>
      <c r="E13634" t="inlineStr">
        <is>
          <t>TORSBY</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7948-2024</t>
        </is>
      </c>
      <c r="B13635" s="1" t="n">
        <v>45350</v>
      </c>
      <c r="C13635" s="1" t="n">
        <v>45736</v>
      </c>
      <c r="D13635" t="inlineStr">
        <is>
          <t>VÄRMLANDS LÄN</t>
        </is>
      </c>
      <c r="E13635" t="inlineStr">
        <is>
          <t>STORFORS</t>
        </is>
      </c>
      <c r="F13635" t="inlineStr">
        <is>
          <t>Naturvårdsverket</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7988-2024</t>
        </is>
      </c>
      <c r="B13636" s="1" t="n">
        <v>45350</v>
      </c>
      <c r="C13636" s="1" t="n">
        <v>45736</v>
      </c>
      <c r="D13636" t="inlineStr">
        <is>
          <t>VÄRMLANDS LÄN</t>
        </is>
      </c>
      <c r="E13636" t="inlineStr">
        <is>
          <t>HAGFORS</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8012-2024</t>
        </is>
      </c>
      <c r="B13637" s="1" t="n">
        <v>45350</v>
      </c>
      <c r="C13637" s="1" t="n">
        <v>45736</v>
      </c>
      <c r="D13637" t="inlineStr">
        <is>
          <t>VÄRMLANDS LÄN</t>
        </is>
      </c>
      <c r="E13637" t="inlineStr">
        <is>
          <t>TORSBY</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7883-2024</t>
        </is>
      </c>
      <c r="B13638" s="1" t="n">
        <v>45350</v>
      </c>
      <c r="C13638" s="1" t="n">
        <v>45736</v>
      </c>
      <c r="D13638" t="inlineStr">
        <is>
          <t>VÄRMLANDS LÄN</t>
        </is>
      </c>
      <c r="E13638" t="inlineStr">
        <is>
          <t>SÄFFLE</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7982-2024</t>
        </is>
      </c>
      <c r="B13639" s="1" t="n">
        <v>45350</v>
      </c>
      <c r="C13639" s="1" t="n">
        <v>45736</v>
      </c>
      <c r="D13639" t="inlineStr">
        <is>
          <t>VÄRMLANDS LÄN</t>
        </is>
      </c>
      <c r="E13639" t="inlineStr">
        <is>
          <t>SUNNE</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7991-2024</t>
        </is>
      </c>
      <c r="B13640" s="1" t="n">
        <v>45350</v>
      </c>
      <c r="C13640" s="1" t="n">
        <v>45736</v>
      </c>
      <c r="D13640" t="inlineStr">
        <is>
          <t>VÄRMLANDS LÄN</t>
        </is>
      </c>
      <c r="E13640" t="inlineStr">
        <is>
          <t>GRUMS</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8007-2024</t>
        </is>
      </c>
      <c r="B13641" s="1" t="n">
        <v>45350</v>
      </c>
      <c r="C13641" s="1" t="n">
        <v>45736</v>
      </c>
      <c r="D13641" t="inlineStr">
        <is>
          <t>VÄRMLANDS LÄN</t>
        </is>
      </c>
      <c r="E13641" t="inlineStr">
        <is>
          <t>KARLSTAD</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8120-2024</t>
        </is>
      </c>
      <c r="B13642" s="1" t="n">
        <v>45351</v>
      </c>
      <c r="C13642" s="1" t="n">
        <v>45736</v>
      </c>
      <c r="D13642" t="inlineStr">
        <is>
          <t>VÄRMLANDS LÄN</t>
        </is>
      </c>
      <c r="E13642" t="inlineStr">
        <is>
          <t>ÅRJÄNG</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8124-2024</t>
        </is>
      </c>
      <c r="B13643" s="1" t="n">
        <v>45351</v>
      </c>
      <c r="C13643" s="1" t="n">
        <v>45736</v>
      </c>
      <c r="D13643" t="inlineStr">
        <is>
          <t>VÄRMLANDS LÄN</t>
        </is>
      </c>
      <c r="E13643" t="inlineStr">
        <is>
          <t>EDA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8146-2024</t>
        </is>
      </c>
      <c r="B13644" s="1" t="n">
        <v>45351</v>
      </c>
      <c r="C13644" s="1" t="n">
        <v>45736</v>
      </c>
      <c r="D13644" t="inlineStr">
        <is>
          <t>VÄRMLANDS LÄN</t>
        </is>
      </c>
      <c r="E13644" t="inlineStr">
        <is>
          <t>ÅRJÄNG</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8194-2024</t>
        </is>
      </c>
      <c r="B13645" s="1" t="n">
        <v>45351</v>
      </c>
      <c r="C13645" s="1" t="n">
        <v>45736</v>
      </c>
      <c r="D13645" t="inlineStr">
        <is>
          <t>VÄRMLANDS LÄN</t>
        </is>
      </c>
      <c r="E13645" t="inlineStr">
        <is>
          <t>SÄFFLE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8219-2024</t>
        </is>
      </c>
      <c r="B13646" s="1" t="n">
        <v>45351</v>
      </c>
      <c r="C13646" s="1" t="n">
        <v>45736</v>
      </c>
      <c r="D13646" t="inlineStr">
        <is>
          <t>VÄRMLANDS LÄN</t>
        </is>
      </c>
      <c r="E13646" t="inlineStr">
        <is>
          <t>KRISTINEHAMN</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8129-2024</t>
        </is>
      </c>
      <c r="B13647" s="1" t="n">
        <v>45351</v>
      </c>
      <c r="C13647" s="1" t="n">
        <v>45736</v>
      </c>
      <c r="D13647" t="inlineStr">
        <is>
          <t>VÄRMLANDS LÄN</t>
        </is>
      </c>
      <c r="E13647" t="inlineStr">
        <is>
          <t>HAGFORS</t>
        </is>
      </c>
      <c r="F13647" t="inlineStr">
        <is>
          <t>Kyrkan</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8147-2024</t>
        </is>
      </c>
      <c r="B13648" s="1" t="n">
        <v>45351</v>
      </c>
      <c r="C13648" s="1" t="n">
        <v>45736</v>
      </c>
      <c r="D13648" t="inlineStr">
        <is>
          <t>VÄRMLANDS LÄN</t>
        </is>
      </c>
      <c r="E13648" t="inlineStr">
        <is>
          <t>ÅRJÄNG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8165-2024</t>
        </is>
      </c>
      <c r="B13649" s="1" t="n">
        <v>45351</v>
      </c>
      <c r="C13649" s="1" t="n">
        <v>45736</v>
      </c>
      <c r="D13649" t="inlineStr">
        <is>
          <t>VÄRMLANDS LÄN</t>
        </is>
      </c>
      <c r="E13649" t="inlineStr">
        <is>
          <t>ARVIKA</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8173-2024</t>
        </is>
      </c>
      <c r="B13650" s="1" t="n">
        <v>45351</v>
      </c>
      <c r="C13650" s="1" t="n">
        <v>45736</v>
      </c>
      <c r="D13650" t="inlineStr">
        <is>
          <t>VÄRMLANDS LÄN</t>
        </is>
      </c>
      <c r="E13650" t="inlineStr">
        <is>
          <t>KARLSTAD</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8183-2024</t>
        </is>
      </c>
      <c r="B13651" s="1" t="n">
        <v>45351</v>
      </c>
      <c r="C13651" s="1" t="n">
        <v>45736</v>
      </c>
      <c r="D13651" t="inlineStr">
        <is>
          <t>VÄRMLANDS LÄN</t>
        </is>
      </c>
      <c r="E13651" t="inlineStr">
        <is>
          <t>SÄFFLE</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8218-2024</t>
        </is>
      </c>
      <c r="B13652" s="1" t="n">
        <v>45351</v>
      </c>
      <c r="C13652" s="1" t="n">
        <v>45736</v>
      </c>
      <c r="D13652" t="inlineStr">
        <is>
          <t>VÄRMLANDS LÄN</t>
        </is>
      </c>
      <c r="E13652" t="inlineStr">
        <is>
          <t>KRISTINEHAMN</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8118-2024</t>
        </is>
      </c>
      <c r="B13653" s="1" t="n">
        <v>45351</v>
      </c>
      <c r="C13653" s="1" t="n">
        <v>45736</v>
      </c>
      <c r="D13653" t="inlineStr">
        <is>
          <t>VÄRMLANDS LÄN</t>
        </is>
      </c>
      <c r="E13653" t="inlineStr">
        <is>
          <t>SUNNE</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8766-2024</t>
        </is>
      </c>
      <c r="B13654" s="1" t="n">
        <v>45352</v>
      </c>
      <c r="C13654" s="1" t="n">
        <v>45736</v>
      </c>
      <c r="D13654" t="inlineStr">
        <is>
          <t>VÄRMLANDS LÄN</t>
        </is>
      </c>
      <c r="E13654" t="inlineStr">
        <is>
          <t>SÄFFLE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8276-2024</t>
        </is>
      </c>
      <c r="B13655" s="1" t="n">
        <v>45352</v>
      </c>
      <c r="C13655" s="1" t="n">
        <v>45736</v>
      </c>
      <c r="D13655" t="inlineStr">
        <is>
          <t>VÄRMLANDS LÄN</t>
        </is>
      </c>
      <c r="E13655" t="inlineStr">
        <is>
          <t>SUNNE</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8956-2024</t>
        </is>
      </c>
      <c r="B13656" s="1" t="n">
        <v>45352</v>
      </c>
      <c r="C13656" s="1" t="n">
        <v>45736</v>
      </c>
      <c r="D13656" t="inlineStr">
        <is>
          <t>VÄRMLANDS LÄN</t>
        </is>
      </c>
      <c r="E13656" t="inlineStr">
        <is>
          <t>SÄFFLE</t>
        </is>
      </c>
      <c r="F13656" t="inlineStr">
        <is>
          <t>Bergvik skog väst AB</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8306-2024</t>
        </is>
      </c>
      <c r="B13657" s="1" t="n">
        <v>45352</v>
      </c>
      <c r="C13657" s="1" t="n">
        <v>45736</v>
      </c>
      <c r="D13657" t="inlineStr">
        <is>
          <t>VÄRMLANDS LÄN</t>
        </is>
      </c>
      <c r="E13657" t="inlineStr">
        <is>
          <t>GRUMS</t>
        </is>
      </c>
      <c r="G13657" t="n">
        <v>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8368-2024</t>
        </is>
      </c>
      <c r="B13658" s="1" t="n">
        <v>45352</v>
      </c>
      <c r="C13658" s="1" t="n">
        <v>45736</v>
      </c>
      <c r="D13658" t="inlineStr">
        <is>
          <t>VÄRMLANDS LÄN</t>
        </is>
      </c>
      <c r="E13658" t="inlineStr">
        <is>
          <t>SÄFFLE</t>
        </is>
      </c>
      <c r="G13658" t="n">
        <v>6.2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8377-2024</t>
        </is>
      </c>
      <c r="B13659" s="1" t="n">
        <v>45352</v>
      </c>
      <c r="C13659" s="1" t="n">
        <v>45736</v>
      </c>
      <c r="D13659" t="inlineStr">
        <is>
          <t>VÄRMLANDS LÄN</t>
        </is>
      </c>
      <c r="E13659" t="inlineStr">
        <is>
          <t>SÄFFLE</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8280-2024</t>
        </is>
      </c>
      <c r="B13660" s="1" t="n">
        <v>45352</v>
      </c>
      <c r="C13660" s="1" t="n">
        <v>45736</v>
      </c>
      <c r="D13660" t="inlineStr">
        <is>
          <t>VÄRMLANDS LÄN</t>
        </is>
      </c>
      <c r="E13660" t="inlineStr">
        <is>
          <t>SUNNE</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8288-2024</t>
        </is>
      </c>
      <c r="B13661" s="1" t="n">
        <v>45352</v>
      </c>
      <c r="C13661" s="1" t="n">
        <v>45736</v>
      </c>
      <c r="D13661" t="inlineStr">
        <is>
          <t>VÄRMLANDS LÄN</t>
        </is>
      </c>
      <c r="E13661" t="inlineStr">
        <is>
          <t>SÄFFLE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8436-2024</t>
        </is>
      </c>
      <c r="B13662" s="1" t="n">
        <v>45353</v>
      </c>
      <c r="C13662" s="1" t="n">
        <v>45736</v>
      </c>
      <c r="D13662" t="inlineStr">
        <is>
          <t>VÄRMLANDS LÄN</t>
        </is>
      </c>
      <c r="E13662" t="inlineStr">
        <is>
          <t>SÄFFLE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8446-2024</t>
        </is>
      </c>
      <c r="B13663" s="1" t="n">
        <v>45354</v>
      </c>
      <c r="C13663" s="1" t="n">
        <v>45736</v>
      </c>
      <c r="D13663" t="inlineStr">
        <is>
          <t>VÄRMLANDS LÄN</t>
        </is>
      </c>
      <c r="E13663" t="inlineStr">
        <is>
          <t>ÅRJÄNG</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8681-2024</t>
        </is>
      </c>
      <c r="B13664" s="1" t="n">
        <v>45354</v>
      </c>
      <c r="C13664" s="1" t="n">
        <v>45736</v>
      </c>
      <c r="D13664" t="inlineStr">
        <is>
          <t>VÄRMLANDS LÄN</t>
        </is>
      </c>
      <c r="E13664" t="inlineStr">
        <is>
          <t>ÅRJÄNG</t>
        </is>
      </c>
      <c r="F13664" t="inlineStr">
        <is>
          <t>Övriga Aktiebolag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8453-2024</t>
        </is>
      </c>
      <c r="B13665" s="1" t="n">
        <v>45354</v>
      </c>
      <c r="C13665" s="1" t="n">
        <v>45736</v>
      </c>
      <c r="D13665" t="inlineStr">
        <is>
          <t>VÄRMLANDS LÄN</t>
        </is>
      </c>
      <c r="E13665" t="inlineStr">
        <is>
          <t>SUNNE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8550-2024</t>
        </is>
      </c>
      <c r="B13666" s="1" t="n">
        <v>45355</v>
      </c>
      <c r="C13666" s="1" t="n">
        <v>45736</v>
      </c>
      <c r="D13666" t="inlineStr">
        <is>
          <t>VÄRMLANDS LÄN</t>
        </is>
      </c>
      <c r="E13666" t="inlineStr">
        <is>
          <t>SÄFFLE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8581-2024</t>
        </is>
      </c>
      <c r="B13667" s="1" t="n">
        <v>45355</v>
      </c>
      <c r="C13667" s="1" t="n">
        <v>45736</v>
      </c>
      <c r="D13667" t="inlineStr">
        <is>
          <t>VÄRMLANDS LÄN</t>
        </is>
      </c>
      <c r="E13667" t="inlineStr">
        <is>
          <t>EDA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8586-2024</t>
        </is>
      </c>
      <c r="B13668" s="1" t="n">
        <v>45355</v>
      </c>
      <c r="C13668" s="1" t="n">
        <v>45736</v>
      </c>
      <c r="D13668" t="inlineStr">
        <is>
          <t>VÄRMLANDS LÄN</t>
        </is>
      </c>
      <c r="E13668" t="inlineStr">
        <is>
          <t>EDA</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8602-2024</t>
        </is>
      </c>
      <c r="B13669" s="1" t="n">
        <v>45355</v>
      </c>
      <c r="C13669" s="1" t="n">
        <v>45736</v>
      </c>
      <c r="D13669" t="inlineStr">
        <is>
          <t>VÄRMLANDS LÄN</t>
        </is>
      </c>
      <c r="E13669" t="inlineStr">
        <is>
          <t>ÅRJÄNG</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8469-2024</t>
        </is>
      </c>
      <c r="B13670" s="1" t="n">
        <v>45355</v>
      </c>
      <c r="C13670" s="1" t="n">
        <v>45736</v>
      </c>
      <c r="D13670" t="inlineStr">
        <is>
          <t>VÄRMLANDS LÄN</t>
        </is>
      </c>
      <c r="E13670" t="inlineStr">
        <is>
          <t>SÄFFLE</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8579-2024</t>
        </is>
      </c>
      <c r="B13671" s="1" t="n">
        <v>45355</v>
      </c>
      <c r="C13671" s="1" t="n">
        <v>45736</v>
      </c>
      <c r="D13671" t="inlineStr">
        <is>
          <t>VÄRMLANDS LÄN</t>
        </is>
      </c>
      <c r="E13671" t="inlineStr">
        <is>
          <t>ÅRJÄNG</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8589-2024</t>
        </is>
      </c>
      <c r="B13672" s="1" t="n">
        <v>45355</v>
      </c>
      <c r="C13672" s="1" t="n">
        <v>45736</v>
      </c>
      <c r="D13672" t="inlineStr">
        <is>
          <t>VÄRMLANDS LÄN</t>
        </is>
      </c>
      <c r="E13672" t="inlineStr">
        <is>
          <t>SÄFFLE</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8595-2024</t>
        </is>
      </c>
      <c r="B13673" s="1" t="n">
        <v>45355</v>
      </c>
      <c r="C13673" s="1" t="n">
        <v>45736</v>
      </c>
      <c r="D13673" t="inlineStr">
        <is>
          <t>VÄRMLANDS LÄN</t>
        </is>
      </c>
      <c r="E13673" t="inlineStr">
        <is>
          <t>ÅRJÄNG</t>
        </is>
      </c>
      <c r="G13673" t="n">
        <v>6.6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8513-2024</t>
        </is>
      </c>
      <c r="B13674" s="1" t="n">
        <v>45355</v>
      </c>
      <c r="C13674" s="1" t="n">
        <v>45736</v>
      </c>
      <c r="D13674" t="inlineStr">
        <is>
          <t>VÄRMLANDS LÄN</t>
        </is>
      </c>
      <c r="E13674" t="inlineStr">
        <is>
          <t>SUNNE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8625-2024</t>
        </is>
      </c>
      <c r="B13675" s="1" t="n">
        <v>45355</v>
      </c>
      <c r="C13675" s="1" t="n">
        <v>45736</v>
      </c>
      <c r="D13675" t="inlineStr">
        <is>
          <t>VÄRMLANDS LÄN</t>
        </is>
      </c>
      <c r="E13675" t="inlineStr">
        <is>
          <t>TORSBY</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8564-2024</t>
        </is>
      </c>
      <c r="B13676" s="1" t="n">
        <v>45355</v>
      </c>
      <c r="C13676" s="1" t="n">
        <v>45736</v>
      </c>
      <c r="D13676" t="inlineStr">
        <is>
          <t>VÄRMLANDS LÄN</t>
        </is>
      </c>
      <c r="E13676" t="inlineStr">
        <is>
          <t>SUNNE</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8596-2024</t>
        </is>
      </c>
      <c r="B13677" s="1" t="n">
        <v>45355</v>
      </c>
      <c r="C13677" s="1" t="n">
        <v>45736</v>
      </c>
      <c r="D13677" t="inlineStr">
        <is>
          <t>VÄRMLANDS LÄN</t>
        </is>
      </c>
      <c r="E13677" t="inlineStr">
        <is>
          <t>ÅRJÄNG</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8601-2024</t>
        </is>
      </c>
      <c r="B13678" s="1" t="n">
        <v>45355</v>
      </c>
      <c r="C13678" s="1" t="n">
        <v>45736</v>
      </c>
      <c r="D13678" t="inlineStr">
        <is>
          <t>VÄRMLANDS LÄN</t>
        </is>
      </c>
      <c r="E13678" t="inlineStr">
        <is>
          <t>ÅRJÄNG</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8613-2024</t>
        </is>
      </c>
      <c r="B13679" s="1" t="n">
        <v>45355</v>
      </c>
      <c r="C13679" s="1" t="n">
        <v>45736</v>
      </c>
      <c r="D13679" t="inlineStr">
        <is>
          <t>VÄRMLANDS LÄN</t>
        </is>
      </c>
      <c r="E13679" t="inlineStr">
        <is>
          <t>STORFORS</t>
        </is>
      </c>
      <c r="F13679" t="inlineStr">
        <is>
          <t>Kyrkan</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8531-2024</t>
        </is>
      </c>
      <c r="B13680" s="1" t="n">
        <v>45355</v>
      </c>
      <c r="C13680" s="1" t="n">
        <v>45736</v>
      </c>
      <c r="D13680" t="inlineStr">
        <is>
          <t>VÄRMLANDS LÄN</t>
        </is>
      </c>
      <c r="E13680" t="inlineStr">
        <is>
          <t>SUNNE</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8578-2024</t>
        </is>
      </c>
      <c r="B13681" s="1" t="n">
        <v>45355</v>
      </c>
      <c r="C13681" s="1" t="n">
        <v>45736</v>
      </c>
      <c r="D13681" t="inlineStr">
        <is>
          <t>VÄRMLANDS LÄN</t>
        </is>
      </c>
      <c r="E13681" t="inlineStr">
        <is>
          <t>ÅRJÄNG</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8598-2024</t>
        </is>
      </c>
      <c r="B13682" s="1" t="n">
        <v>45355</v>
      </c>
      <c r="C13682" s="1" t="n">
        <v>45736</v>
      </c>
      <c r="D13682" t="inlineStr">
        <is>
          <t>VÄRMLANDS LÄN</t>
        </is>
      </c>
      <c r="E13682" t="inlineStr">
        <is>
          <t>KRISTINEHAMN</t>
        </is>
      </c>
      <c r="F13682" t="inlineStr">
        <is>
          <t>Naturvårdsverket</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8712-2024</t>
        </is>
      </c>
      <c r="B13683" s="1" t="n">
        <v>45355</v>
      </c>
      <c r="C13683" s="1" t="n">
        <v>45736</v>
      </c>
      <c r="D13683" t="inlineStr">
        <is>
          <t>VÄRMLANDS LÄN</t>
        </is>
      </c>
      <c r="E13683" t="inlineStr">
        <is>
          <t>FILIPSTAD</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8952-2024</t>
        </is>
      </c>
      <c r="B13684" s="1" t="n">
        <v>45355</v>
      </c>
      <c r="C13684" s="1" t="n">
        <v>45736</v>
      </c>
      <c r="D13684" t="inlineStr">
        <is>
          <t>VÄRMLANDS LÄN</t>
        </is>
      </c>
      <c r="E13684" t="inlineStr">
        <is>
          <t>FORSHAGA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8728-2024</t>
        </is>
      </c>
      <c r="B13685" s="1" t="n">
        <v>45356</v>
      </c>
      <c r="C13685" s="1" t="n">
        <v>45736</v>
      </c>
      <c r="D13685" t="inlineStr">
        <is>
          <t>VÄRMLANDS LÄN</t>
        </is>
      </c>
      <c r="E13685" t="inlineStr">
        <is>
          <t>TORSBY</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8771-2024</t>
        </is>
      </c>
      <c r="B13686" s="1" t="n">
        <v>45356</v>
      </c>
      <c r="C13686" s="1" t="n">
        <v>45736</v>
      </c>
      <c r="D13686" t="inlineStr">
        <is>
          <t>VÄRMLANDS LÄN</t>
        </is>
      </c>
      <c r="E13686" t="inlineStr">
        <is>
          <t>SÄFFLE</t>
        </is>
      </c>
      <c r="G13686" t="n">
        <v>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8783-2024</t>
        </is>
      </c>
      <c r="B13687" s="1" t="n">
        <v>45356</v>
      </c>
      <c r="C13687" s="1" t="n">
        <v>45736</v>
      </c>
      <c r="D13687" t="inlineStr">
        <is>
          <t>VÄRMLANDS LÄN</t>
        </is>
      </c>
      <c r="E13687" t="inlineStr">
        <is>
          <t>ARVIKA</t>
        </is>
      </c>
      <c r="F13687" t="inlineStr">
        <is>
          <t>Bergvik skog väst AB</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8804-2024</t>
        </is>
      </c>
      <c r="B13688" s="1" t="n">
        <v>45356</v>
      </c>
      <c r="C13688" s="1" t="n">
        <v>45736</v>
      </c>
      <c r="D13688" t="inlineStr">
        <is>
          <t>VÄRMLANDS LÄN</t>
        </is>
      </c>
      <c r="E13688" t="inlineStr">
        <is>
          <t>KARLSTAD</t>
        </is>
      </c>
      <c r="G13688" t="n">
        <v>12.5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8685-2024</t>
        </is>
      </c>
      <c r="B13689" s="1" t="n">
        <v>45356</v>
      </c>
      <c r="C13689" s="1" t="n">
        <v>45736</v>
      </c>
      <c r="D13689" t="inlineStr">
        <is>
          <t>VÄRMLANDS LÄN</t>
        </is>
      </c>
      <c r="E13689" t="inlineStr">
        <is>
          <t>ÅRJÄNG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8720-2024</t>
        </is>
      </c>
      <c r="B13690" s="1" t="n">
        <v>45356</v>
      </c>
      <c r="C13690" s="1" t="n">
        <v>45736</v>
      </c>
      <c r="D13690" t="inlineStr">
        <is>
          <t>VÄRMLANDS LÄN</t>
        </is>
      </c>
      <c r="E13690" t="inlineStr">
        <is>
          <t>TORSBY</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8725-2024</t>
        </is>
      </c>
      <c r="B13691" s="1" t="n">
        <v>45356</v>
      </c>
      <c r="C13691" s="1" t="n">
        <v>45736</v>
      </c>
      <c r="D13691" t="inlineStr">
        <is>
          <t>VÄRMLANDS LÄN</t>
        </is>
      </c>
      <c r="E13691" t="inlineStr">
        <is>
          <t>TORSBY</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8737-2024</t>
        </is>
      </c>
      <c r="B13692" s="1" t="n">
        <v>45356</v>
      </c>
      <c r="C13692" s="1" t="n">
        <v>45736</v>
      </c>
      <c r="D13692" t="inlineStr">
        <is>
          <t>VÄRMLANDS LÄN</t>
        </is>
      </c>
      <c r="E13692" t="inlineStr">
        <is>
          <t>SÄFFLE</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8719-2024</t>
        </is>
      </c>
      <c r="B13693" s="1" t="n">
        <v>45356</v>
      </c>
      <c r="C13693" s="1" t="n">
        <v>45736</v>
      </c>
      <c r="D13693" t="inlineStr">
        <is>
          <t>VÄRMLANDS LÄN</t>
        </is>
      </c>
      <c r="E13693" t="inlineStr">
        <is>
          <t>TORSBY</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8788-2024</t>
        </is>
      </c>
      <c r="B13694" s="1" t="n">
        <v>45356</v>
      </c>
      <c r="C13694" s="1" t="n">
        <v>45736</v>
      </c>
      <c r="D13694" t="inlineStr">
        <is>
          <t>VÄRMLANDS LÄN</t>
        </is>
      </c>
      <c r="E13694" t="inlineStr">
        <is>
          <t>GRUMS</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8820-2024</t>
        </is>
      </c>
      <c r="B13695" s="1" t="n">
        <v>45356</v>
      </c>
      <c r="C13695" s="1" t="n">
        <v>45736</v>
      </c>
      <c r="D13695" t="inlineStr">
        <is>
          <t>VÄRMLANDS LÄN</t>
        </is>
      </c>
      <c r="E13695" t="inlineStr">
        <is>
          <t>HAGFORS</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8830-2024</t>
        </is>
      </c>
      <c r="B13696" s="1" t="n">
        <v>45356</v>
      </c>
      <c r="C13696" s="1" t="n">
        <v>45736</v>
      </c>
      <c r="D13696" t="inlineStr">
        <is>
          <t>VÄRMLANDS LÄN</t>
        </is>
      </c>
      <c r="E13696" t="inlineStr">
        <is>
          <t>HAGFORS</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8721-2024</t>
        </is>
      </c>
      <c r="B13697" s="1" t="n">
        <v>45356</v>
      </c>
      <c r="C13697" s="1" t="n">
        <v>45736</v>
      </c>
      <c r="D13697" t="inlineStr">
        <is>
          <t>VÄRMLANDS LÄN</t>
        </is>
      </c>
      <c r="E13697" t="inlineStr">
        <is>
          <t>SUNNE</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8746-2024</t>
        </is>
      </c>
      <c r="B13698" s="1" t="n">
        <v>45356</v>
      </c>
      <c r="C13698" s="1" t="n">
        <v>45736</v>
      </c>
      <c r="D13698" t="inlineStr">
        <is>
          <t>VÄRMLANDS LÄN</t>
        </is>
      </c>
      <c r="E13698" t="inlineStr">
        <is>
          <t>SÄFFLE</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8798-2024</t>
        </is>
      </c>
      <c r="B13699" s="1" t="n">
        <v>45356</v>
      </c>
      <c r="C13699" s="1" t="n">
        <v>45736</v>
      </c>
      <c r="D13699" t="inlineStr">
        <is>
          <t>VÄRMLANDS LÄN</t>
        </is>
      </c>
      <c r="E13699" t="inlineStr">
        <is>
          <t>KARLSTAD</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9015-2024</t>
        </is>
      </c>
      <c r="B13700" s="1" t="n">
        <v>45356</v>
      </c>
      <c r="C13700" s="1" t="n">
        <v>45736</v>
      </c>
      <c r="D13700" t="inlineStr">
        <is>
          <t>VÄRMLANDS LÄN</t>
        </is>
      </c>
      <c r="E13700" t="inlineStr">
        <is>
          <t>SÄFFLE</t>
        </is>
      </c>
      <c r="F13700" t="inlineStr">
        <is>
          <t>Bergvik skog väst AB</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8911-2024</t>
        </is>
      </c>
      <c r="B13701" s="1" t="n">
        <v>45357</v>
      </c>
      <c r="C13701" s="1" t="n">
        <v>45736</v>
      </c>
      <c r="D13701" t="inlineStr">
        <is>
          <t>VÄRMLANDS LÄN</t>
        </is>
      </c>
      <c r="E13701" t="inlineStr">
        <is>
          <t>SUNNE</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9036-2024</t>
        </is>
      </c>
      <c r="B13702" s="1" t="n">
        <v>45357</v>
      </c>
      <c r="C13702" s="1" t="n">
        <v>45736</v>
      </c>
      <c r="D13702" t="inlineStr">
        <is>
          <t>VÄRMLANDS LÄN</t>
        </is>
      </c>
      <c r="E13702" t="inlineStr">
        <is>
          <t>SUNNE</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9042-2024</t>
        </is>
      </c>
      <c r="B13703" s="1" t="n">
        <v>45357</v>
      </c>
      <c r="C13703" s="1" t="n">
        <v>45736</v>
      </c>
      <c r="D13703" t="inlineStr">
        <is>
          <t>VÄRMLANDS LÄN</t>
        </is>
      </c>
      <c r="E13703" t="inlineStr">
        <is>
          <t>SUNNE</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8929-2024</t>
        </is>
      </c>
      <c r="B13704" s="1" t="n">
        <v>45357</v>
      </c>
      <c r="C13704" s="1" t="n">
        <v>45736</v>
      </c>
      <c r="D13704" t="inlineStr">
        <is>
          <t>VÄRMLANDS LÄN</t>
        </is>
      </c>
      <c r="E13704" t="inlineStr">
        <is>
          <t>STORFORS</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9271-2024</t>
        </is>
      </c>
      <c r="B13705" s="1" t="n">
        <v>45357</v>
      </c>
      <c r="C13705" s="1" t="n">
        <v>45736</v>
      </c>
      <c r="D13705" t="inlineStr">
        <is>
          <t>VÄRMLANDS LÄN</t>
        </is>
      </c>
      <c r="E13705" t="inlineStr">
        <is>
          <t>KRISTINEHAMN</t>
        </is>
      </c>
      <c r="F13705" t="inlineStr">
        <is>
          <t>Kommuner</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9160-2024</t>
        </is>
      </c>
      <c r="B13706" s="1" t="n">
        <v>45358</v>
      </c>
      <c r="C13706" s="1" t="n">
        <v>45736</v>
      </c>
      <c r="D13706" t="inlineStr">
        <is>
          <t>VÄRMLANDS LÄN</t>
        </is>
      </c>
      <c r="E13706" t="inlineStr">
        <is>
          <t>EDA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9252-2024</t>
        </is>
      </c>
      <c r="B13707" s="1" t="n">
        <v>45358</v>
      </c>
      <c r="C13707" s="1" t="n">
        <v>45736</v>
      </c>
      <c r="D13707" t="inlineStr">
        <is>
          <t>VÄRMLANDS LÄN</t>
        </is>
      </c>
      <c r="E13707" t="inlineStr">
        <is>
          <t>SÄFFLE</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9256-2024</t>
        </is>
      </c>
      <c r="B13708" s="1" t="n">
        <v>45358</v>
      </c>
      <c r="C13708" s="1" t="n">
        <v>45736</v>
      </c>
      <c r="D13708" t="inlineStr">
        <is>
          <t>VÄRMLANDS LÄN</t>
        </is>
      </c>
      <c r="E13708" t="inlineStr">
        <is>
          <t>SÄFFLE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9261-2024</t>
        </is>
      </c>
      <c r="B13709" s="1" t="n">
        <v>45358</v>
      </c>
      <c r="C13709" s="1" t="n">
        <v>45736</v>
      </c>
      <c r="D13709" t="inlineStr">
        <is>
          <t>VÄRMLANDS LÄN</t>
        </is>
      </c>
      <c r="E13709" t="inlineStr">
        <is>
          <t>SÄFFLE</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9240-2024</t>
        </is>
      </c>
      <c r="B13710" s="1" t="n">
        <v>45358</v>
      </c>
      <c r="C13710" s="1" t="n">
        <v>45736</v>
      </c>
      <c r="D13710" t="inlineStr">
        <is>
          <t>VÄRMLANDS LÄN</t>
        </is>
      </c>
      <c r="E13710" t="inlineStr">
        <is>
          <t>HAGFORS</t>
        </is>
      </c>
      <c r="F13710" t="inlineStr">
        <is>
          <t>Bergvik skog väst AB</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9203-2024</t>
        </is>
      </c>
      <c r="B13711" s="1" t="n">
        <v>45358</v>
      </c>
      <c r="C13711" s="1" t="n">
        <v>45736</v>
      </c>
      <c r="D13711" t="inlineStr">
        <is>
          <t>VÄRMLANDS LÄN</t>
        </is>
      </c>
      <c r="E13711" t="inlineStr">
        <is>
          <t>TORSBY</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9253-2024</t>
        </is>
      </c>
      <c r="B13712" s="1" t="n">
        <v>45358</v>
      </c>
      <c r="C13712" s="1" t="n">
        <v>45736</v>
      </c>
      <c r="D13712" t="inlineStr">
        <is>
          <t>VÄRMLANDS LÄN</t>
        </is>
      </c>
      <c r="E13712" t="inlineStr">
        <is>
          <t>SÄFFLE</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9250-2024</t>
        </is>
      </c>
      <c r="B13713" s="1" t="n">
        <v>45358</v>
      </c>
      <c r="C13713" s="1" t="n">
        <v>45736</v>
      </c>
      <c r="D13713" t="inlineStr">
        <is>
          <t>VÄRMLANDS LÄN</t>
        </is>
      </c>
      <c r="E13713" t="inlineStr">
        <is>
          <t>SÄFFLE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9254-2024</t>
        </is>
      </c>
      <c r="B13714" s="1" t="n">
        <v>45358</v>
      </c>
      <c r="C13714" s="1" t="n">
        <v>45736</v>
      </c>
      <c r="D13714" t="inlineStr">
        <is>
          <t>VÄRMLANDS LÄN</t>
        </is>
      </c>
      <c r="E13714" t="inlineStr">
        <is>
          <t>SÄFFLE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9273-2024</t>
        </is>
      </c>
      <c r="B13715" s="1" t="n">
        <v>45358</v>
      </c>
      <c r="C13715" s="1" t="n">
        <v>45736</v>
      </c>
      <c r="D13715" t="inlineStr">
        <is>
          <t>VÄRMLANDS LÄN</t>
        </is>
      </c>
      <c r="E13715" t="inlineStr">
        <is>
          <t>ÅRJÄNG</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9282-2024</t>
        </is>
      </c>
      <c r="B13716" s="1" t="n">
        <v>45358</v>
      </c>
      <c r="C13716" s="1" t="n">
        <v>45736</v>
      </c>
      <c r="D13716" t="inlineStr">
        <is>
          <t>VÄRMLANDS LÄN</t>
        </is>
      </c>
      <c r="E13716" t="inlineStr">
        <is>
          <t>SÄFFLE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9280-2024</t>
        </is>
      </c>
      <c r="B13717" s="1" t="n">
        <v>45358</v>
      </c>
      <c r="C13717" s="1" t="n">
        <v>45736</v>
      </c>
      <c r="D13717" t="inlineStr">
        <is>
          <t>VÄRMLANDS LÄN</t>
        </is>
      </c>
      <c r="E13717" t="inlineStr">
        <is>
          <t>SÄFFLE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9406-2024</t>
        </is>
      </c>
      <c r="B13718" s="1" t="n">
        <v>45358</v>
      </c>
      <c r="C13718" s="1" t="n">
        <v>45736</v>
      </c>
      <c r="D13718" t="inlineStr">
        <is>
          <t>VÄRMLANDS LÄN</t>
        </is>
      </c>
      <c r="E13718" t="inlineStr">
        <is>
          <t>SÄFFLE</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9144-2024</t>
        </is>
      </c>
      <c r="B13719" s="1" t="n">
        <v>45358</v>
      </c>
      <c r="C13719" s="1" t="n">
        <v>45736</v>
      </c>
      <c r="D13719" t="inlineStr">
        <is>
          <t>VÄRMLANDS LÄN</t>
        </is>
      </c>
      <c r="E13719" t="inlineStr">
        <is>
          <t>GRUMS</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9226-2024</t>
        </is>
      </c>
      <c r="B13720" s="1" t="n">
        <v>45358</v>
      </c>
      <c r="C13720" s="1" t="n">
        <v>45736</v>
      </c>
      <c r="D13720" t="inlineStr">
        <is>
          <t>VÄRMLANDS LÄN</t>
        </is>
      </c>
      <c r="E13720" t="inlineStr">
        <is>
          <t>EDA</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9402-2024</t>
        </is>
      </c>
      <c r="B13721" s="1" t="n">
        <v>45358</v>
      </c>
      <c r="C13721" s="1" t="n">
        <v>45736</v>
      </c>
      <c r="D13721" t="inlineStr">
        <is>
          <t>VÄRMLANDS LÄN</t>
        </is>
      </c>
      <c r="E13721" t="inlineStr">
        <is>
          <t>SÄFFLE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9381-2024</t>
        </is>
      </c>
      <c r="B13722" s="1" t="n">
        <v>45359</v>
      </c>
      <c r="C13722" s="1" t="n">
        <v>45736</v>
      </c>
      <c r="D13722" t="inlineStr">
        <is>
          <t>VÄRMLANDS LÄN</t>
        </is>
      </c>
      <c r="E13722" t="inlineStr">
        <is>
          <t>TORSBY</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9397-2024</t>
        </is>
      </c>
      <c r="B13723" s="1" t="n">
        <v>45359</v>
      </c>
      <c r="C13723" s="1" t="n">
        <v>45736</v>
      </c>
      <c r="D13723" t="inlineStr">
        <is>
          <t>VÄRMLANDS LÄN</t>
        </is>
      </c>
      <c r="E13723" t="inlineStr">
        <is>
          <t>ÅRJÄNG</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9461-2024</t>
        </is>
      </c>
      <c r="B13724" s="1" t="n">
        <v>45359</v>
      </c>
      <c r="C13724" s="1" t="n">
        <v>45736</v>
      </c>
      <c r="D13724" t="inlineStr">
        <is>
          <t>VÄRMLANDS LÄN</t>
        </is>
      </c>
      <c r="E13724" t="inlineStr">
        <is>
          <t>SÄFFLE</t>
        </is>
      </c>
      <c r="F13724" t="inlineStr">
        <is>
          <t>Kommuner</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9429-2024</t>
        </is>
      </c>
      <c r="B13725" s="1" t="n">
        <v>45359</v>
      </c>
      <c r="C13725" s="1" t="n">
        <v>45736</v>
      </c>
      <c r="D13725" t="inlineStr">
        <is>
          <t>VÄRMLANDS LÄN</t>
        </is>
      </c>
      <c r="E13725" t="inlineStr">
        <is>
          <t>FORSHAGA</t>
        </is>
      </c>
      <c r="F13725" t="inlineStr">
        <is>
          <t>Bergvik skog väst AB</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9460-2024</t>
        </is>
      </c>
      <c r="B13726" s="1" t="n">
        <v>45359</v>
      </c>
      <c r="C13726" s="1" t="n">
        <v>45736</v>
      </c>
      <c r="D13726" t="inlineStr">
        <is>
          <t>VÄRMLANDS LÄN</t>
        </is>
      </c>
      <c r="E13726" t="inlineStr">
        <is>
          <t>KARLSTAD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9459-2024</t>
        </is>
      </c>
      <c r="B13727" s="1" t="n">
        <v>45359</v>
      </c>
      <c r="C13727" s="1" t="n">
        <v>45736</v>
      </c>
      <c r="D13727" t="inlineStr">
        <is>
          <t>VÄRMLANDS LÄN</t>
        </is>
      </c>
      <c r="E13727" t="inlineStr">
        <is>
          <t>KARLSTAD</t>
        </is>
      </c>
      <c r="G13727" t="n">
        <v>11.5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9542-2024</t>
        </is>
      </c>
      <c r="B13728" s="1" t="n">
        <v>45359</v>
      </c>
      <c r="C13728" s="1" t="n">
        <v>45736</v>
      </c>
      <c r="D13728" t="inlineStr">
        <is>
          <t>VÄRMLANDS LÄN</t>
        </is>
      </c>
      <c r="E13728" t="inlineStr">
        <is>
          <t>SUNNE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9483-2024</t>
        </is>
      </c>
      <c r="B13729" s="1" t="n">
        <v>45359</v>
      </c>
      <c r="C13729" s="1" t="n">
        <v>45736</v>
      </c>
      <c r="D13729" t="inlineStr">
        <is>
          <t>VÄRMLANDS LÄN</t>
        </is>
      </c>
      <c r="E13729" t="inlineStr">
        <is>
          <t>SÄFFLE</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9524-2024</t>
        </is>
      </c>
      <c r="B13730" s="1" t="n">
        <v>45359</v>
      </c>
      <c r="C13730" s="1" t="n">
        <v>45736</v>
      </c>
      <c r="D13730" t="inlineStr">
        <is>
          <t>VÄRMLANDS LÄN</t>
        </is>
      </c>
      <c r="E13730" t="inlineStr">
        <is>
          <t>FORSHAGA</t>
        </is>
      </c>
      <c r="F13730" t="inlineStr">
        <is>
          <t>Kommuner</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9525-2024</t>
        </is>
      </c>
      <c r="B13731" s="1" t="n">
        <v>45359</v>
      </c>
      <c r="C13731" s="1" t="n">
        <v>45736</v>
      </c>
      <c r="D13731" t="inlineStr">
        <is>
          <t>VÄRMLANDS LÄN</t>
        </is>
      </c>
      <c r="E13731" t="inlineStr">
        <is>
          <t>ARVIKA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9537-2024</t>
        </is>
      </c>
      <c r="B13732" s="1" t="n">
        <v>45359</v>
      </c>
      <c r="C13732" s="1" t="n">
        <v>45736</v>
      </c>
      <c r="D13732" t="inlineStr">
        <is>
          <t>VÄRMLANDS LÄN</t>
        </is>
      </c>
      <c r="E13732" t="inlineStr">
        <is>
          <t>SUNNE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9394-2024</t>
        </is>
      </c>
      <c r="B13733" s="1" t="n">
        <v>45359</v>
      </c>
      <c r="C13733" s="1" t="n">
        <v>45736</v>
      </c>
      <c r="D13733" t="inlineStr">
        <is>
          <t>VÄRMLANDS LÄN</t>
        </is>
      </c>
      <c r="E13733" t="inlineStr">
        <is>
          <t>KRISTINEHAMN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9445-2024</t>
        </is>
      </c>
      <c r="B13734" s="1" t="n">
        <v>45359</v>
      </c>
      <c r="C13734" s="1" t="n">
        <v>45736</v>
      </c>
      <c r="D13734" t="inlineStr">
        <is>
          <t>VÄRMLANDS LÄN</t>
        </is>
      </c>
      <c r="E13734" t="inlineStr">
        <is>
          <t>SUNNE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9499-2024</t>
        </is>
      </c>
      <c r="B13735" s="1" t="n">
        <v>45359</v>
      </c>
      <c r="C13735" s="1" t="n">
        <v>45736</v>
      </c>
      <c r="D13735" t="inlineStr">
        <is>
          <t>VÄRMLANDS LÄN</t>
        </is>
      </c>
      <c r="E13735" t="inlineStr">
        <is>
          <t>KARLSTAD</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9503-2024</t>
        </is>
      </c>
      <c r="B13736" s="1" t="n">
        <v>45359</v>
      </c>
      <c r="C13736" s="1" t="n">
        <v>45736</v>
      </c>
      <c r="D13736" t="inlineStr">
        <is>
          <t>VÄRMLANDS LÄN</t>
        </is>
      </c>
      <c r="E13736" t="inlineStr">
        <is>
          <t>SUNNE</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9543-2024</t>
        </is>
      </c>
      <c r="B13737" s="1" t="n">
        <v>45359</v>
      </c>
      <c r="C13737" s="1" t="n">
        <v>45736</v>
      </c>
      <c r="D13737" t="inlineStr">
        <is>
          <t>VÄRMLANDS LÄN</t>
        </is>
      </c>
      <c r="E13737" t="inlineStr">
        <is>
          <t>SÄFFLE</t>
        </is>
      </c>
      <c r="G13737" t="n">
        <v>9.5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9547-2024</t>
        </is>
      </c>
      <c r="B13738" s="1" t="n">
        <v>45359</v>
      </c>
      <c r="C13738" s="1" t="n">
        <v>45736</v>
      </c>
      <c r="D13738" t="inlineStr">
        <is>
          <t>VÄRMLANDS LÄN</t>
        </is>
      </c>
      <c r="E13738" t="inlineStr">
        <is>
          <t>EDA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9584-2024</t>
        </is>
      </c>
      <c r="B13739" s="1" t="n">
        <v>45360</v>
      </c>
      <c r="C13739" s="1" t="n">
        <v>45736</v>
      </c>
      <c r="D13739" t="inlineStr">
        <is>
          <t>VÄRMLANDS LÄN</t>
        </is>
      </c>
      <c r="E13739" t="inlineStr">
        <is>
          <t>ÅRJÄNG</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9574-2024</t>
        </is>
      </c>
      <c r="B13740" s="1" t="n">
        <v>45360</v>
      </c>
      <c r="C13740" s="1" t="n">
        <v>45736</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9606-2024</t>
        </is>
      </c>
      <c r="B13741" s="1" t="n">
        <v>45361</v>
      </c>
      <c r="C13741" s="1" t="n">
        <v>45736</v>
      </c>
      <c r="D13741" t="inlineStr">
        <is>
          <t>VÄRMLANDS LÄN</t>
        </is>
      </c>
      <c r="E13741" t="inlineStr">
        <is>
          <t>KRISTINEHAMN</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9612-2024</t>
        </is>
      </c>
      <c r="B13742" s="1" t="n">
        <v>45361</v>
      </c>
      <c r="C13742" s="1" t="n">
        <v>45736</v>
      </c>
      <c r="D13742" t="inlineStr">
        <is>
          <t>VÄRMLANDS LÄN</t>
        </is>
      </c>
      <c r="E13742" t="inlineStr">
        <is>
          <t>SÄFFLE</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9684-2024</t>
        </is>
      </c>
      <c r="B13743" s="1" t="n">
        <v>45362</v>
      </c>
      <c r="C13743" s="1" t="n">
        <v>45736</v>
      </c>
      <c r="D13743" t="inlineStr">
        <is>
          <t>VÄRMLANDS LÄN</t>
        </is>
      </c>
      <c r="E13743" t="inlineStr">
        <is>
          <t>ARVIKA</t>
        </is>
      </c>
      <c r="G13743" t="n">
        <v>6.4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9662-2024</t>
        </is>
      </c>
      <c r="B13744" s="1" t="n">
        <v>45362</v>
      </c>
      <c r="C13744" s="1" t="n">
        <v>45736</v>
      </c>
      <c r="D13744" t="inlineStr">
        <is>
          <t>VÄRMLANDS LÄN</t>
        </is>
      </c>
      <c r="E13744" t="inlineStr">
        <is>
          <t>ÅRJÄNG</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9666-2024</t>
        </is>
      </c>
      <c r="B13745" s="1" t="n">
        <v>45362</v>
      </c>
      <c r="C13745" s="1" t="n">
        <v>45736</v>
      </c>
      <c r="D13745" t="inlineStr">
        <is>
          <t>VÄRMLANDS LÄN</t>
        </is>
      </c>
      <c r="E13745" t="inlineStr">
        <is>
          <t>ÅRJÄNG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9764-2024</t>
        </is>
      </c>
      <c r="B13746" s="1" t="n">
        <v>45362</v>
      </c>
      <c r="C13746" s="1" t="n">
        <v>45736</v>
      </c>
      <c r="D13746" t="inlineStr">
        <is>
          <t>VÄRMLANDS LÄN</t>
        </is>
      </c>
      <c r="E13746" t="inlineStr">
        <is>
          <t>TORSBY</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9628-2024</t>
        </is>
      </c>
      <c r="B13747" s="1" t="n">
        <v>45362</v>
      </c>
      <c r="C13747" s="1" t="n">
        <v>45736</v>
      </c>
      <c r="D13747" t="inlineStr">
        <is>
          <t>VÄRMLANDS LÄN</t>
        </is>
      </c>
      <c r="E13747" t="inlineStr">
        <is>
          <t>ARVIKA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9713-2024</t>
        </is>
      </c>
      <c r="B13748" s="1" t="n">
        <v>45362</v>
      </c>
      <c r="C13748" s="1" t="n">
        <v>45736</v>
      </c>
      <c r="D13748" t="inlineStr">
        <is>
          <t>VÄRMLANDS LÄN</t>
        </is>
      </c>
      <c r="E13748" t="inlineStr">
        <is>
          <t>SUNNE</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9630-2024</t>
        </is>
      </c>
      <c r="B13749" s="1" t="n">
        <v>45362</v>
      </c>
      <c r="C13749" s="1" t="n">
        <v>45736</v>
      </c>
      <c r="D13749" t="inlineStr">
        <is>
          <t>VÄRMLANDS LÄN</t>
        </is>
      </c>
      <c r="E13749" t="inlineStr">
        <is>
          <t>ARVIKA</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9634-2024</t>
        </is>
      </c>
      <c r="B13750" s="1" t="n">
        <v>45362</v>
      </c>
      <c r="C13750" s="1" t="n">
        <v>45736</v>
      </c>
      <c r="D13750" t="inlineStr">
        <is>
          <t>VÄRMLANDS LÄN</t>
        </is>
      </c>
      <c r="E13750" t="inlineStr">
        <is>
          <t>SUNNE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9691-2024</t>
        </is>
      </c>
      <c r="B13751" s="1" t="n">
        <v>45362</v>
      </c>
      <c r="C13751" s="1" t="n">
        <v>45736</v>
      </c>
      <c r="D13751" t="inlineStr">
        <is>
          <t>VÄRMLANDS LÄN</t>
        </is>
      </c>
      <c r="E13751" t="inlineStr">
        <is>
          <t>ARVIKA</t>
        </is>
      </c>
      <c r="F13751" t="inlineStr">
        <is>
          <t>Bergvik skog väst AB</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9749-2024</t>
        </is>
      </c>
      <c r="B13752" s="1" t="n">
        <v>45362</v>
      </c>
      <c r="C13752" s="1" t="n">
        <v>45736</v>
      </c>
      <c r="D13752" t="inlineStr">
        <is>
          <t>VÄRMLANDS LÄN</t>
        </is>
      </c>
      <c r="E13752" t="inlineStr">
        <is>
          <t>ÅRJÄNG</t>
        </is>
      </c>
      <c r="F13752" t="inlineStr">
        <is>
          <t>Kyrkan</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9799-2024</t>
        </is>
      </c>
      <c r="B13753" s="1" t="n">
        <v>45362</v>
      </c>
      <c r="C13753" s="1" t="n">
        <v>45736</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9793-2024</t>
        </is>
      </c>
      <c r="B13754" s="1" t="n">
        <v>45362</v>
      </c>
      <c r="C13754" s="1" t="n">
        <v>45736</v>
      </c>
      <c r="D13754" t="inlineStr">
        <is>
          <t>VÄRMLANDS LÄN</t>
        </is>
      </c>
      <c r="E13754" t="inlineStr">
        <is>
          <t>TORSBY</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9797-2024</t>
        </is>
      </c>
      <c r="B13755" s="1" t="n">
        <v>45362</v>
      </c>
      <c r="C13755" s="1" t="n">
        <v>45736</v>
      </c>
      <c r="D13755" t="inlineStr">
        <is>
          <t>VÄRMLANDS LÄN</t>
        </is>
      </c>
      <c r="E13755" t="inlineStr">
        <is>
          <t>TORSBY</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9902-2024</t>
        </is>
      </c>
      <c r="B13756" s="1" t="n">
        <v>45363</v>
      </c>
      <c r="C13756" s="1" t="n">
        <v>45736</v>
      </c>
      <c r="D13756" t="inlineStr">
        <is>
          <t>VÄRMLANDS LÄN</t>
        </is>
      </c>
      <c r="E13756" t="inlineStr">
        <is>
          <t>TORSBY</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9900-2024</t>
        </is>
      </c>
      <c r="B13757" s="1" t="n">
        <v>45363</v>
      </c>
      <c r="C13757" s="1" t="n">
        <v>45736</v>
      </c>
      <c r="D13757" t="inlineStr">
        <is>
          <t>VÄRMLANDS LÄN</t>
        </is>
      </c>
      <c r="E13757" t="inlineStr">
        <is>
          <t>TORSBY</t>
        </is>
      </c>
      <c r="G13757" t="n">
        <v>13.6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9904-2024</t>
        </is>
      </c>
      <c r="B13758" s="1" t="n">
        <v>45363</v>
      </c>
      <c r="C13758" s="1" t="n">
        <v>45736</v>
      </c>
      <c r="D13758" t="inlineStr">
        <is>
          <t>VÄRMLANDS LÄN</t>
        </is>
      </c>
      <c r="E13758" t="inlineStr">
        <is>
          <t>TORSBY</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9908-2024</t>
        </is>
      </c>
      <c r="B13759" s="1" t="n">
        <v>45363</v>
      </c>
      <c r="C13759" s="1" t="n">
        <v>45736</v>
      </c>
      <c r="D13759" t="inlineStr">
        <is>
          <t>VÄRMLANDS LÄN</t>
        </is>
      </c>
      <c r="E13759" t="inlineStr">
        <is>
          <t>TORSBY</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9912-2024</t>
        </is>
      </c>
      <c r="B13760" s="1" t="n">
        <v>45363</v>
      </c>
      <c r="C13760" s="1" t="n">
        <v>45736</v>
      </c>
      <c r="D13760" t="inlineStr">
        <is>
          <t>VÄRMLANDS LÄN</t>
        </is>
      </c>
      <c r="E13760" t="inlineStr">
        <is>
          <t>TORSBY</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9916-2024</t>
        </is>
      </c>
      <c r="B13761" s="1" t="n">
        <v>45363</v>
      </c>
      <c r="C13761" s="1" t="n">
        <v>45736</v>
      </c>
      <c r="D13761" t="inlineStr">
        <is>
          <t>VÄRMLANDS LÄN</t>
        </is>
      </c>
      <c r="E13761" t="inlineStr">
        <is>
          <t>ARVIKA</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9951-2024</t>
        </is>
      </c>
      <c r="B13762" s="1" t="n">
        <v>45363</v>
      </c>
      <c r="C13762" s="1" t="n">
        <v>45736</v>
      </c>
      <c r="D13762" t="inlineStr">
        <is>
          <t>VÄRMLANDS LÄN</t>
        </is>
      </c>
      <c r="E13762" t="inlineStr">
        <is>
          <t>STORFORS</t>
        </is>
      </c>
      <c r="F13762" t="inlineStr">
        <is>
          <t>Bergvik skog väst AB</t>
        </is>
      </c>
      <c r="G13762" t="n">
        <v>6.1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9871-2024</t>
        </is>
      </c>
      <c r="B13763" s="1" t="n">
        <v>45363</v>
      </c>
      <c r="C13763" s="1" t="n">
        <v>45736</v>
      </c>
      <c r="D13763" t="inlineStr">
        <is>
          <t>VÄRMLANDS LÄN</t>
        </is>
      </c>
      <c r="E13763" t="inlineStr">
        <is>
          <t>TORSBY</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9909-2024</t>
        </is>
      </c>
      <c r="B13764" s="1" t="n">
        <v>45363</v>
      </c>
      <c r="C13764" s="1" t="n">
        <v>45736</v>
      </c>
      <c r="D13764" t="inlineStr">
        <is>
          <t>VÄRMLANDS LÄN</t>
        </is>
      </c>
      <c r="E13764" t="inlineStr">
        <is>
          <t>ÅRJÄNG</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9945-2024</t>
        </is>
      </c>
      <c r="B13765" s="1" t="n">
        <v>45363</v>
      </c>
      <c r="C13765" s="1" t="n">
        <v>45736</v>
      </c>
      <c r="D13765" t="inlineStr">
        <is>
          <t>VÄRMLANDS LÄN</t>
        </is>
      </c>
      <c r="E13765" t="inlineStr">
        <is>
          <t>KARLSTAD</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10000-2024</t>
        </is>
      </c>
      <c r="B13766" s="1" t="n">
        <v>45363</v>
      </c>
      <c r="C13766" s="1" t="n">
        <v>45736</v>
      </c>
      <c r="D13766" t="inlineStr">
        <is>
          <t>VÄRMLANDS LÄN</t>
        </is>
      </c>
      <c r="E13766" t="inlineStr">
        <is>
          <t>KRISTINEHAMN</t>
        </is>
      </c>
      <c r="F13766" t="inlineStr">
        <is>
          <t>Bergvik skog väst AB</t>
        </is>
      </c>
      <c r="G13766" t="n">
        <v>12.1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10011-2024</t>
        </is>
      </c>
      <c r="B13767" s="1" t="n">
        <v>45363</v>
      </c>
      <c r="C13767" s="1" t="n">
        <v>45736</v>
      </c>
      <c r="D13767" t="inlineStr">
        <is>
          <t>VÄRMLANDS LÄN</t>
        </is>
      </c>
      <c r="E13767" t="inlineStr">
        <is>
          <t>TORSBY</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10140-2024</t>
        </is>
      </c>
      <c r="B13768" s="1" t="n">
        <v>45364</v>
      </c>
      <c r="C13768" s="1" t="n">
        <v>45736</v>
      </c>
      <c r="D13768" t="inlineStr">
        <is>
          <t>VÄRMLANDS LÄN</t>
        </is>
      </c>
      <c r="E13768" t="inlineStr">
        <is>
          <t>ARVIKA</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10148-2024</t>
        </is>
      </c>
      <c r="B13769" s="1" t="n">
        <v>45364</v>
      </c>
      <c r="C13769" s="1" t="n">
        <v>45736</v>
      </c>
      <c r="D13769" t="inlineStr">
        <is>
          <t>VÄRMLANDS LÄN</t>
        </is>
      </c>
      <c r="E13769" t="inlineStr">
        <is>
          <t>GRUMS</t>
        </is>
      </c>
      <c r="F13769" t="inlineStr">
        <is>
          <t>Bergvik skog väst AB</t>
        </is>
      </c>
      <c r="G13769" t="n">
        <v>7.3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10106-2024</t>
        </is>
      </c>
      <c r="B13770" s="1" t="n">
        <v>45364</v>
      </c>
      <c r="C13770" s="1" t="n">
        <v>45736</v>
      </c>
      <c r="D13770" t="inlineStr">
        <is>
          <t>VÄRMLANDS LÄN</t>
        </is>
      </c>
      <c r="E13770" t="inlineStr">
        <is>
          <t>KRISTINEHAMN</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10110-2024</t>
        </is>
      </c>
      <c r="B13771" s="1" t="n">
        <v>45364</v>
      </c>
      <c r="C13771" s="1" t="n">
        <v>45736</v>
      </c>
      <c r="D13771" t="inlineStr">
        <is>
          <t>VÄRMLANDS LÄN</t>
        </is>
      </c>
      <c r="E13771" t="inlineStr">
        <is>
          <t>KRISTINEHAMN</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10138-2024</t>
        </is>
      </c>
      <c r="B13772" s="1" t="n">
        <v>45364</v>
      </c>
      <c r="C13772" s="1" t="n">
        <v>45736</v>
      </c>
      <c r="D13772" t="inlineStr">
        <is>
          <t>VÄRMLANDS LÄN</t>
        </is>
      </c>
      <c r="E13772" t="inlineStr">
        <is>
          <t>FILIPSTAD</t>
        </is>
      </c>
      <c r="F13772" t="inlineStr">
        <is>
          <t>Kommuner</t>
        </is>
      </c>
      <c r="G13772" t="n">
        <v>6.8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10116-2024</t>
        </is>
      </c>
      <c r="B13773" s="1" t="n">
        <v>45364</v>
      </c>
      <c r="C13773" s="1" t="n">
        <v>45736</v>
      </c>
      <c r="D13773" t="inlineStr">
        <is>
          <t>VÄRMLANDS LÄN</t>
        </is>
      </c>
      <c r="E13773" t="inlineStr">
        <is>
          <t>KRISTINEHAMN</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10124-2024</t>
        </is>
      </c>
      <c r="B13774" s="1" t="n">
        <v>45364</v>
      </c>
      <c r="C13774" s="1" t="n">
        <v>45736</v>
      </c>
      <c r="D13774" t="inlineStr">
        <is>
          <t>VÄRMLANDS LÄN</t>
        </is>
      </c>
      <c r="E13774" t="inlineStr">
        <is>
          <t>KRISTINEHAMN</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10134-2024</t>
        </is>
      </c>
      <c r="B13775" s="1" t="n">
        <v>45364</v>
      </c>
      <c r="C13775" s="1" t="n">
        <v>45736</v>
      </c>
      <c r="D13775" t="inlineStr">
        <is>
          <t>VÄRMLANDS LÄN</t>
        </is>
      </c>
      <c r="E13775" t="inlineStr">
        <is>
          <t>SUNNE</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10143-2024</t>
        </is>
      </c>
      <c r="B13776" s="1" t="n">
        <v>45364</v>
      </c>
      <c r="C13776" s="1" t="n">
        <v>45736</v>
      </c>
      <c r="D13776" t="inlineStr">
        <is>
          <t>VÄRMLANDS LÄN</t>
        </is>
      </c>
      <c r="E13776" t="inlineStr">
        <is>
          <t>FILIPSTAD</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10164-2024</t>
        </is>
      </c>
      <c r="B13777" s="1" t="n">
        <v>45364</v>
      </c>
      <c r="C13777" s="1" t="n">
        <v>45736</v>
      </c>
      <c r="D13777" t="inlineStr">
        <is>
          <t>VÄRMLANDS LÄN</t>
        </is>
      </c>
      <c r="E13777" t="inlineStr">
        <is>
          <t>ÅRJÄNG</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10232-2024</t>
        </is>
      </c>
      <c r="B13778" s="1" t="n">
        <v>45365</v>
      </c>
      <c r="C13778" s="1" t="n">
        <v>45736</v>
      </c>
      <c r="D13778" t="inlineStr">
        <is>
          <t>VÄRMLANDS LÄN</t>
        </is>
      </c>
      <c r="E13778" t="inlineStr">
        <is>
          <t>SUNNE</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10304-2024</t>
        </is>
      </c>
      <c r="B13779" s="1" t="n">
        <v>45365</v>
      </c>
      <c r="C13779" s="1" t="n">
        <v>45736</v>
      </c>
      <c r="D13779" t="inlineStr">
        <is>
          <t>VÄRMLANDS LÄN</t>
        </is>
      </c>
      <c r="E13779" t="inlineStr">
        <is>
          <t>TORSBY</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10316-2024</t>
        </is>
      </c>
      <c r="B13780" s="1" t="n">
        <v>45365</v>
      </c>
      <c r="C13780" s="1" t="n">
        <v>45736</v>
      </c>
      <c r="D13780" t="inlineStr">
        <is>
          <t>VÄRMLANDS LÄN</t>
        </is>
      </c>
      <c r="E13780" t="inlineStr">
        <is>
          <t>KRISTINEHAMN</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10245-2024</t>
        </is>
      </c>
      <c r="B13781" s="1" t="n">
        <v>45365</v>
      </c>
      <c r="C13781" s="1" t="n">
        <v>45736</v>
      </c>
      <c r="D13781" t="inlineStr">
        <is>
          <t>VÄRMLANDS LÄN</t>
        </is>
      </c>
      <c r="E13781" t="inlineStr">
        <is>
          <t>SÄFFLE</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10307-2024</t>
        </is>
      </c>
      <c r="B13782" s="1" t="n">
        <v>45365</v>
      </c>
      <c r="C13782" s="1" t="n">
        <v>45736</v>
      </c>
      <c r="D13782" t="inlineStr">
        <is>
          <t>VÄRMLANDS LÄN</t>
        </is>
      </c>
      <c r="E13782" t="inlineStr">
        <is>
          <t>SUNNE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10278-2024</t>
        </is>
      </c>
      <c r="B13783" s="1" t="n">
        <v>45365</v>
      </c>
      <c r="C13783" s="1" t="n">
        <v>45736</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10361-2024</t>
        </is>
      </c>
      <c r="B13784" s="1" t="n">
        <v>45365</v>
      </c>
      <c r="C13784" s="1" t="n">
        <v>45736</v>
      </c>
      <c r="D13784" t="inlineStr">
        <is>
          <t>VÄRMLANDS LÄN</t>
        </is>
      </c>
      <c r="E13784" t="inlineStr">
        <is>
          <t>HAGFORS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10298-2024</t>
        </is>
      </c>
      <c r="B13785" s="1" t="n">
        <v>45365</v>
      </c>
      <c r="C13785" s="1" t="n">
        <v>45736</v>
      </c>
      <c r="D13785" t="inlineStr">
        <is>
          <t>VÄRMLANDS LÄN</t>
        </is>
      </c>
      <c r="E13785" t="inlineStr">
        <is>
          <t>EDA</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10322-2024</t>
        </is>
      </c>
      <c r="B13786" s="1" t="n">
        <v>45365</v>
      </c>
      <c r="C13786" s="1" t="n">
        <v>45736</v>
      </c>
      <c r="D13786" t="inlineStr">
        <is>
          <t>VÄRMLANDS LÄN</t>
        </is>
      </c>
      <c r="E13786" t="inlineStr">
        <is>
          <t>SÄFFLE</t>
        </is>
      </c>
      <c r="G13786" t="n">
        <v>20.7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10338-2024</t>
        </is>
      </c>
      <c r="B13787" s="1" t="n">
        <v>45365</v>
      </c>
      <c r="C13787" s="1" t="n">
        <v>45736</v>
      </c>
      <c r="D13787" t="inlineStr">
        <is>
          <t>VÄRMLANDS LÄN</t>
        </is>
      </c>
      <c r="E13787" t="inlineStr">
        <is>
          <t>ÅRJÄNG</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10348-2024</t>
        </is>
      </c>
      <c r="B13788" s="1" t="n">
        <v>45365</v>
      </c>
      <c r="C13788" s="1" t="n">
        <v>45736</v>
      </c>
      <c r="D13788" t="inlineStr">
        <is>
          <t>VÄRMLANDS LÄN</t>
        </is>
      </c>
      <c r="E13788" t="inlineStr">
        <is>
          <t>FORSHAGA</t>
        </is>
      </c>
      <c r="F13788" t="inlineStr">
        <is>
          <t>Bergvik skog väst AB</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10372-2024</t>
        </is>
      </c>
      <c r="B13789" s="1" t="n">
        <v>45365</v>
      </c>
      <c r="C13789" s="1" t="n">
        <v>45736</v>
      </c>
      <c r="D13789" t="inlineStr">
        <is>
          <t>VÄRMLANDS LÄN</t>
        </is>
      </c>
      <c r="E13789" t="inlineStr">
        <is>
          <t>TORSBY</t>
        </is>
      </c>
      <c r="G13789" t="n">
        <v>8.699999999999999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10252-2024</t>
        </is>
      </c>
      <c r="B13790" s="1" t="n">
        <v>45365</v>
      </c>
      <c r="C13790" s="1" t="n">
        <v>45736</v>
      </c>
      <c r="D13790" t="inlineStr">
        <is>
          <t>VÄRMLANDS LÄN</t>
        </is>
      </c>
      <c r="E13790" t="inlineStr">
        <is>
          <t>SUNNE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10293-2024</t>
        </is>
      </c>
      <c r="B13791" s="1" t="n">
        <v>45365</v>
      </c>
      <c r="C13791" s="1" t="n">
        <v>45736</v>
      </c>
      <c r="D13791" t="inlineStr">
        <is>
          <t>VÄRMLANDS LÄN</t>
        </is>
      </c>
      <c r="E13791" t="inlineStr">
        <is>
          <t>KIL</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10359-2024</t>
        </is>
      </c>
      <c r="B13792" s="1" t="n">
        <v>45365</v>
      </c>
      <c r="C13792" s="1" t="n">
        <v>45736</v>
      </c>
      <c r="D13792" t="inlineStr">
        <is>
          <t>VÄRMLANDS LÄN</t>
        </is>
      </c>
      <c r="E13792" t="inlineStr">
        <is>
          <t>KRISTINEHAMN</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10380-2024</t>
        </is>
      </c>
      <c r="B13793" s="1" t="n">
        <v>45365</v>
      </c>
      <c r="C13793" s="1" t="n">
        <v>45736</v>
      </c>
      <c r="D13793" t="inlineStr">
        <is>
          <t>VÄRMLANDS LÄN</t>
        </is>
      </c>
      <c r="E13793" t="inlineStr">
        <is>
          <t>TORSBY</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10432-2024</t>
        </is>
      </c>
      <c r="B13794" s="1" t="n">
        <v>45365</v>
      </c>
      <c r="C13794" s="1" t="n">
        <v>45736</v>
      </c>
      <c r="D13794" t="inlineStr">
        <is>
          <t>VÄRMLANDS LÄN</t>
        </is>
      </c>
      <c r="E13794" t="inlineStr">
        <is>
          <t>SÄFFLE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10394-2024</t>
        </is>
      </c>
      <c r="B13795" s="1" t="n">
        <v>45365</v>
      </c>
      <c r="C13795" s="1" t="n">
        <v>45736</v>
      </c>
      <c r="D13795" t="inlineStr">
        <is>
          <t>VÄRMLANDS LÄN</t>
        </is>
      </c>
      <c r="E13795" t="inlineStr">
        <is>
          <t>SUNNE</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10427-2024</t>
        </is>
      </c>
      <c r="B13796" s="1" t="n">
        <v>45365</v>
      </c>
      <c r="C13796" s="1" t="n">
        <v>45736</v>
      </c>
      <c r="D13796" t="inlineStr">
        <is>
          <t>VÄRMLANDS LÄN</t>
        </is>
      </c>
      <c r="E13796" t="inlineStr">
        <is>
          <t>ARVIKA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10466-2024</t>
        </is>
      </c>
      <c r="B13797" s="1" t="n">
        <v>45366</v>
      </c>
      <c r="C13797" s="1" t="n">
        <v>45736</v>
      </c>
      <c r="D13797" t="inlineStr">
        <is>
          <t>VÄRMLANDS LÄN</t>
        </is>
      </c>
      <c r="E13797" t="inlineStr">
        <is>
          <t>TORSBY</t>
        </is>
      </c>
      <c r="G13797" t="n">
        <v>8.199999999999999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10475-2024</t>
        </is>
      </c>
      <c r="B13798" s="1" t="n">
        <v>45366</v>
      </c>
      <c r="C13798" s="1" t="n">
        <v>45736</v>
      </c>
      <c r="D13798" t="inlineStr">
        <is>
          <t>VÄRMLANDS LÄN</t>
        </is>
      </c>
      <c r="E13798" t="inlineStr">
        <is>
          <t>KIL</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10448-2024</t>
        </is>
      </c>
      <c r="B13799" s="1" t="n">
        <v>45366</v>
      </c>
      <c r="C13799" s="1" t="n">
        <v>45736</v>
      </c>
      <c r="D13799" t="inlineStr">
        <is>
          <t>VÄRMLANDS LÄN</t>
        </is>
      </c>
      <c r="E13799" t="inlineStr">
        <is>
          <t>SUNNE</t>
        </is>
      </c>
      <c r="G13799" t="n">
        <v>7.9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10481-2024</t>
        </is>
      </c>
      <c r="B13800" s="1" t="n">
        <v>45366</v>
      </c>
      <c r="C13800" s="1" t="n">
        <v>45736</v>
      </c>
      <c r="D13800" t="inlineStr">
        <is>
          <t>VÄRMLANDS LÄN</t>
        </is>
      </c>
      <c r="E13800" t="inlineStr">
        <is>
          <t>GRUMS</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10493-2024</t>
        </is>
      </c>
      <c r="B13801" s="1" t="n">
        <v>45366</v>
      </c>
      <c r="C13801" s="1" t="n">
        <v>45736</v>
      </c>
      <c r="D13801" t="inlineStr">
        <is>
          <t>VÄRMLANDS LÄN</t>
        </is>
      </c>
      <c r="E13801" t="inlineStr">
        <is>
          <t>ARVIKA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10522-2024</t>
        </is>
      </c>
      <c r="B13802" s="1" t="n">
        <v>45366</v>
      </c>
      <c r="C13802" s="1" t="n">
        <v>45736</v>
      </c>
      <c r="D13802" t="inlineStr">
        <is>
          <t>VÄRMLANDS LÄN</t>
        </is>
      </c>
      <c r="E13802" t="inlineStr">
        <is>
          <t>KRISTINEHAMN</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10520-2024</t>
        </is>
      </c>
      <c r="B13803" s="1" t="n">
        <v>45366</v>
      </c>
      <c r="C13803" s="1" t="n">
        <v>45736</v>
      </c>
      <c r="D13803" t="inlineStr">
        <is>
          <t>VÄRMLANDS LÄN</t>
        </is>
      </c>
      <c r="E13803" t="inlineStr">
        <is>
          <t>KRISTINEHAMN</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10562-2024</t>
        </is>
      </c>
      <c r="B13804" s="1" t="n">
        <v>45366</v>
      </c>
      <c r="C13804" s="1" t="n">
        <v>45736</v>
      </c>
      <c r="D13804" t="inlineStr">
        <is>
          <t>VÄRMLANDS LÄN</t>
        </is>
      </c>
      <c r="E13804" t="inlineStr">
        <is>
          <t>HAGFORS</t>
        </is>
      </c>
      <c r="F13804" t="inlineStr">
        <is>
          <t>Bergvik skog väst AB</t>
        </is>
      </c>
      <c r="G13804" t="n">
        <v>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10548-2024</t>
        </is>
      </c>
      <c r="B13805" s="1" t="n">
        <v>45366</v>
      </c>
      <c r="C13805" s="1" t="n">
        <v>45736</v>
      </c>
      <c r="D13805" t="inlineStr">
        <is>
          <t>VÄRMLANDS LÄN</t>
        </is>
      </c>
      <c r="E13805" t="inlineStr">
        <is>
          <t>KRISTINEHAMN</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10590-2024</t>
        </is>
      </c>
      <c r="B13806" s="1" t="n">
        <v>45366</v>
      </c>
      <c r="C13806" s="1" t="n">
        <v>45736</v>
      </c>
      <c r="D13806" t="inlineStr">
        <is>
          <t>VÄRMLANDS LÄN</t>
        </is>
      </c>
      <c r="E13806" t="inlineStr">
        <is>
          <t>FORSHAGA</t>
        </is>
      </c>
      <c r="G13806" t="n">
        <v>6.7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10461-2024</t>
        </is>
      </c>
      <c r="B13807" s="1" t="n">
        <v>45366</v>
      </c>
      <c r="C13807" s="1" t="n">
        <v>45736</v>
      </c>
      <c r="D13807" t="inlineStr">
        <is>
          <t>VÄRMLANDS LÄN</t>
        </is>
      </c>
      <c r="E13807" t="inlineStr">
        <is>
          <t>KARLSTAD</t>
        </is>
      </c>
      <c r="F13807" t="inlineStr">
        <is>
          <t>Övriga statliga verk och myndigheter</t>
        </is>
      </c>
      <c r="G13807" t="n">
        <v>17.8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10494-2024</t>
        </is>
      </c>
      <c r="B13808" s="1" t="n">
        <v>45366</v>
      </c>
      <c r="C13808" s="1" t="n">
        <v>45736</v>
      </c>
      <c r="D13808" t="inlineStr">
        <is>
          <t>VÄRMLANDS LÄN</t>
        </is>
      </c>
      <c r="E13808" t="inlineStr">
        <is>
          <t>ARVIKA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10502-2024</t>
        </is>
      </c>
      <c r="B13809" s="1" t="n">
        <v>45366</v>
      </c>
      <c r="C13809" s="1" t="n">
        <v>45736</v>
      </c>
      <c r="D13809" t="inlineStr">
        <is>
          <t>VÄRMLANDS LÄN</t>
        </is>
      </c>
      <c r="E13809" t="inlineStr">
        <is>
          <t>FORSHAGA</t>
        </is>
      </c>
      <c r="F13809" t="inlineStr">
        <is>
          <t>Bergvik skog väst AB</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10511-2024</t>
        </is>
      </c>
      <c r="B13810" s="1" t="n">
        <v>45366</v>
      </c>
      <c r="C13810" s="1" t="n">
        <v>45736</v>
      </c>
      <c r="D13810" t="inlineStr">
        <is>
          <t>VÄRMLANDS LÄN</t>
        </is>
      </c>
      <c r="E13810" t="inlineStr">
        <is>
          <t>KARLSTAD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11106-2024</t>
        </is>
      </c>
      <c r="B13811" s="1" t="n">
        <v>45366</v>
      </c>
      <c r="C13811" s="1" t="n">
        <v>45736</v>
      </c>
      <c r="D13811" t="inlineStr">
        <is>
          <t>VÄRMLANDS LÄN</t>
        </is>
      </c>
      <c r="E13811" t="inlineStr">
        <is>
          <t>KIL</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10509-2024</t>
        </is>
      </c>
      <c r="B13812" s="1" t="n">
        <v>45366</v>
      </c>
      <c r="C13812" s="1" t="n">
        <v>45736</v>
      </c>
      <c r="D13812" t="inlineStr">
        <is>
          <t>VÄRMLANDS LÄN</t>
        </is>
      </c>
      <c r="E13812" t="inlineStr">
        <is>
          <t>SUNNE</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10513-2024</t>
        </is>
      </c>
      <c r="B13813" s="1" t="n">
        <v>45366</v>
      </c>
      <c r="C13813" s="1" t="n">
        <v>45736</v>
      </c>
      <c r="D13813" t="inlineStr">
        <is>
          <t>VÄRMLANDS LÄN</t>
        </is>
      </c>
      <c r="E13813" t="inlineStr">
        <is>
          <t>ARVIKA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10541-2024</t>
        </is>
      </c>
      <c r="B13814" s="1" t="n">
        <v>45366</v>
      </c>
      <c r="C13814" s="1" t="n">
        <v>45736</v>
      </c>
      <c r="D13814" t="inlineStr">
        <is>
          <t>VÄRMLANDS LÄN</t>
        </is>
      </c>
      <c r="E13814" t="inlineStr">
        <is>
          <t>SÄFFLE</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10561-2024</t>
        </is>
      </c>
      <c r="B13815" s="1" t="n">
        <v>45366</v>
      </c>
      <c r="C13815" s="1" t="n">
        <v>45736</v>
      </c>
      <c r="D13815" t="inlineStr">
        <is>
          <t>VÄRMLANDS LÄN</t>
        </is>
      </c>
      <c r="E13815" t="inlineStr">
        <is>
          <t>HAGFORS</t>
        </is>
      </c>
      <c r="F13815" t="inlineStr">
        <is>
          <t>Bergvik skog väst AB</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10589-2024</t>
        </is>
      </c>
      <c r="B13816" s="1" t="n">
        <v>45366</v>
      </c>
      <c r="C13816" s="1" t="n">
        <v>45736</v>
      </c>
      <c r="D13816" t="inlineStr">
        <is>
          <t>VÄRMLANDS LÄN</t>
        </is>
      </c>
      <c r="E13816" t="inlineStr">
        <is>
          <t>TORSBY</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10601-2024</t>
        </is>
      </c>
      <c r="B13817" s="1" t="n">
        <v>45366</v>
      </c>
      <c r="C13817" s="1" t="n">
        <v>45736</v>
      </c>
      <c r="D13817" t="inlineStr">
        <is>
          <t>VÄRMLANDS LÄN</t>
        </is>
      </c>
      <c r="E13817" t="inlineStr">
        <is>
          <t>SÄFFLE</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10587-2024</t>
        </is>
      </c>
      <c r="B13818" s="1" t="n">
        <v>45366</v>
      </c>
      <c r="C13818" s="1" t="n">
        <v>45736</v>
      </c>
      <c r="D13818" t="inlineStr">
        <is>
          <t>VÄRMLANDS LÄN</t>
        </is>
      </c>
      <c r="E13818" t="inlineStr">
        <is>
          <t>TORSBY</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10635-2024</t>
        </is>
      </c>
      <c r="B13819" s="1" t="n">
        <v>45367</v>
      </c>
      <c r="C13819" s="1" t="n">
        <v>45736</v>
      </c>
      <c r="D13819" t="inlineStr">
        <is>
          <t>VÄRMLANDS LÄN</t>
        </is>
      </c>
      <c r="E13819" t="inlineStr">
        <is>
          <t>KIL</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10634-2024</t>
        </is>
      </c>
      <c r="B13820" s="1" t="n">
        <v>45367</v>
      </c>
      <c r="C13820" s="1" t="n">
        <v>45736</v>
      </c>
      <c r="D13820" t="inlineStr">
        <is>
          <t>VÄRMLANDS LÄN</t>
        </is>
      </c>
      <c r="E13820" t="inlineStr">
        <is>
          <t>KIL</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10645-2024</t>
        </is>
      </c>
      <c r="B13821" s="1" t="n">
        <v>45367</v>
      </c>
      <c r="C13821" s="1" t="n">
        <v>45736</v>
      </c>
      <c r="D13821" t="inlineStr">
        <is>
          <t>VÄRMLANDS LÄN</t>
        </is>
      </c>
      <c r="E13821" t="inlineStr">
        <is>
          <t>SÄFFLE</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10647-2024</t>
        </is>
      </c>
      <c r="B13822" s="1" t="n">
        <v>45368</v>
      </c>
      <c r="C13822" s="1" t="n">
        <v>45736</v>
      </c>
      <c r="D13822" t="inlineStr">
        <is>
          <t>VÄRMLANDS LÄN</t>
        </is>
      </c>
      <c r="E13822" t="inlineStr">
        <is>
          <t>GRUMS</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10649-2024</t>
        </is>
      </c>
      <c r="B13823" s="1" t="n">
        <v>45368</v>
      </c>
      <c r="C13823" s="1" t="n">
        <v>45736</v>
      </c>
      <c r="D13823" t="inlineStr">
        <is>
          <t>VÄRMLANDS LÄN</t>
        </is>
      </c>
      <c r="E13823" t="inlineStr">
        <is>
          <t>SÄFFLE</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10657-2024</t>
        </is>
      </c>
      <c r="B13824" s="1" t="n">
        <v>45368</v>
      </c>
      <c r="C13824" s="1" t="n">
        <v>45736</v>
      </c>
      <c r="D13824" t="inlineStr">
        <is>
          <t>VÄRMLANDS LÄN</t>
        </is>
      </c>
      <c r="E13824" t="inlineStr">
        <is>
          <t>SÄFFLE</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10695-2024</t>
        </is>
      </c>
      <c r="B13825" s="1" t="n">
        <v>45369</v>
      </c>
      <c r="C13825" s="1" t="n">
        <v>45736</v>
      </c>
      <c r="D13825" t="inlineStr">
        <is>
          <t>VÄRMLANDS LÄN</t>
        </is>
      </c>
      <c r="E13825" t="inlineStr">
        <is>
          <t>GRUMS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10826-2024</t>
        </is>
      </c>
      <c r="B13826" s="1" t="n">
        <v>45369</v>
      </c>
      <c r="C13826" s="1" t="n">
        <v>45736</v>
      </c>
      <c r="D13826" t="inlineStr">
        <is>
          <t>VÄRMLANDS LÄN</t>
        </is>
      </c>
      <c r="E13826" t="inlineStr">
        <is>
          <t>EDA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10830-2024</t>
        </is>
      </c>
      <c r="B13827" s="1" t="n">
        <v>45369</v>
      </c>
      <c r="C13827" s="1" t="n">
        <v>45736</v>
      </c>
      <c r="D13827" t="inlineStr">
        <is>
          <t>VÄRMLANDS LÄN</t>
        </is>
      </c>
      <c r="E13827" t="inlineStr">
        <is>
          <t>EDA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10684-2024</t>
        </is>
      </c>
      <c r="B13828" s="1" t="n">
        <v>45369</v>
      </c>
      <c r="C13828" s="1" t="n">
        <v>45736</v>
      </c>
      <c r="D13828" t="inlineStr">
        <is>
          <t>VÄRMLANDS LÄN</t>
        </is>
      </c>
      <c r="E13828" t="inlineStr">
        <is>
          <t>TORSBY</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10722-2024</t>
        </is>
      </c>
      <c r="B13829" s="1" t="n">
        <v>45369</v>
      </c>
      <c r="C13829" s="1" t="n">
        <v>45736</v>
      </c>
      <c r="D13829" t="inlineStr">
        <is>
          <t>VÄRMLANDS LÄN</t>
        </is>
      </c>
      <c r="E13829" t="inlineStr">
        <is>
          <t>KARLSTAD</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10741-2024</t>
        </is>
      </c>
      <c r="B13830" s="1" t="n">
        <v>45369</v>
      </c>
      <c r="C13830" s="1" t="n">
        <v>45736</v>
      </c>
      <c r="D13830" t="inlineStr">
        <is>
          <t>VÄRMLANDS LÄN</t>
        </is>
      </c>
      <c r="E13830" t="inlineStr">
        <is>
          <t>ÅRJÄNG</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10729-2024</t>
        </is>
      </c>
      <c r="B13831" s="1" t="n">
        <v>45369</v>
      </c>
      <c r="C13831" s="1" t="n">
        <v>45736</v>
      </c>
      <c r="D13831" t="inlineStr">
        <is>
          <t>VÄRMLANDS LÄN</t>
        </is>
      </c>
      <c r="E13831" t="inlineStr">
        <is>
          <t>KARLSTAD</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10697-2024</t>
        </is>
      </c>
      <c r="B13832" s="1" t="n">
        <v>45369</v>
      </c>
      <c r="C13832" s="1" t="n">
        <v>45736</v>
      </c>
      <c r="D13832" t="inlineStr">
        <is>
          <t>VÄRMLANDS LÄN</t>
        </is>
      </c>
      <c r="E13832" t="inlineStr">
        <is>
          <t>SÄFFLE</t>
        </is>
      </c>
      <c r="G13832" t="n">
        <v>4.3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10681-2024</t>
        </is>
      </c>
      <c r="B13833" s="1" t="n">
        <v>45369</v>
      </c>
      <c r="C13833" s="1" t="n">
        <v>45736</v>
      </c>
      <c r="D13833" t="inlineStr">
        <is>
          <t>VÄRMLANDS LÄN</t>
        </is>
      </c>
      <c r="E13833" t="inlineStr">
        <is>
          <t>ÅRJÄNG</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10895-2024</t>
        </is>
      </c>
      <c r="B13834" s="1" t="n">
        <v>45370</v>
      </c>
      <c r="C13834" s="1" t="n">
        <v>45736</v>
      </c>
      <c r="D13834" t="inlineStr">
        <is>
          <t>VÄRMLANDS LÄN</t>
        </is>
      </c>
      <c r="E13834" t="inlineStr">
        <is>
          <t>TORSBY</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10903-2024</t>
        </is>
      </c>
      <c r="B13835" s="1" t="n">
        <v>45370</v>
      </c>
      <c r="C13835" s="1" t="n">
        <v>45736</v>
      </c>
      <c r="D13835" t="inlineStr">
        <is>
          <t>VÄRMLANDS LÄN</t>
        </is>
      </c>
      <c r="E13835" t="inlineStr">
        <is>
          <t>EDA</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10918-2024</t>
        </is>
      </c>
      <c r="B13836" s="1" t="n">
        <v>45370</v>
      </c>
      <c r="C13836" s="1" t="n">
        <v>45736</v>
      </c>
      <c r="D13836" t="inlineStr">
        <is>
          <t>VÄRMLANDS LÄN</t>
        </is>
      </c>
      <c r="E13836" t="inlineStr">
        <is>
          <t>EDA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10924-2024</t>
        </is>
      </c>
      <c r="B13837" s="1" t="n">
        <v>45370</v>
      </c>
      <c r="C13837" s="1" t="n">
        <v>45736</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10986-2024</t>
        </is>
      </c>
      <c r="B13838" s="1" t="n">
        <v>45370</v>
      </c>
      <c r="C13838" s="1" t="n">
        <v>45736</v>
      </c>
      <c r="D13838" t="inlineStr">
        <is>
          <t>VÄRMLANDS LÄN</t>
        </is>
      </c>
      <c r="E13838" t="inlineStr">
        <is>
          <t>KRISTINEHAMN</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10999-2024</t>
        </is>
      </c>
      <c r="B13839" s="1" t="n">
        <v>45370</v>
      </c>
      <c r="C13839" s="1" t="n">
        <v>45736</v>
      </c>
      <c r="D13839" t="inlineStr">
        <is>
          <t>VÄRMLANDS LÄN</t>
        </is>
      </c>
      <c r="E13839" t="inlineStr">
        <is>
          <t>KRISTINEHAMN</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10993-2024</t>
        </is>
      </c>
      <c r="B13840" s="1" t="n">
        <v>45370</v>
      </c>
      <c r="C13840" s="1" t="n">
        <v>45736</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11070-2024</t>
        </is>
      </c>
      <c r="B13841" s="1" t="n">
        <v>45370</v>
      </c>
      <c r="C13841" s="1" t="n">
        <v>45736</v>
      </c>
      <c r="D13841" t="inlineStr">
        <is>
          <t>VÄRMLANDS LÄN</t>
        </is>
      </c>
      <c r="E13841" t="inlineStr">
        <is>
          <t>SUNNE</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11053-2024</t>
        </is>
      </c>
      <c r="B13842" s="1" t="n">
        <v>45370</v>
      </c>
      <c r="C13842" s="1" t="n">
        <v>45736</v>
      </c>
      <c r="D13842" t="inlineStr">
        <is>
          <t>VÄRMLANDS LÄN</t>
        </is>
      </c>
      <c r="E13842" t="inlineStr">
        <is>
          <t>KARLSTAD</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11069-2024</t>
        </is>
      </c>
      <c r="B13843" s="1" t="n">
        <v>45370</v>
      </c>
      <c r="C13843" s="1" t="n">
        <v>45736</v>
      </c>
      <c r="D13843" t="inlineStr">
        <is>
          <t>VÄRMLANDS LÄN</t>
        </is>
      </c>
      <c r="E13843" t="inlineStr">
        <is>
          <t>SUNNE</t>
        </is>
      </c>
      <c r="G13843" t="n">
        <v>8.5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11065-2024</t>
        </is>
      </c>
      <c r="B13844" s="1" t="n">
        <v>45370</v>
      </c>
      <c r="C13844" s="1" t="n">
        <v>45736</v>
      </c>
      <c r="D13844" t="inlineStr">
        <is>
          <t>VÄRMLANDS LÄN</t>
        </is>
      </c>
      <c r="E13844" t="inlineStr">
        <is>
          <t>SUNNE</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11121-2024</t>
        </is>
      </c>
      <c r="B13845" s="1" t="n">
        <v>45371</v>
      </c>
      <c r="C13845" s="1" t="n">
        <v>45736</v>
      </c>
      <c r="D13845" t="inlineStr">
        <is>
          <t>VÄRMLANDS LÄN</t>
        </is>
      </c>
      <c r="E13845" t="inlineStr">
        <is>
          <t>TORSBY</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11153-2024</t>
        </is>
      </c>
      <c r="B13846" s="1" t="n">
        <v>45371</v>
      </c>
      <c r="C13846" s="1" t="n">
        <v>45736</v>
      </c>
      <c r="D13846" t="inlineStr">
        <is>
          <t>VÄRMLANDS LÄN</t>
        </is>
      </c>
      <c r="E13846" t="inlineStr">
        <is>
          <t>TORSBY</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11177-2024</t>
        </is>
      </c>
      <c r="B13847" s="1" t="n">
        <v>45371</v>
      </c>
      <c r="C13847" s="1" t="n">
        <v>45736</v>
      </c>
      <c r="D13847" t="inlineStr">
        <is>
          <t>VÄRMLANDS LÄN</t>
        </is>
      </c>
      <c r="E13847" t="inlineStr">
        <is>
          <t>STORFORS</t>
        </is>
      </c>
      <c r="F13847" t="inlineStr">
        <is>
          <t>Kyrkan</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11135-2024</t>
        </is>
      </c>
      <c r="B13848" s="1" t="n">
        <v>45371</v>
      </c>
      <c r="C13848" s="1" t="n">
        <v>45736</v>
      </c>
      <c r="D13848" t="inlineStr">
        <is>
          <t>VÄRMLANDS LÄN</t>
        </is>
      </c>
      <c r="E13848" t="inlineStr">
        <is>
          <t>TORSBY</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11139-2024</t>
        </is>
      </c>
      <c r="B13849" s="1" t="n">
        <v>45371</v>
      </c>
      <c r="C13849" s="1" t="n">
        <v>45736</v>
      </c>
      <c r="D13849" t="inlineStr">
        <is>
          <t>VÄRMLANDS LÄN</t>
        </is>
      </c>
      <c r="E13849" t="inlineStr">
        <is>
          <t>EDA</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11143-2024</t>
        </is>
      </c>
      <c r="B13850" s="1" t="n">
        <v>45371</v>
      </c>
      <c r="C13850" s="1" t="n">
        <v>45736</v>
      </c>
      <c r="D13850" t="inlineStr">
        <is>
          <t>VÄRMLANDS LÄN</t>
        </is>
      </c>
      <c r="E13850" t="inlineStr">
        <is>
          <t>TORSBY</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11155-2024</t>
        </is>
      </c>
      <c r="B13851" s="1" t="n">
        <v>45371</v>
      </c>
      <c r="C13851" s="1" t="n">
        <v>45736</v>
      </c>
      <c r="D13851" t="inlineStr">
        <is>
          <t>VÄRMLANDS LÄN</t>
        </is>
      </c>
      <c r="E13851" t="inlineStr">
        <is>
          <t>ARVIKA</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11187-2024</t>
        </is>
      </c>
      <c r="B13852" s="1" t="n">
        <v>45371</v>
      </c>
      <c r="C13852" s="1" t="n">
        <v>45736</v>
      </c>
      <c r="D13852" t="inlineStr">
        <is>
          <t>VÄRMLANDS LÄN</t>
        </is>
      </c>
      <c r="E13852" t="inlineStr">
        <is>
          <t>TORSBY</t>
        </is>
      </c>
      <c r="G13852" t="n">
        <v>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11211-2024</t>
        </is>
      </c>
      <c r="B13853" s="1" t="n">
        <v>45371</v>
      </c>
      <c r="C13853" s="1" t="n">
        <v>45736</v>
      </c>
      <c r="D13853" t="inlineStr">
        <is>
          <t>VÄRMLANDS LÄN</t>
        </is>
      </c>
      <c r="E13853" t="inlineStr">
        <is>
          <t>TORSBY</t>
        </is>
      </c>
      <c r="G13853" t="n">
        <v>0.2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11223-2024</t>
        </is>
      </c>
      <c r="B13854" s="1" t="n">
        <v>45371</v>
      </c>
      <c r="C13854" s="1" t="n">
        <v>45736</v>
      </c>
      <c r="D13854" t="inlineStr">
        <is>
          <t>VÄRMLANDS LÄN</t>
        </is>
      </c>
      <c r="E13854" t="inlineStr">
        <is>
          <t>SUNNE</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11227-2024</t>
        </is>
      </c>
      <c r="B13855" s="1" t="n">
        <v>45371</v>
      </c>
      <c r="C13855" s="1" t="n">
        <v>45736</v>
      </c>
      <c r="D13855" t="inlineStr">
        <is>
          <t>VÄRMLANDS LÄN</t>
        </is>
      </c>
      <c r="E13855" t="inlineStr">
        <is>
          <t>TORSBY</t>
        </is>
      </c>
      <c r="G13855" t="n">
        <v>6.3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11235-2024</t>
        </is>
      </c>
      <c r="B13856" s="1" t="n">
        <v>45371</v>
      </c>
      <c r="C13856" s="1" t="n">
        <v>45736</v>
      </c>
      <c r="D13856" t="inlineStr">
        <is>
          <t>VÄRMLANDS LÄN</t>
        </is>
      </c>
      <c r="E13856" t="inlineStr">
        <is>
          <t>TORSBY</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11243-2024</t>
        </is>
      </c>
      <c r="B13857" s="1" t="n">
        <v>45371</v>
      </c>
      <c r="C13857" s="1" t="n">
        <v>45736</v>
      </c>
      <c r="D13857" t="inlineStr">
        <is>
          <t>VÄRMLANDS LÄN</t>
        </is>
      </c>
      <c r="E13857" t="inlineStr">
        <is>
          <t>ÅRJÄNG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11126-2024</t>
        </is>
      </c>
      <c r="B13858" s="1" t="n">
        <v>45371</v>
      </c>
      <c r="C13858" s="1" t="n">
        <v>45736</v>
      </c>
      <c r="D13858" t="inlineStr">
        <is>
          <t>VÄRMLANDS LÄN</t>
        </is>
      </c>
      <c r="E13858" t="inlineStr">
        <is>
          <t>HAGFORS</t>
        </is>
      </c>
      <c r="G13858" t="n">
        <v>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11134-2024</t>
        </is>
      </c>
      <c r="B13859" s="1" t="n">
        <v>45371</v>
      </c>
      <c r="C13859" s="1" t="n">
        <v>45736</v>
      </c>
      <c r="D13859" t="inlineStr">
        <is>
          <t>VÄRMLANDS LÄN</t>
        </is>
      </c>
      <c r="E13859" t="inlineStr">
        <is>
          <t>ARVIKA</t>
        </is>
      </c>
      <c r="F13859" t="inlineStr">
        <is>
          <t>Bergvik skog väst AB</t>
        </is>
      </c>
      <c r="G13859" t="n">
        <v>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11138-2024</t>
        </is>
      </c>
      <c r="B13860" s="1" t="n">
        <v>45371</v>
      </c>
      <c r="C13860" s="1" t="n">
        <v>45736</v>
      </c>
      <c r="D13860" t="inlineStr">
        <is>
          <t>VÄRMLANDS LÄN</t>
        </is>
      </c>
      <c r="E13860" t="inlineStr">
        <is>
          <t>EDA</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11154-2024</t>
        </is>
      </c>
      <c r="B13861" s="1" t="n">
        <v>45371</v>
      </c>
      <c r="C13861" s="1" t="n">
        <v>45736</v>
      </c>
      <c r="D13861" t="inlineStr">
        <is>
          <t>VÄRMLANDS LÄN</t>
        </is>
      </c>
      <c r="E13861" t="inlineStr">
        <is>
          <t>ARVIKA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11158-2024</t>
        </is>
      </c>
      <c r="B13862" s="1" t="n">
        <v>45371</v>
      </c>
      <c r="C13862" s="1" t="n">
        <v>45736</v>
      </c>
      <c r="D13862" t="inlineStr">
        <is>
          <t>VÄRMLANDS LÄN</t>
        </is>
      </c>
      <c r="E13862" t="inlineStr">
        <is>
          <t>HAGFORS</t>
        </is>
      </c>
      <c r="F13862" t="inlineStr">
        <is>
          <t>Bergvik skog väst AB</t>
        </is>
      </c>
      <c r="G13862" t="n">
        <v>11.7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11190-2024</t>
        </is>
      </c>
      <c r="B13863" s="1" t="n">
        <v>45371</v>
      </c>
      <c r="C13863" s="1" t="n">
        <v>45736</v>
      </c>
      <c r="D13863" t="inlineStr">
        <is>
          <t>VÄRMLANDS LÄN</t>
        </is>
      </c>
      <c r="E13863" t="inlineStr">
        <is>
          <t>KARLSTAD</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11194-2024</t>
        </is>
      </c>
      <c r="B13864" s="1" t="n">
        <v>45371</v>
      </c>
      <c r="C13864" s="1" t="n">
        <v>45736</v>
      </c>
      <c r="D13864" t="inlineStr">
        <is>
          <t>VÄRMLANDS LÄN</t>
        </is>
      </c>
      <c r="E13864" t="inlineStr">
        <is>
          <t>KARLSTAD</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11214-2024</t>
        </is>
      </c>
      <c r="B13865" s="1" t="n">
        <v>45371</v>
      </c>
      <c r="C13865" s="1" t="n">
        <v>45736</v>
      </c>
      <c r="D13865" t="inlineStr">
        <is>
          <t>VÄRMLANDS LÄN</t>
        </is>
      </c>
      <c r="E13865" t="inlineStr">
        <is>
          <t>TORSBY</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11222-2024</t>
        </is>
      </c>
      <c r="B13866" s="1" t="n">
        <v>45371</v>
      </c>
      <c r="C13866" s="1" t="n">
        <v>45736</v>
      </c>
      <c r="D13866" t="inlineStr">
        <is>
          <t>VÄRMLANDS LÄN</t>
        </is>
      </c>
      <c r="E13866" t="inlineStr">
        <is>
          <t>TORSBY</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11242-2024</t>
        </is>
      </c>
      <c r="B13867" s="1" t="n">
        <v>45371</v>
      </c>
      <c r="C13867" s="1" t="n">
        <v>45736</v>
      </c>
      <c r="D13867" t="inlineStr">
        <is>
          <t>VÄRMLANDS LÄN</t>
        </is>
      </c>
      <c r="E13867" t="inlineStr">
        <is>
          <t>TORSBY</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11250-2024</t>
        </is>
      </c>
      <c r="B13868" s="1" t="n">
        <v>45371</v>
      </c>
      <c r="C13868" s="1" t="n">
        <v>45736</v>
      </c>
      <c r="D13868" t="inlineStr">
        <is>
          <t>VÄRMLANDS LÄN</t>
        </is>
      </c>
      <c r="E13868" t="inlineStr">
        <is>
          <t>KARLSTAD</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11229-2024</t>
        </is>
      </c>
      <c r="B13869" s="1" t="n">
        <v>45371</v>
      </c>
      <c r="C13869" s="1" t="n">
        <v>45736</v>
      </c>
      <c r="D13869" t="inlineStr">
        <is>
          <t>VÄRMLANDS LÄN</t>
        </is>
      </c>
      <c r="E13869" t="inlineStr">
        <is>
          <t>SUNNE</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11241-2024</t>
        </is>
      </c>
      <c r="B13870" s="1" t="n">
        <v>45371</v>
      </c>
      <c r="C13870" s="1" t="n">
        <v>45736</v>
      </c>
      <c r="D13870" t="inlineStr">
        <is>
          <t>VÄRMLANDS LÄN</t>
        </is>
      </c>
      <c r="E13870" t="inlineStr">
        <is>
          <t>HAGFORS</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11253-2024</t>
        </is>
      </c>
      <c r="B13871" s="1" t="n">
        <v>45371</v>
      </c>
      <c r="C13871" s="1" t="n">
        <v>45736</v>
      </c>
      <c r="D13871" t="inlineStr">
        <is>
          <t>VÄRMLANDS LÄN</t>
        </is>
      </c>
      <c r="E13871" t="inlineStr">
        <is>
          <t>TORSBY</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11330-2024</t>
        </is>
      </c>
      <c r="B13872" s="1" t="n">
        <v>45371</v>
      </c>
      <c r="C13872" s="1" t="n">
        <v>45736</v>
      </c>
      <c r="D13872" t="inlineStr">
        <is>
          <t>VÄRMLANDS LÄN</t>
        </is>
      </c>
      <c r="E13872" t="inlineStr">
        <is>
          <t>KIL</t>
        </is>
      </c>
      <c r="F13872" t="inlineStr">
        <is>
          <t>Kyrkan</t>
        </is>
      </c>
      <c r="G13872" t="n">
        <v>6.9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11136-2024</t>
        </is>
      </c>
      <c r="B13873" s="1" t="n">
        <v>45371</v>
      </c>
      <c r="C13873" s="1" t="n">
        <v>45736</v>
      </c>
      <c r="D13873" t="inlineStr">
        <is>
          <t>VÄRMLANDS LÄN</t>
        </is>
      </c>
      <c r="E13873" t="inlineStr">
        <is>
          <t>ÅRJÄNG</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11259-2024</t>
        </is>
      </c>
      <c r="B13874" s="1" t="n">
        <v>45371</v>
      </c>
      <c r="C13874" s="1" t="n">
        <v>45736</v>
      </c>
      <c r="D13874" t="inlineStr">
        <is>
          <t>VÄRMLANDS LÄN</t>
        </is>
      </c>
      <c r="E13874" t="inlineStr">
        <is>
          <t>TORSBY</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11271-2024</t>
        </is>
      </c>
      <c r="B13875" s="1" t="n">
        <v>45371</v>
      </c>
      <c r="C13875" s="1" t="n">
        <v>45736</v>
      </c>
      <c r="D13875" t="inlineStr">
        <is>
          <t>VÄRMLANDS LÄN</t>
        </is>
      </c>
      <c r="E13875" t="inlineStr">
        <is>
          <t>SÄFFLE</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11160-2024</t>
        </is>
      </c>
      <c r="B13876" s="1" t="n">
        <v>45371</v>
      </c>
      <c r="C13876" s="1" t="n">
        <v>45736</v>
      </c>
      <c r="D13876" t="inlineStr">
        <is>
          <t>VÄRMLANDS LÄN</t>
        </is>
      </c>
      <c r="E13876" t="inlineStr">
        <is>
          <t>KARLSTAD</t>
        </is>
      </c>
      <c r="F13876" t="inlineStr">
        <is>
          <t>Bergvik skog väst AB</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11172-2024</t>
        </is>
      </c>
      <c r="B13877" s="1" t="n">
        <v>45371</v>
      </c>
      <c r="C13877" s="1" t="n">
        <v>45736</v>
      </c>
      <c r="D13877" t="inlineStr">
        <is>
          <t>VÄRMLANDS LÄN</t>
        </is>
      </c>
      <c r="E13877" t="inlineStr">
        <is>
          <t>TORSBY</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11196-2024</t>
        </is>
      </c>
      <c r="B13878" s="1" t="n">
        <v>45371</v>
      </c>
      <c r="C13878" s="1" t="n">
        <v>45736</v>
      </c>
      <c r="D13878" t="inlineStr">
        <is>
          <t>VÄRMLANDS LÄN</t>
        </is>
      </c>
      <c r="E13878" t="inlineStr">
        <is>
          <t>FORSHAGA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11350-2024</t>
        </is>
      </c>
      <c r="B13879" s="1" t="n">
        <v>45372</v>
      </c>
      <c r="C13879" s="1" t="n">
        <v>45736</v>
      </c>
      <c r="D13879" t="inlineStr">
        <is>
          <t>VÄRMLANDS LÄN</t>
        </is>
      </c>
      <c r="E13879" t="inlineStr">
        <is>
          <t>FORSHAGA</t>
        </is>
      </c>
      <c r="G13879" t="n">
        <v>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11380-2024</t>
        </is>
      </c>
      <c r="B13880" s="1" t="n">
        <v>45372</v>
      </c>
      <c r="C13880" s="1" t="n">
        <v>45736</v>
      </c>
      <c r="D13880" t="inlineStr">
        <is>
          <t>VÄRMLANDS LÄN</t>
        </is>
      </c>
      <c r="E13880" t="inlineStr">
        <is>
          <t>TORSBY</t>
        </is>
      </c>
      <c r="F13880" t="inlineStr">
        <is>
          <t>Bergvik skog väst AB</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11392-2024</t>
        </is>
      </c>
      <c r="B13881" s="1" t="n">
        <v>45372</v>
      </c>
      <c r="C13881" s="1" t="n">
        <v>45736</v>
      </c>
      <c r="D13881" t="inlineStr">
        <is>
          <t>VÄRMLANDS LÄN</t>
        </is>
      </c>
      <c r="E13881" t="inlineStr">
        <is>
          <t>ÅRJÄNG</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11418-2024</t>
        </is>
      </c>
      <c r="B13882" s="1" t="n">
        <v>45372</v>
      </c>
      <c r="C13882" s="1" t="n">
        <v>45736</v>
      </c>
      <c r="D13882" t="inlineStr">
        <is>
          <t>VÄRMLANDS LÄN</t>
        </is>
      </c>
      <c r="E13882" t="inlineStr">
        <is>
          <t>ARVIKA</t>
        </is>
      </c>
      <c r="F13882" t="inlineStr">
        <is>
          <t>Bergvik skog väst AB</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11415-2024</t>
        </is>
      </c>
      <c r="B13883" s="1" t="n">
        <v>45372</v>
      </c>
      <c r="C13883" s="1" t="n">
        <v>45736</v>
      </c>
      <c r="D13883" t="inlineStr">
        <is>
          <t>VÄRMLANDS LÄN</t>
        </is>
      </c>
      <c r="E13883" t="inlineStr">
        <is>
          <t>FILIPSTAD</t>
        </is>
      </c>
      <c r="F13883" t="inlineStr">
        <is>
          <t>Bergvik skog väst AB</t>
        </is>
      </c>
      <c r="G13883" t="n">
        <v>18.3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11386-2024</t>
        </is>
      </c>
      <c r="B13884" s="1" t="n">
        <v>45372</v>
      </c>
      <c r="C13884" s="1" t="n">
        <v>45736</v>
      </c>
      <c r="D13884" t="inlineStr">
        <is>
          <t>VÄRMLANDS LÄN</t>
        </is>
      </c>
      <c r="E13884" t="inlineStr">
        <is>
          <t>ARVIKA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11398-2024</t>
        </is>
      </c>
      <c r="B13885" s="1" t="n">
        <v>45372</v>
      </c>
      <c r="C13885" s="1" t="n">
        <v>45736</v>
      </c>
      <c r="D13885" t="inlineStr">
        <is>
          <t>VÄRMLANDS LÄN</t>
        </is>
      </c>
      <c r="E13885" t="inlineStr">
        <is>
          <t>SÄFFLE</t>
        </is>
      </c>
      <c r="F13885" t="inlineStr">
        <is>
          <t>Bergvik skog väst AB</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11416-2024</t>
        </is>
      </c>
      <c r="B13886" s="1" t="n">
        <v>45372</v>
      </c>
      <c r="C13886" s="1" t="n">
        <v>45736</v>
      </c>
      <c r="D13886" t="inlineStr">
        <is>
          <t>VÄRMLANDS LÄN</t>
        </is>
      </c>
      <c r="E13886" t="inlineStr">
        <is>
          <t>ARVIKA</t>
        </is>
      </c>
      <c r="F13886" t="inlineStr">
        <is>
          <t>Bergvik skog väst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11421-2024</t>
        </is>
      </c>
      <c r="B13887" s="1" t="n">
        <v>45372</v>
      </c>
      <c r="C13887" s="1" t="n">
        <v>45736</v>
      </c>
      <c r="D13887" t="inlineStr">
        <is>
          <t>VÄRMLANDS LÄN</t>
        </is>
      </c>
      <c r="E13887" t="inlineStr">
        <is>
          <t>GRUMS</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11452-2024</t>
        </is>
      </c>
      <c r="B13888" s="1" t="n">
        <v>45372</v>
      </c>
      <c r="C13888" s="1" t="n">
        <v>45736</v>
      </c>
      <c r="D13888" t="inlineStr">
        <is>
          <t>VÄRMLANDS LÄN</t>
        </is>
      </c>
      <c r="E13888" t="inlineStr">
        <is>
          <t>STORFORS</t>
        </is>
      </c>
      <c r="F13888" t="inlineStr">
        <is>
          <t>Bergvik skog väst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11505-2024</t>
        </is>
      </c>
      <c r="B13889" s="1" t="n">
        <v>45372</v>
      </c>
      <c r="C13889" s="1" t="n">
        <v>45736</v>
      </c>
      <c r="D13889" t="inlineStr">
        <is>
          <t>VÄRMLANDS LÄN</t>
        </is>
      </c>
      <c r="E13889" t="inlineStr">
        <is>
          <t>SUNNE</t>
        </is>
      </c>
      <c r="G13889" t="n">
        <v>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11479-2024</t>
        </is>
      </c>
      <c r="B13890" s="1" t="n">
        <v>45372</v>
      </c>
      <c r="C13890" s="1" t="n">
        <v>45736</v>
      </c>
      <c r="D13890" t="inlineStr">
        <is>
          <t>VÄRMLANDS LÄN</t>
        </is>
      </c>
      <c r="E13890" t="inlineStr">
        <is>
          <t>STORFORS</t>
        </is>
      </c>
      <c r="F13890" t="inlineStr">
        <is>
          <t>Bergvik skog väst AB</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11487-2024</t>
        </is>
      </c>
      <c r="B13891" s="1" t="n">
        <v>45372</v>
      </c>
      <c r="C13891" s="1" t="n">
        <v>45736</v>
      </c>
      <c r="D13891" t="inlineStr">
        <is>
          <t>VÄRMLANDS LÄN</t>
        </is>
      </c>
      <c r="E13891" t="inlineStr">
        <is>
          <t>SÄFFLE</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11595-2024</t>
        </is>
      </c>
      <c r="B13892" s="1" t="n">
        <v>45373</v>
      </c>
      <c r="C13892" s="1" t="n">
        <v>45736</v>
      </c>
      <c r="D13892" t="inlineStr">
        <is>
          <t>VÄRMLANDS LÄN</t>
        </is>
      </c>
      <c r="E13892" t="inlineStr">
        <is>
          <t>SÄFFLE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11600-2024</t>
        </is>
      </c>
      <c r="B13893" s="1" t="n">
        <v>45373</v>
      </c>
      <c r="C13893" s="1" t="n">
        <v>45736</v>
      </c>
      <c r="D13893" t="inlineStr">
        <is>
          <t>VÄRMLANDS LÄN</t>
        </is>
      </c>
      <c r="E13893" t="inlineStr">
        <is>
          <t>EDA</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11616-2024</t>
        </is>
      </c>
      <c r="B13894" s="1" t="n">
        <v>45373</v>
      </c>
      <c r="C13894" s="1" t="n">
        <v>45736</v>
      </c>
      <c r="D13894" t="inlineStr">
        <is>
          <t>VÄRMLANDS LÄN</t>
        </is>
      </c>
      <c r="E13894" t="inlineStr">
        <is>
          <t>ÅRJÄNG</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11646-2024</t>
        </is>
      </c>
      <c r="B13895" s="1" t="n">
        <v>45373</v>
      </c>
      <c r="C13895" s="1" t="n">
        <v>45736</v>
      </c>
      <c r="D13895" t="inlineStr">
        <is>
          <t>VÄRMLANDS LÄN</t>
        </is>
      </c>
      <c r="E13895" t="inlineStr">
        <is>
          <t>SÄFFLE</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11693-2024</t>
        </is>
      </c>
      <c r="B13896" s="1" t="n">
        <v>45373</v>
      </c>
      <c r="C13896" s="1" t="n">
        <v>45736</v>
      </c>
      <c r="D13896" t="inlineStr">
        <is>
          <t>VÄRMLANDS LÄN</t>
        </is>
      </c>
      <c r="E13896" t="inlineStr">
        <is>
          <t>ÅRJÄNG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11710-2024</t>
        </is>
      </c>
      <c r="B13897" s="1" t="n">
        <v>45373</v>
      </c>
      <c r="C13897" s="1" t="n">
        <v>45736</v>
      </c>
      <c r="D13897" t="inlineStr">
        <is>
          <t>VÄRMLANDS LÄN</t>
        </is>
      </c>
      <c r="E13897" t="inlineStr">
        <is>
          <t>STORFORS</t>
        </is>
      </c>
      <c r="F13897" t="inlineStr">
        <is>
          <t>Bergvik skog väst AB</t>
        </is>
      </c>
      <c r="G13897" t="n">
        <v>9.5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11619-2024</t>
        </is>
      </c>
      <c r="B13898" s="1" t="n">
        <v>45373</v>
      </c>
      <c r="C13898" s="1" t="n">
        <v>45736</v>
      </c>
      <c r="D13898" t="inlineStr">
        <is>
          <t>VÄRMLANDS LÄN</t>
        </is>
      </c>
      <c r="E13898" t="inlineStr">
        <is>
          <t>STORFORS</t>
        </is>
      </c>
      <c r="F13898" t="inlineStr">
        <is>
          <t>Bergvik skog väst AB</t>
        </is>
      </c>
      <c r="G13898" t="n">
        <v>10.7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11718-2024</t>
        </is>
      </c>
      <c r="B13899" s="1" t="n">
        <v>45373</v>
      </c>
      <c r="C13899" s="1" t="n">
        <v>45736</v>
      </c>
      <c r="D13899" t="inlineStr">
        <is>
          <t>VÄRMLANDS LÄN</t>
        </is>
      </c>
      <c r="E13899" t="inlineStr">
        <is>
          <t>ÅRJÄNG</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11744-2024</t>
        </is>
      </c>
      <c r="B13900" s="1" t="n">
        <v>45373</v>
      </c>
      <c r="C13900" s="1" t="n">
        <v>45736</v>
      </c>
      <c r="D13900" t="inlineStr">
        <is>
          <t>VÄRMLANDS LÄN</t>
        </is>
      </c>
      <c r="E13900" t="inlineStr">
        <is>
          <t>HAGFORS</t>
        </is>
      </c>
      <c r="F13900" t="inlineStr">
        <is>
          <t>Bergvik skog väst AB</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11575-2024</t>
        </is>
      </c>
      <c r="B13901" s="1" t="n">
        <v>45373</v>
      </c>
      <c r="C13901" s="1" t="n">
        <v>45736</v>
      </c>
      <c r="D13901" t="inlineStr">
        <is>
          <t>VÄRMLANDS LÄN</t>
        </is>
      </c>
      <c r="E13901" t="inlineStr">
        <is>
          <t>TORSBY</t>
        </is>
      </c>
      <c r="G13901" t="n">
        <v>14.2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11589-2024</t>
        </is>
      </c>
      <c r="B13902" s="1" t="n">
        <v>45373</v>
      </c>
      <c r="C13902" s="1" t="n">
        <v>45736</v>
      </c>
      <c r="D13902" t="inlineStr">
        <is>
          <t>VÄRMLANDS LÄN</t>
        </is>
      </c>
      <c r="E13902" t="inlineStr">
        <is>
          <t>KIL</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11706-2024</t>
        </is>
      </c>
      <c r="B13903" s="1" t="n">
        <v>45373</v>
      </c>
      <c r="C13903" s="1" t="n">
        <v>45736</v>
      </c>
      <c r="D13903" t="inlineStr">
        <is>
          <t>VÄRMLANDS LÄN</t>
        </is>
      </c>
      <c r="E13903" t="inlineStr">
        <is>
          <t>TORSBY</t>
        </is>
      </c>
      <c r="G13903" t="n">
        <v>8.699999999999999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11713-2024</t>
        </is>
      </c>
      <c r="B13904" s="1" t="n">
        <v>45373</v>
      </c>
      <c r="C13904" s="1" t="n">
        <v>45736</v>
      </c>
      <c r="D13904" t="inlineStr">
        <is>
          <t>VÄRMLANDS LÄN</t>
        </is>
      </c>
      <c r="E13904" t="inlineStr">
        <is>
          <t>ÅRJÄNG</t>
        </is>
      </c>
      <c r="G13904" t="n">
        <v>9.1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11734-2024</t>
        </is>
      </c>
      <c r="B13905" s="1" t="n">
        <v>45373</v>
      </c>
      <c r="C13905" s="1" t="n">
        <v>45736</v>
      </c>
      <c r="D13905" t="inlineStr">
        <is>
          <t>VÄRMLANDS LÄN</t>
        </is>
      </c>
      <c r="E13905" t="inlineStr">
        <is>
          <t>FORSHAGA</t>
        </is>
      </c>
      <c r="F13905" t="inlineStr">
        <is>
          <t>Bergvik skog väst AB</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11782-2024</t>
        </is>
      </c>
      <c r="B13906" s="1" t="n">
        <v>45374</v>
      </c>
      <c r="C13906" s="1" t="n">
        <v>45736</v>
      </c>
      <c r="D13906" t="inlineStr">
        <is>
          <t>VÄRMLANDS LÄN</t>
        </is>
      </c>
      <c r="E13906" t="inlineStr">
        <is>
          <t>SÄFFLE</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11776-2024</t>
        </is>
      </c>
      <c r="B13907" s="1" t="n">
        <v>45374</v>
      </c>
      <c r="C13907" s="1" t="n">
        <v>45736</v>
      </c>
      <c r="D13907" t="inlineStr">
        <is>
          <t>VÄRMLANDS LÄN</t>
        </is>
      </c>
      <c r="E13907" t="inlineStr">
        <is>
          <t>TORSBY</t>
        </is>
      </c>
      <c r="G13907" t="n">
        <v>8.300000000000001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11781-2024</t>
        </is>
      </c>
      <c r="B13908" s="1" t="n">
        <v>45374</v>
      </c>
      <c r="C13908" s="1" t="n">
        <v>45736</v>
      </c>
      <c r="D13908" t="inlineStr">
        <is>
          <t>VÄRMLANDS LÄN</t>
        </is>
      </c>
      <c r="E13908" t="inlineStr">
        <is>
          <t>SÄFFLE</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11779-2024</t>
        </is>
      </c>
      <c r="B13909" s="1" t="n">
        <v>45374</v>
      </c>
      <c r="C13909" s="1" t="n">
        <v>45736</v>
      </c>
      <c r="D13909" t="inlineStr">
        <is>
          <t>VÄRMLANDS LÄN</t>
        </is>
      </c>
      <c r="E13909" t="inlineStr">
        <is>
          <t>FORSHAGA</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11783-2024</t>
        </is>
      </c>
      <c r="B13910" s="1" t="n">
        <v>45374</v>
      </c>
      <c r="C13910" s="1" t="n">
        <v>45736</v>
      </c>
      <c r="D13910" t="inlineStr">
        <is>
          <t>VÄRMLANDS LÄN</t>
        </is>
      </c>
      <c r="E13910" t="inlineStr">
        <is>
          <t>SÄFFLE</t>
        </is>
      </c>
      <c r="F13910" t="inlineStr">
        <is>
          <t>Kommuner</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11810-2024</t>
        </is>
      </c>
      <c r="B13911" s="1" t="n">
        <v>45375</v>
      </c>
      <c r="C13911" s="1" t="n">
        <v>45736</v>
      </c>
      <c r="D13911" t="inlineStr">
        <is>
          <t>VÄRMLANDS LÄN</t>
        </is>
      </c>
      <c r="E13911" t="inlineStr">
        <is>
          <t>KARLSTAD</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11824-2024</t>
        </is>
      </c>
      <c r="B13912" s="1" t="n">
        <v>45375</v>
      </c>
      <c r="C13912" s="1" t="n">
        <v>45736</v>
      </c>
      <c r="D13912" t="inlineStr">
        <is>
          <t>VÄRMLANDS LÄN</t>
        </is>
      </c>
      <c r="E13912" t="inlineStr">
        <is>
          <t>SÄFFLE</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11805-2024</t>
        </is>
      </c>
      <c r="B13913" s="1" t="n">
        <v>45375</v>
      </c>
      <c r="C13913" s="1" t="n">
        <v>45736</v>
      </c>
      <c r="D13913" t="inlineStr">
        <is>
          <t>VÄRMLANDS LÄN</t>
        </is>
      </c>
      <c r="E13913" t="inlineStr">
        <is>
          <t>ÅRJÄNG</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11814-2024</t>
        </is>
      </c>
      <c r="B13914" s="1" t="n">
        <v>45376</v>
      </c>
      <c r="C13914" s="1" t="n">
        <v>45736</v>
      </c>
      <c r="D13914" t="inlineStr">
        <is>
          <t>VÄRMLANDS LÄN</t>
        </is>
      </c>
      <c r="E13914" t="inlineStr">
        <is>
          <t>TORSBY</t>
        </is>
      </c>
      <c r="F13914" t="inlineStr">
        <is>
          <t>Bergvik skog väst AB</t>
        </is>
      </c>
      <c r="G13914" t="n">
        <v>19.9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11836-2024</t>
        </is>
      </c>
      <c r="B13915" s="1" t="n">
        <v>45376</v>
      </c>
      <c r="C13915" s="1" t="n">
        <v>45736</v>
      </c>
      <c r="D13915" t="inlineStr">
        <is>
          <t>VÄRMLANDS LÄN</t>
        </is>
      </c>
      <c r="E13915" t="inlineStr">
        <is>
          <t>ÅRJÄNG</t>
        </is>
      </c>
      <c r="G13915" t="n">
        <v>11.8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11890-2024</t>
        </is>
      </c>
      <c r="B13916" s="1" t="n">
        <v>45376</v>
      </c>
      <c r="C13916" s="1" t="n">
        <v>45736</v>
      </c>
      <c r="D13916" t="inlineStr">
        <is>
          <t>VÄRMLANDS LÄN</t>
        </is>
      </c>
      <c r="E13916" t="inlineStr">
        <is>
          <t>HAGFORS</t>
        </is>
      </c>
      <c r="F13916" t="inlineStr">
        <is>
          <t>Kommuner</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11850-2024</t>
        </is>
      </c>
      <c r="B13917" s="1" t="n">
        <v>45376</v>
      </c>
      <c r="C13917" s="1" t="n">
        <v>45736</v>
      </c>
      <c r="D13917" t="inlineStr">
        <is>
          <t>VÄRMLANDS LÄN</t>
        </is>
      </c>
      <c r="E13917" t="inlineStr">
        <is>
          <t>TORSBY</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11831-2024</t>
        </is>
      </c>
      <c r="B13918" s="1" t="n">
        <v>45376</v>
      </c>
      <c r="C13918" s="1" t="n">
        <v>45736</v>
      </c>
      <c r="D13918" t="inlineStr">
        <is>
          <t>VÄRMLANDS LÄN</t>
        </is>
      </c>
      <c r="E13918" t="inlineStr">
        <is>
          <t>ÅRJÄNG</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11841-2024</t>
        </is>
      </c>
      <c r="B13919" s="1" t="n">
        <v>45376</v>
      </c>
      <c r="C13919" s="1" t="n">
        <v>45736</v>
      </c>
      <c r="D13919" t="inlineStr">
        <is>
          <t>VÄRMLANDS LÄN</t>
        </is>
      </c>
      <c r="E13919" t="inlineStr">
        <is>
          <t>KARLSTAD</t>
        </is>
      </c>
      <c r="G13919" t="n">
        <v>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11878-2024</t>
        </is>
      </c>
      <c r="B13920" s="1" t="n">
        <v>45376</v>
      </c>
      <c r="C13920" s="1" t="n">
        <v>45736</v>
      </c>
      <c r="D13920" t="inlineStr">
        <is>
          <t>VÄRMLANDS LÄN</t>
        </is>
      </c>
      <c r="E13920" t="inlineStr">
        <is>
          <t>TORSBY</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11960-2024</t>
        </is>
      </c>
      <c r="B13921" s="1" t="n">
        <v>45376</v>
      </c>
      <c r="C13921" s="1" t="n">
        <v>45736</v>
      </c>
      <c r="D13921" t="inlineStr">
        <is>
          <t>VÄRMLANDS LÄN</t>
        </is>
      </c>
      <c r="E13921" t="inlineStr">
        <is>
          <t>ARVIKA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12087-2024</t>
        </is>
      </c>
      <c r="B13922" s="1" t="n">
        <v>45377</v>
      </c>
      <c r="C13922" s="1" t="n">
        <v>45736</v>
      </c>
      <c r="D13922" t="inlineStr">
        <is>
          <t>VÄRMLANDS LÄN</t>
        </is>
      </c>
      <c r="E13922" t="inlineStr">
        <is>
          <t>KRISTINEHAMN</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12072-2024</t>
        </is>
      </c>
      <c r="B13923" s="1" t="n">
        <v>45377</v>
      </c>
      <c r="C13923" s="1" t="n">
        <v>45736</v>
      </c>
      <c r="D13923" t="inlineStr">
        <is>
          <t>VÄRMLANDS LÄN</t>
        </is>
      </c>
      <c r="E13923" t="inlineStr">
        <is>
          <t>ÅRJÄNG</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12104-2024</t>
        </is>
      </c>
      <c r="B13924" s="1" t="n">
        <v>45377</v>
      </c>
      <c r="C13924" s="1" t="n">
        <v>45736</v>
      </c>
      <c r="D13924" t="inlineStr">
        <is>
          <t>VÄRMLANDS LÄN</t>
        </is>
      </c>
      <c r="E13924" t="inlineStr">
        <is>
          <t>TORSBY</t>
        </is>
      </c>
      <c r="F13924" t="inlineStr">
        <is>
          <t>Bergvik skog väst AB</t>
        </is>
      </c>
      <c r="G13924" t="n">
        <v>9.4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12132-2024</t>
        </is>
      </c>
      <c r="B13925" s="1" t="n">
        <v>45377</v>
      </c>
      <c r="C13925" s="1" t="n">
        <v>45736</v>
      </c>
      <c r="D13925" t="inlineStr">
        <is>
          <t>VÄRMLANDS LÄN</t>
        </is>
      </c>
      <c r="E13925" t="inlineStr">
        <is>
          <t>KRISTINEHAMN</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12066-2024</t>
        </is>
      </c>
      <c r="B13926" s="1" t="n">
        <v>45377</v>
      </c>
      <c r="C13926" s="1" t="n">
        <v>45736</v>
      </c>
      <c r="D13926" t="inlineStr">
        <is>
          <t>VÄRMLANDS LÄN</t>
        </is>
      </c>
      <c r="E13926" t="inlineStr">
        <is>
          <t>EDA</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12107-2024</t>
        </is>
      </c>
      <c r="B13927" s="1" t="n">
        <v>45377</v>
      </c>
      <c r="C13927" s="1" t="n">
        <v>45736</v>
      </c>
      <c r="D13927" t="inlineStr">
        <is>
          <t>VÄRMLANDS LÄN</t>
        </is>
      </c>
      <c r="E13927" t="inlineStr">
        <is>
          <t>TORSBY</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12082-2024</t>
        </is>
      </c>
      <c r="B13928" s="1" t="n">
        <v>45377</v>
      </c>
      <c r="C13928" s="1" t="n">
        <v>45736</v>
      </c>
      <c r="D13928" t="inlineStr">
        <is>
          <t>VÄRMLANDS LÄN</t>
        </is>
      </c>
      <c r="E13928" t="inlineStr">
        <is>
          <t>GRUMS</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12041-2024</t>
        </is>
      </c>
      <c r="B13929" s="1" t="n">
        <v>45377</v>
      </c>
      <c r="C13929" s="1" t="n">
        <v>45736</v>
      </c>
      <c r="D13929" t="inlineStr">
        <is>
          <t>VÄRMLANDS LÄN</t>
        </is>
      </c>
      <c r="E13929" t="inlineStr">
        <is>
          <t>KRISTINEHAMN</t>
        </is>
      </c>
      <c r="G13929" t="n">
        <v>13.2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12051-2024</t>
        </is>
      </c>
      <c r="B13930" s="1" t="n">
        <v>45377</v>
      </c>
      <c r="C13930" s="1" t="n">
        <v>45736</v>
      </c>
      <c r="D13930" t="inlineStr">
        <is>
          <t>VÄRMLANDS LÄN</t>
        </is>
      </c>
      <c r="E13930" t="inlineStr">
        <is>
          <t>TORSBY</t>
        </is>
      </c>
      <c r="F13930" t="inlineStr">
        <is>
          <t>Bergvik skog väst AB</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12178-2024</t>
        </is>
      </c>
      <c r="B13931" s="1" t="n">
        <v>45377</v>
      </c>
      <c r="C13931" s="1" t="n">
        <v>45736</v>
      </c>
      <c r="D13931" t="inlineStr">
        <is>
          <t>VÄRMLANDS LÄN</t>
        </is>
      </c>
      <c r="E13931" t="inlineStr">
        <is>
          <t>GRUMS</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12247-2024</t>
        </is>
      </c>
      <c r="B13932" s="1" t="n">
        <v>45377</v>
      </c>
      <c r="C13932" s="1" t="n">
        <v>45736</v>
      </c>
      <c r="D13932" t="inlineStr">
        <is>
          <t>VÄRMLANDS LÄN</t>
        </is>
      </c>
      <c r="E13932" t="inlineStr">
        <is>
          <t>ÅRJÄNG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12151-2024</t>
        </is>
      </c>
      <c r="B13933" s="1" t="n">
        <v>45377</v>
      </c>
      <c r="C13933" s="1" t="n">
        <v>45736</v>
      </c>
      <c r="D13933" t="inlineStr">
        <is>
          <t>VÄRMLANDS LÄN</t>
        </is>
      </c>
      <c r="E13933" t="inlineStr">
        <is>
          <t>ARVIKA</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12084-2024</t>
        </is>
      </c>
      <c r="B13934" s="1" t="n">
        <v>45377</v>
      </c>
      <c r="C13934" s="1" t="n">
        <v>45736</v>
      </c>
      <c r="D13934" t="inlineStr">
        <is>
          <t>VÄRMLANDS LÄN</t>
        </is>
      </c>
      <c r="E13934" t="inlineStr">
        <is>
          <t>GRUMS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12175-2024</t>
        </is>
      </c>
      <c r="B13935" s="1" t="n">
        <v>45377</v>
      </c>
      <c r="C13935" s="1" t="n">
        <v>45736</v>
      </c>
      <c r="D13935" t="inlineStr">
        <is>
          <t>VÄRMLANDS LÄN</t>
        </is>
      </c>
      <c r="E13935" t="inlineStr">
        <is>
          <t>GRUMS</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12230-2024</t>
        </is>
      </c>
      <c r="B13936" s="1" t="n">
        <v>45378</v>
      </c>
      <c r="C13936" s="1" t="n">
        <v>45736</v>
      </c>
      <c r="D13936" t="inlineStr">
        <is>
          <t>VÄRMLANDS LÄN</t>
        </is>
      </c>
      <c r="E13936" t="inlineStr">
        <is>
          <t>EDA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12251-2024</t>
        </is>
      </c>
      <c r="B13937" s="1" t="n">
        <v>45378</v>
      </c>
      <c r="C13937" s="1" t="n">
        <v>45736</v>
      </c>
      <c r="D13937" t="inlineStr">
        <is>
          <t>VÄRMLANDS LÄN</t>
        </is>
      </c>
      <c r="E13937" t="inlineStr">
        <is>
          <t>KIL</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12267-2024</t>
        </is>
      </c>
      <c r="B13938" s="1" t="n">
        <v>45378</v>
      </c>
      <c r="C13938" s="1" t="n">
        <v>45736</v>
      </c>
      <c r="D13938" t="inlineStr">
        <is>
          <t>VÄRMLANDS LÄN</t>
        </is>
      </c>
      <c r="E13938" t="inlineStr">
        <is>
          <t>FILIPSTAD</t>
        </is>
      </c>
      <c r="F13938" t="inlineStr">
        <is>
          <t>Bergvik skog väst AB</t>
        </is>
      </c>
      <c r="G13938" t="n">
        <v>14.2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12249-2024</t>
        </is>
      </c>
      <c r="B13939" s="1" t="n">
        <v>45378</v>
      </c>
      <c r="C13939" s="1" t="n">
        <v>45736</v>
      </c>
      <c r="D13939" t="inlineStr">
        <is>
          <t>VÄRMLANDS LÄN</t>
        </is>
      </c>
      <c r="E13939" t="inlineStr">
        <is>
          <t>KIL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12261-2024</t>
        </is>
      </c>
      <c r="B13940" s="1" t="n">
        <v>45378</v>
      </c>
      <c r="C13940" s="1" t="n">
        <v>45736</v>
      </c>
      <c r="D13940" t="inlineStr">
        <is>
          <t>VÄRMLANDS LÄN</t>
        </is>
      </c>
      <c r="E13940" t="inlineStr">
        <is>
          <t>KRISTINEHAMN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12279-2024</t>
        </is>
      </c>
      <c r="B13941" s="1" t="n">
        <v>45378</v>
      </c>
      <c r="C13941" s="1" t="n">
        <v>45736</v>
      </c>
      <c r="D13941" t="inlineStr">
        <is>
          <t>VÄRMLANDS LÄN</t>
        </is>
      </c>
      <c r="E13941" t="inlineStr">
        <is>
          <t>FILIPSTAD</t>
        </is>
      </c>
      <c r="F13941" t="inlineStr">
        <is>
          <t>Bergvik skog väst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12283-2024</t>
        </is>
      </c>
      <c r="B13942" s="1" t="n">
        <v>45378</v>
      </c>
      <c r="C13942" s="1" t="n">
        <v>45736</v>
      </c>
      <c r="D13942" t="inlineStr">
        <is>
          <t>VÄRMLANDS LÄN</t>
        </is>
      </c>
      <c r="E13942" t="inlineStr">
        <is>
          <t>FILIPSTAD</t>
        </is>
      </c>
      <c r="F13942" t="inlineStr">
        <is>
          <t>Bergvik skog väst AB</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12294-2024</t>
        </is>
      </c>
      <c r="B13943" s="1" t="n">
        <v>45378</v>
      </c>
      <c r="C13943" s="1" t="n">
        <v>45736</v>
      </c>
      <c r="D13943" t="inlineStr">
        <is>
          <t>VÄRMLANDS LÄN</t>
        </is>
      </c>
      <c r="E13943" t="inlineStr">
        <is>
          <t>SÄFFLE</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12298-2024</t>
        </is>
      </c>
      <c r="B13944" s="1" t="n">
        <v>45378</v>
      </c>
      <c r="C13944" s="1" t="n">
        <v>45736</v>
      </c>
      <c r="D13944" t="inlineStr">
        <is>
          <t>VÄRMLANDS LÄN</t>
        </is>
      </c>
      <c r="E13944" t="inlineStr">
        <is>
          <t>FILIPSTAD</t>
        </is>
      </c>
      <c r="F13944" t="inlineStr">
        <is>
          <t>Bergvik skog väst AB</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12281-2024</t>
        </is>
      </c>
      <c r="B13945" s="1" t="n">
        <v>45378</v>
      </c>
      <c r="C13945" s="1" t="n">
        <v>45736</v>
      </c>
      <c r="D13945" t="inlineStr">
        <is>
          <t>VÄRMLANDS LÄN</t>
        </is>
      </c>
      <c r="E13945" t="inlineStr">
        <is>
          <t>KIL</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12286-2024</t>
        </is>
      </c>
      <c r="B13946" s="1" t="n">
        <v>45378</v>
      </c>
      <c r="C13946" s="1" t="n">
        <v>45736</v>
      </c>
      <c r="D13946" t="inlineStr">
        <is>
          <t>VÄRMLANDS LÄN</t>
        </is>
      </c>
      <c r="E13946" t="inlineStr">
        <is>
          <t>FILIPSTAD</t>
        </is>
      </c>
      <c r="F13946" t="inlineStr">
        <is>
          <t>Bergvik skog väst AB</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12296-2024</t>
        </is>
      </c>
      <c r="B13947" s="1" t="n">
        <v>45378</v>
      </c>
      <c r="C13947" s="1" t="n">
        <v>45736</v>
      </c>
      <c r="D13947" t="inlineStr">
        <is>
          <t>VÄRMLANDS LÄN</t>
        </is>
      </c>
      <c r="E13947" t="inlineStr">
        <is>
          <t>ARVIKA</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12300-2024</t>
        </is>
      </c>
      <c r="B13948" s="1" t="n">
        <v>45378</v>
      </c>
      <c r="C13948" s="1" t="n">
        <v>45736</v>
      </c>
      <c r="D13948" t="inlineStr">
        <is>
          <t>VÄRMLANDS LÄN</t>
        </is>
      </c>
      <c r="E13948" t="inlineStr">
        <is>
          <t>ARVIKA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12304-2024</t>
        </is>
      </c>
      <c r="B13949" s="1" t="n">
        <v>45378</v>
      </c>
      <c r="C13949" s="1" t="n">
        <v>45736</v>
      </c>
      <c r="D13949" t="inlineStr">
        <is>
          <t>VÄRMLANDS LÄN</t>
        </is>
      </c>
      <c r="E13949" t="inlineStr">
        <is>
          <t>SUNNE</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12311-2024</t>
        </is>
      </c>
      <c r="B13950" s="1" t="n">
        <v>45378</v>
      </c>
      <c r="C13950" s="1" t="n">
        <v>45736</v>
      </c>
      <c r="D13950" t="inlineStr">
        <is>
          <t>VÄRMLANDS LÄN</t>
        </is>
      </c>
      <c r="E13950" t="inlineStr">
        <is>
          <t>GRUMS</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12320-2024</t>
        </is>
      </c>
      <c r="B13951" s="1" t="n">
        <v>45378</v>
      </c>
      <c r="C13951" s="1" t="n">
        <v>45736</v>
      </c>
      <c r="D13951" t="inlineStr">
        <is>
          <t>VÄRMLANDS LÄN</t>
        </is>
      </c>
      <c r="E13951" t="inlineStr">
        <is>
          <t>FORSHAGA</t>
        </is>
      </c>
      <c r="F13951" t="inlineStr">
        <is>
          <t>Bergvik skog väst AB</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12219-2024</t>
        </is>
      </c>
      <c r="B13952" s="1" t="n">
        <v>45378</v>
      </c>
      <c r="C13952" s="1" t="n">
        <v>45736</v>
      </c>
      <c r="D13952" t="inlineStr">
        <is>
          <t>VÄRMLANDS LÄN</t>
        </is>
      </c>
      <c r="E13952" t="inlineStr">
        <is>
          <t>KARLSTAD</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12227-2024</t>
        </is>
      </c>
      <c r="B13953" s="1" t="n">
        <v>45378</v>
      </c>
      <c r="C13953" s="1" t="n">
        <v>45736</v>
      </c>
      <c r="D13953" t="inlineStr">
        <is>
          <t>VÄRMLANDS LÄN</t>
        </is>
      </c>
      <c r="E13953" t="inlineStr">
        <is>
          <t>STORFORS</t>
        </is>
      </c>
      <c r="F13953" t="inlineStr">
        <is>
          <t>Naturvårdsverket</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12239-2024</t>
        </is>
      </c>
      <c r="B13954" s="1" t="n">
        <v>45378</v>
      </c>
      <c r="C13954" s="1" t="n">
        <v>45736</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12252-2024</t>
        </is>
      </c>
      <c r="B13955" s="1" t="n">
        <v>45378</v>
      </c>
      <c r="C13955" s="1" t="n">
        <v>45736</v>
      </c>
      <c r="D13955" t="inlineStr">
        <is>
          <t>VÄRMLANDS LÄN</t>
        </is>
      </c>
      <c r="E13955" t="inlineStr">
        <is>
          <t>KIL</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12342-2024</t>
        </is>
      </c>
      <c r="B13956" s="1" t="n">
        <v>45378</v>
      </c>
      <c r="C13956" s="1" t="n">
        <v>45736</v>
      </c>
      <c r="D13956" t="inlineStr">
        <is>
          <t>VÄRMLANDS LÄN</t>
        </is>
      </c>
      <c r="E13956" t="inlineStr">
        <is>
          <t>STORFORS</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12272-2024</t>
        </is>
      </c>
      <c r="B13957" s="1" t="n">
        <v>45378</v>
      </c>
      <c r="C13957" s="1" t="n">
        <v>45736</v>
      </c>
      <c r="D13957" t="inlineStr">
        <is>
          <t>VÄRMLANDS LÄN</t>
        </is>
      </c>
      <c r="E13957" t="inlineStr">
        <is>
          <t>KIL</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12280-2024</t>
        </is>
      </c>
      <c r="B13958" s="1" t="n">
        <v>45378</v>
      </c>
      <c r="C13958" s="1" t="n">
        <v>45736</v>
      </c>
      <c r="D13958" t="inlineStr">
        <is>
          <t>VÄRMLANDS LÄN</t>
        </is>
      </c>
      <c r="E13958" t="inlineStr">
        <is>
          <t>KIL</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12592-2024</t>
        </is>
      </c>
      <c r="B13959" s="1" t="n">
        <v>45380</v>
      </c>
      <c r="C13959" s="1" t="n">
        <v>45736</v>
      </c>
      <c r="D13959" t="inlineStr">
        <is>
          <t>VÄRMLANDS LÄN</t>
        </is>
      </c>
      <c r="E13959" t="inlineStr">
        <is>
          <t>HAGFORS</t>
        </is>
      </c>
      <c r="F13959" t="inlineStr">
        <is>
          <t>Bergvik skog väst AB</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12409-2024</t>
        </is>
      </c>
      <c r="B13960" s="1" t="n">
        <v>45379</v>
      </c>
      <c r="C13960" s="1" t="n">
        <v>45736</v>
      </c>
      <c r="D13960" t="inlineStr">
        <is>
          <t>VÄRMLANDS LÄN</t>
        </is>
      </c>
      <c r="E13960" t="inlineStr">
        <is>
          <t>SUNNE</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12509-2024</t>
        </is>
      </c>
      <c r="B13961" s="1" t="n">
        <v>45379</v>
      </c>
      <c r="C13961" s="1" t="n">
        <v>45736</v>
      </c>
      <c r="D13961" t="inlineStr">
        <is>
          <t>VÄRMLANDS LÄN</t>
        </is>
      </c>
      <c r="E13961" t="inlineStr">
        <is>
          <t>TORSBY</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12501-2024</t>
        </is>
      </c>
      <c r="B13962" s="1" t="n">
        <v>45379</v>
      </c>
      <c r="C13962" s="1" t="n">
        <v>45736</v>
      </c>
      <c r="D13962" t="inlineStr">
        <is>
          <t>VÄRMLANDS LÄN</t>
        </is>
      </c>
      <c r="E13962" t="inlineStr">
        <is>
          <t>ÅRJÄNG</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12503-2024</t>
        </is>
      </c>
      <c r="B13963" s="1" t="n">
        <v>45379</v>
      </c>
      <c r="C13963" s="1" t="n">
        <v>45736</v>
      </c>
      <c r="D13963" t="inlineStr">
        <is>
          <t>VÄRMLANDS LÄN</t>
        </is>
      </c>
      <c r="E13963" t="inlineStr">
        <is>
          <t>TORSBY</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12482-2024</t>
        </is>
      </c>
      <c r="B13964" s="1" t="n">
        <v>45379</v>
      </c>
      <c r="C13964" s="1" t="n">
        <v>45736</v>
      </c>
      <c r="D13964" t="inlineStr">
        <is>
          <t>VÄRMLANDS LÄN</t>
        </is>
      </c>
      <c r="E13964" t="inlineStr">
        <is>
          <t>SÄFFLE</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12494-2024</t>
        </is>
      </c>
      <c r="B13965" s="1" t="n">
        <v>45379</v>
      </c>
      <c r="C13965" s="1" t="n">
        <v>45736</v>
      </c>
      <c r="D13965" t="inlineStr">
        <is>
          <t>VÄRMLANDS LÄN</t>
        </is>
      </c>
      <c r="E13965" t="inlineStr">
        <is>
          <t>ÅRJÄNG</t>
        </is>
      </c>
      <c r="G13965" t="n">
        <v>9.699999999999999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12452-2024</t>
        </is>
      </c>
      <c r="B13966" s="1" t="n">
        <v>45379</v>
      </c>
      <c r="C13966" s="1" t="n">
        <v>45736</v>
      </c>
      <c r="D13966" t="inlineStr">
        <is>
          <t>VÄRMLANDS LÄN</t>
        </is>
      </c>
      <c r="E13966" t="inlineStr">
        <is>
          <t>KRISTINEHAMN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12479-2024</t>
        </is>
      </c>
      <c r="B13967" s="1" t="n">
        <v>45379</v>
      </c>
      <c r="C13967" s="1" t="n">
        <v>45736</v>
      </c>
      <c r="D13967" t="inlineStr">
        <is>
          <t>VÄRMLANDS LÄN</t>
        </is>
      </c>
      <c r="E13967" t="inlineStr">
        <is>
          <t>SÄFFLE</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12423-2024</t>
        </is>
      </c>
      <c r="B13968" s="1" t="n">
        <v>45379</v>
      </c>
      <c r="C13968" s="1" t="n">
        <v>45736</v>
      </c>
      <c r="D13968" t="inlineStr">
        <is>
          <t>VÄRMLANDS LÄN</t>
        </is>
      </c>
      <c r="E13968" t="inlineStr">
        <is>
          <t>KRISTINEHAMN</t>
        </is>
      </c>
      <c r="G13968" t="n">
        <v>12.6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12408-2024</t>
        </is>
      </c>
      <c r="B13969" s="1" t="n">
        <v>45379</v>
      </c>
      <c r="C13969" s="1" t="n">
        <v>45736</v>
      </c>
      <c r="D13969" t="inlineStr">
        <is>
          <t>VÄRMLANDS LÄN</t>
        </is>
      </c>
      <c r="E13969" t="inlineStr">
        <is>
          <t>SUNNE</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12410-2024</t>
        </is>
      </c>
      <c r="B13970" s="1" t="n">
        <v>45379</v>
      </c>
      <c r="C13970" s="1" t="n">
        <v>45736</v>
      </c>
      <c r="D13970" t="inlineStr">
        <is>
          <t>VÄRMLANDS LÄN</t>
        </is>
      </c>
      <c r="E13970" t="inlineStr">
        <is>
          <t>KARLSTAD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12506-2024</t>
        </is>
      </c>
      <c r="B13971" s="1" t="n">
        <v>45379</v>
      </c>
      <c r="C13971" s="1" t="n">
        <v>45736</v>
      </c>
      <c r="D13971" t="inlineStr">
        <is>
          <t>VÄRMLANDS LÄN</t>
        </is>
      </c>
      <c r="E13971" t="inlineStr">
        <is>
          <t>KARLSTAD</t>
        </is>
      </c>
      <c r="G13971" t="n">
        <v>6.8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12397-2024</t>
        </is>
      </c>
      <c r="B13972" s="1" t="n">
        <v>45379</v>
      </c>
      <c r="C13972" s="1" t="n">
        <v>45736</v>
      </c>
      <c r="D13972" t="inlineStr">
        <is>
          <t>VÄRMLANDS LÄN</t>
        </is>
      </c>
      <c r="E13972" t="inlineStr">
        <is>
          <t>KARLSTAD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12381-2024</t>
        </is>
      </c>
      <c r="B13973" s="1" t="n">
        <v>45379</v>
      </c>
      <c r="C13973" s="1" t="n">
        <v>45736</v>
      </c>
      <c r="D13973" t="inlineStr">
        <is>
          <t>VÄRMLANDS LÄN</t>
        </is>
      </c>
      <c r="E13973" t="inlineStr">
        <is>
          <t>EDA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12467-2024</t>
        </is>
      </c>
      <c r="B13974" s="1" t="n">
        <v>45379</v>
      </c>
      <c r="C13974" s="1" t="n">
        <v>45736</v>
      </c>
      <c r="D13974" t="inlineStr">
        <is>
          <t>VÄRMLANDS LÄN</t>
        </is>
      </c>
      <c r="E13974" t="inlineStr">
        <is>
          <t>KRISTINEHAMN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12416-2024</t>
        </is>
      </c>
      <c r="B13975" s="1" t="n">
        <v>45379</v>
      </c>
      <c r="C13975" s="1" t="n">
        <v>45736</v>
      </c>
      <c r="D13975" t="inlineStr">
        <is>
          <t>VÄRMLANDS LÄN</t>
        </is>
      </c>
      <c r="E13975" t="inlineStr">
        <is>
          <t>KRISTINEHAMN</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12458-2024</t>
        </is>
      </c>
      <c r="B13976" s="1" t="n">
        <v>45379</v>
      </c>
      <c r="C13976" s="1" t="n">
        <v>45736</v>
      </c>
      <c r="D13976" t="inlineStr">
        <is>
          <t>VÄRMLANDS LÄN</t>
        </is>
      </c>
      <c r="E13976" t="inlineStr">
        <is>
          <t>KRISTINEHAMN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12514-2024</t>
        </is>
      </c>
      <c r="B13977" s="1" t="n">
        <v>45379</v>
      </c>
      <c r="C13977" s="1" t="n">
        <v>45736</v>
      </c>
      <c r="D13977" t="inlineStr">
        <is>
          <t>VÄRMLANDS LÄN</t>
        </is>
      </c>
      <c r="E13977" t="inlineStr">
        <is>
          <t>FILIPSTAD</t>
        </is>
      </c>
      <c r="F13977" t="inlineStr">
        <is>
          <t>Bergvik skog väst AB</t>
        </is>
      </c>
      <c r="G13977" t="n">
        <v>13.8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12527-2024</t>
        </is>
      </c>
      <c r="B13978" s="1" t="n">
        <v>45379</v>
      </c>
      <c r="C13978" s="1" t="n">
        <v>45736</v>
      </c>
      <c r="D13978" t="inlineStr">
        <is>
          <t>VÄRMLANDS LÄN</t>
        </is>
      </c>
      <c r="E13978" t="inlineStr">
        <is>
          <t>SUNNE</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12395-2024</t>
        </is>
      </c>
      <c r="B13979" s="1" t="n">
        <v>45379</v>
      </c>
      <c r="C13979" s="1" t="n">
        <v>45736</v>
      </c>
      <c r="D13979" t="inlineStr">
        <is>
          <t>VÄRMLANDS LÄN</t>
        </is>
      </c>
      <c r="E13979" t="inlineStr">
        <is>
          <t>KRISTINEHAMN</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12399-2024</t>
        </is>
      </c>
      <c r="B13980" s="1" t="n">
        <v>45379</v>
      </c>
      <c r="C13980" s="1" t="n">
        <v>45736</v>
      </c>
      <c r="D13980" t="inlineStr">
        <is>
          <t>VÄRMLANDS LÄN</t>
        </is>
      </c>
      <c r="E13980" t="inlineStr">
        <is>
          <t>KARLSTAD</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12403-2024</t>
        </is>
      </c>
      <c r="B13981" s="1" t="n">
        <v>45379</v>
      </c>
      <c r="C13981" s="1" t="n">
        <v>45736</v>
      </c>
      <c r="D13981" t="inlineStr">
        <is>
          <t>VÄRMLANDS LÄN</t>
        </is>
      </c>
      <c r="E13981" t="inlineStr">
        <is>
          <t>SUNNE</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12426-2024</t>
        </is>
      </c>
      <c r="B13982" s="1" t="n">
        <v>45379</v>
      </c>
      <c r="C13982" s="1" t="n">
        <v>45736</v>
      </c>
      <c r="D13982" t="inlineStr">
        <is>
          <t>VÄRMLANDS LÄN</t>
        </is>
      </c>
      <c r="E13982" t="inlineStr">
        <is>
          <t>HAGFORS</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12488-2024</t>
        </is>
      </c>
      <c r="B13983" s="1" t="n">
        <v>45379</v>
      </c>
      <c r="C13983" s="1" t="n">
        <v>45736</v>
      </c>
      <c r="D13983" t="inlineStr">
        <is>
          <t>VÄRMLANDS LÄN</t>
        </is>
      </c>
      <c r="E13983" t="inlineStr">
        <is>
          <t>ÅRJÄNG</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12520-2024</t>
        </is>
      </c>
      <c r="B13984" s="1" t="n">
        <v>45379</v>
      </c>
      <c r="C13984" s="1" t="n">
        <v>45736</v>
      </c>
      <c r="D13984" t="inlineStr">
        <is>
          <t>VÄRMLANDS LÄN</t>
        </is>
      </c>
      <c r="E13984" t="inlineStr">
        <is>
          <t>KRISTINEHAMN</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12594-2024</t>
        </is>
      </c>
      <c r="B13985" s="1" t="n">
        <v>45380</v>
      </c>
      <c r="C13985" s="1" t="n">
        <v>45736</v>
      </c>
      <c r="D13985" t="inlineStr">
        <is>
          <t>VÄRMLANDS LÄN</t>
        </is>
      </c>
      <c r="E13985" t="inlineStr">
        <is>
          <t>KRISTINEHAMN</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12599-2024</t>
        </is>
      </c>
      <c r="B13986" s="1" t="n">
        <v>45380</v>
      </c>
      <c r="C13986" s="1" t="n">
        <v>45736</v>
      </c>
      <c r="D13986" t="inlineStr">
        <is>
          <t>VÄRMLANDS LÄN</t>
        </is>
      </c>
      <c r="E13986" t="inlineStr">
        <is>
          <t>SÄFFLE</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12613-2024</t>
        </is>
      </c>
      <c r="B13987" s="1" t="n">
        <v>45382</v>
      </c>
      <c r="C13987" s="1" t="n">
        <v>45736</v>
      </c>
      <c r="D13987" t="inlineStr">
        <is>
          <t>VÄRMLANDS LÄN</t>
        </is>
      </c>
      <c r="E13987" t="inlineStr">
        <is>
          <t>KARLSTAD</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12612-2024</t>
        </is>
      </c>
      <c r="B13988" s="1" t="n">
        <v>45382</v>
      </c>
      <c r="C13988" s="1" t="n">
        <v>45736</v>
      </c>
      <c r="D13988" t="inlineStr">
        <is>
          <t>VÄRMLANDS LÄN</t>
        </is>
      </c>
      <c r="E13988" t="inlineStr">
        <is>
          <t>KARLSTAD</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12611-2024</t>
        </is>
      </c>
      <c r="B13989" s="1" t="n">
        <v>45382</v>
      </c>
      <c r="C13989" s="1" t="n">
        <v>45736</v>
      </c>
      <c r="D13989" t="inlineStr">
        <is>
          <t>VÄRMLANDS LÄN</t>
        </is>
      </c>
      <c r="E13989" t="inlineStr">
        <is>
          <t>KARLSTAD</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12628-2024</t>
        </is>
      </c>
      <c r="B13990" s="1" t="n">
        <v>45383</v>
      </c>
      <c r="C13990" s="1" t="n">
        <v>45736</v>
      </c>
      <c r="D13990" t="inlineStr">
        <is>
          <t>VÄRMLANDS LÄN</t>
        </is>
      </c>
      <c r="E13990" t="inlineStr">
        <is>
          <t>HAGFORS</t>
        </is>
      </c>
      <c r="G13990" t="n">
        <v>9.5</v>
      </c>
      <c r="H13990" t="n">
        <v>0</v>
      </c>
      <c r="I13990" t="n">
        <v>0</v>
      </c>
      <c r="J13990" t="n">
        <v>0</v>
      </c>
      <c r="K13990" t="n">
        <v>0</v>
      </c>
      <c r="L13990" t="n">
        <v>0</v>
      </c>
      <c r="M13990" t="n">
        <v>0</v>
      </c>
      <c r="N13990" t="n">
        <v>0</v>
      </c>
      <c r="O13990" t="n">
        <v>0</v>
      </c>
      <c r="P13990" t="n">
        <v>0</v>
      </c>
      <c r="Q13990" t="n">
        <v>0</v>
      </c>
      <c r="R13990" s="2" t="inlineStr"/>
      <c r="U13990">
        <f>HYPERLINK("https://klasma.github.io/Logging_1783/knärot/A 12628-2024 karta knärot.png", "A 12628-2024")</f>
        <v/>
      </c>
      <c r="V13990">
        <f>HYPERLINK("https://klasma.github.io/Logging_1783/klagomål/A 12628-2024 FSC-klagomål.docx", "A 12628-2024")</f>
        <v/>
      </c>
      <c r="W13990">
        <f>HYPERLINK("https://klasma.github.io/Logging_1783/klagomålsmail/A 12628-2024 FSC-klagomål mail.docx", "A 12628-2024")</f>
        <v/>
      </c>
      <c r="X13990">
        <f>HYPERLINK("https://klasma.github.io/Logging_1783/tillsyn/A 12628-2024 tillsynsbegäran.docx", "A 12628-2024")</f>
        <v/>
      </c>
      <c r="Y13990">
        <f>HYPERLINK("https://klasma.github.io/Logging_1783/tillsynsmail/A 12628-2024 tillsynsbegäran mail.docx", "A 12628-2024")</f>
        <v/>
      </c>
    </row>
    <row r="13991" ht="15" customHeight="1">
      <c r="A13991" t="inlineStr">
        <is>
          <t>A 12668-2024</t>
        </is>
      </c>
      <c r="B13991" s="1" t="n">
        <v>45383</v>
      </c>
      <c r="C13991" s="1" t="n">
        <v>45736</v>
      </c>
      <c r="D13991" t="inlineStr">
        <is>
          <t>VÄRMLANDS LÄN</t>
        </is>
      </c>
      <c r="E13991" t="inlineStr">
        <is>
          <t>SÄFFLE</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12626-2024</t>
        </is>
      </c>
      <c r="B13992" s="1" t="n">
        <v>45383</v>
      </c>
      <c r="C13992" s="1" t="n">
        <v>45736</v>
      </c>
      <c r="D13992" t="inlineStr">
        <is>
          <t>VÄRMLANDS LÄN</t>
        </is>
      </c>
      <c r="E13992" t="inlineStr">
        <is>
          <t>HAGFORS</t>
        </is>
      </c>
      <c r="G13992" t="n">
        <v>6.4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12661-2024</t>
        </is>
      </c>
      <c r="B13993" s="1" t="n">
        <v>45383</v>
      </c>
      <c r="C13993" s="1" t="n">
        <v>45736</v>
      </c>
      <c r="D13993" t="inlineStr">
        <is>
          <t>VÄRMLANDS LÄN</t>
        </is>
      </c>
      <c r="E13993" t="inlineStr">
        <is>
          <t>SÄFFLE</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12652-2024</t>
        </is>
      </c>
      <c r="B13994" s="1" t="n">
        <v>45384</v>
      </c>
      <c r="C13994" s="1" t="n">
        <v>45736</v>
      </c>
      <c r="D13994" t="inlineStr">
        <is>
          <t>VÄRMLANDS LÄN</t>
        </is>
      </c>
      <c r="E13994" t="inlineStr">
        <is>
          <t>KIL</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12684-2024</t>
        </is>
      </c>
      <c r="B13995" s="1" t="n">
        <v>45384</v>
      </c>
      <c r="C13995" s="1" t="n">
        <v>45736</v>
      </c>
      <c r="D13995" t="inlineStr">
        <is>
          <t>VÄRMLANDS LÄN</t>
        </is>
      </c>
      <c r="E13995" t="inlineStr">
        <is>
          <t>TORSBY</t>
        </is>
      </c>
      <c r="G13995" t="n">
        <v>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12728-2024</t>
        </is>
      </c>
      <c r="B13996" s="1" t="n">
        <v>45384</v>
      </c>
      <c r="C13996" s="1" t="n">
        <v>45736</v>
      </c>
      <c r="D13996" t="inlineStr">
        <is>
          <t>VÄRMLANDS LÄN</t>
        </is>
      </c>
      <c r="E13996" t="inlineStr">
        <is>
          <t>FILIPSTAD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12736-2024</t>
        </is>
      </c>
      <c r="B13997" s="1" t="n">
        <v>45384</v>
      </c>
      <c r="C13997" s="1" t="n">
        <v>45736</v>
      </c>
      <c r="D13997" t="inlineStr">
        <is>
          <t>VÄRMLANDS LÄN</t>
        </is>
      </c>
      <c r="E13997" t="inlineStr">
        <is>
          <t>ARVIKA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12738-2024</t>
        </is>
      </c>
      <c r="B13998" s="1" t="n">
        <v>45384</v>
      </c>
      <c r="C13998" s="1" t="n">
        <v>45736</v>
      </c>
      <c r="D13998" t="inlineStr">
        <is>
          <t>VÄRMLANDS LÄN</t>
        </is>
      </c>
      <c r="E13998" t="inlineStr">
        <is>
          <t>SÄFFLE</t>
        </is>
      </c>
      <c r="G13998" t="n">
        <v>9.800000000000001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12744-2024</t>
        </is>
      </c>
      <c r="B13999" s="1" t="n">
        <v>45384</v>
      </c>
      <c r="C13999" s="1" t="n">
        <v>45736</v>
      </c>
      <c r="D13999" t="inlineStr">
        <is>
          <t>VÄRMLANDS LÄN</t>
        </is>
      </c>
      <c r="E13999" t="inlineStr">
        <is>
          <t>ARVIKA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12748-2024</t>
        </is>
      </c>
      <c r="B14000" s="1" t="n">
        <v>45384</v>
      </c>
      <c r="C14000" s="1" t="n">
        <v>45736</v>
      </c>
      <c r="D14000" t="inlineStr">
        <is>
          <t>VÄRMLANDS LÄN</t>
        </is>
      </c>
      <c r="E14000" t="inlineStr">
        <is>
          <t>SUNNE</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12737-2024</t>
        </is>
      </c>
      <c r="B14001" s="1" t="n">
        <v>45384</v>
      </c>
      <c r="C14001" s="1" t="n">
        <v>45736</v>
      </c>
      <c r="D14001" t="inlineStr">
        <is>
          <t>VÄRMLANDS LÄN</t>
        </is>
      </c>
      <c r="E14001" t="inlineStr">
        <is>
          <t>FILIPSTAD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12757-2024</t>
        </is>
      </c>
      <c r="B14002" s="1" t="n">
        <v>45384</v>
      </c>
      <c r="C14002" s="1" t="n">
        <v>45736</v>
      </c>
      <c r="D14002" t="inlineStr">
        <is>
          <t>VÄRMLANDS LÄN</t>
        </is>
      </c>
      <c r="E14002" t="inlineStr">
        <is>
          <t>SUNNE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12761-2024</t>
        </is>
      </c>
      <c r="B14003" s="1" t="n">
        <v>45384</v>
      </c>
      <c r="C14003" s="1" t="n">
        <v>45736</v>
      </c>
      <c r="D14003" t="inlineStr">
        <is>
          <t>VÄRMLANDS LÄN</t>
        </is>
      </c>
      <c r="E14003" t="inlineStr">
        <is>
          <t>SUNNE</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12829-2024</t>
        </is>
      </c>
      <c r="B14004" s="1" t="n">
        <v>45384</v>
      </c>
      <c r="C14004" s="1" t="n">
        <v>45736</v>
      </c>
      <c r="D14004" t="inlineStr">
        <is>
          <t>VÄRMLANDS LÄN</t>
        </is>
      </c>
      <c r="E14004" t="inlineStr">
        <is>
          <t>KARLSTAD</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12837-2024</t>
        </is>
      </c>
      <c r="B14005" s="1" t="n">
        <v>45384</v>
      </c>
      <c r="C14005" s="1" t="n">
        <v>45736</v>
      </c>
      <c r="D14005" t="inlineStr">
        <is>
          <t>VÄRMLANDS LÄN</t>
        </is>
      </c>
      <c r="E14005" t="inlineStr">
        <is>
          <t>FILIPSTAD</t>
        </is>
      </c>
      <c r="F14005" t="inlineStr">
        <is>
          <t>Bergvik skog väst AB</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12836-2024</t>
        </is>
      </c>
      <c r="B14006" s="1" t="n">
        <v>45384</v>
      </c>
      <c r="C14006" s="1" t="n">
        <v>45736</v>
      </c>
      <c r="D14006" t="inlineStr">
        <is>
          <t>VÄRMLANDS LÄN</t>
        </is>
      </c>
      <c r="E14006" t="inlineStr">
        <is>
          <t>KARLSTAD</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12673-2024</t>
        </is>
      </c>
      <c r="B14007" s="1" t="n">
        <v>45384</v>
      </c>
      <c r="C14007" s="1" t="n">
        <v>45736</v>
      </c>
      <c r="D14007" t="inlineStr">
        <is>
          <t>VÄRMLANDS LÄN</t>
        </is>
      </c>
      <c r="E14007" t="inlineStr">
        <is>
          <t>HAGFORS</t>
        </is>
      </c>
      <c r="F14007" t="inlineStr">
        <is>
          <t>Bergvik skog väst AB</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12689-2024</t>
        </is>
      </c>
      <c r="B14008" s="1" t="n">
        <v>45384</v>
      </c>
      <c r="C14008" s="1" t="n">
        <v>45736</v>
      </c>
      <c r="D14008" t="inlineStr">
        <is>
          <t>VÄRMLANDS LÄN</t>
        </is>
      </c>
      <c r="E14008" t="inlineStr">
        <is>
          <t>ARVIKA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12701-2024</t>
        </is>
      </c>
      <c r="B14009" s="1" t="n">
        <v>45384</v>
      </c>
      <c r="C14009" s="1" t="n">
        <v>45736</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12705-2024</t>
        </is>
      </c>
      <c r="B14010" s="1" t="n">
        <v>45384</v>
      </c>
      <c r="C14010" s="1" t="n">
        <v>45736</v>
      </c>
      <c r="D14010" t="inlineStr">
        <is>
          <t>VÄRMLANDS LÄN</t>
        </is>
      </c>
      <c r="E14010" t="inlineStr">
        <is>
          <t>KIL</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12714-2024</t>
        </is>
      </c>
      <c r="B14011" s="1" t="n">
        <v>45384</v>
      </c>
      <c r="C14011" s="1" t="n">
        <v>45736</v>
      </c>
      <c r="D14011" t="inlineStr">
        <is>
          <t>VÄRMLANDS LÄN</t>
        </is>
      </c>
      <c r="E14011" t="inlineStr">
        <is>
          <t>FILIPSTAD</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12764-2024</t>
        </is>
      </c>
      <c r="B14012" s="1" t="n">
        <v>45384</v>
      </c>
      <c r="C14012" s="1" t="n">
        <v>45736</v>
      </c>
      <c r="D14012" t="inlineStr">
        <is>
          <t>VÄRMLANDS LÄN</t>
        </is>
      </c>
      <c r="E14012" t="inlineStr">
        <is>
          <t>KARLSTAD</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12768-2024</t>
        </is>
      </c>
      <c r="B14013" s="1" t="n">
        <v>45384</v>
      </c>
      <c r="C14013" s="1" t="n">
        <v>45736</v>
      </c>
      <c r="D14013" t="inlineStr">
        <is>
          <t>VÄRMLANDS LÄN</t>
        </is>
      </c>
      <c r="E14013" t="inlineStr">
        <is>
          <t>FORSHAGA</t>
        </is>
      </c>
      <c r="F14013" t="inlineStr">
        <is>
          <t>Bergvik skog väst AB</t>
        </is>
      </c>
      <c r="G14013" t="n">
        <v>7.4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12883-2024</t>
        </is>
      </c>
      <c r="B14014" s="1" t="n">
        <v>45385</v>
      </c>
      <c r="C14014" s="1" t="n">
        <v>45736</v>
      </c>
      <c r="D14014" t="inlineStr">
        <is>
          <t>VÄRMLANDS LÄN</t>
        </is>
      </c>
      <c r="E14014" t="inlineStr">
        <is>
          <t>SUNNE</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12946-2024</t>
        </is>
      </c>
      <c r="B14015" s="1" t="n">
        <v>45385</v>
      </c>
      <c r="C14015" s="1" t="n">
        <v>45736</v>
      </c>
      <c r="D14015" t="inlineStr">
        <is>
          <t>VÄRMLANDS LÄN</t>
        </is>
      </c>
      <c r="E14015" t="inlineStr">
        <is>
          <t>FILIPSTAD</t>
        </is>
      </c>
      <c r="F14015" t="inlineStr">
        <is>
          <t>Bergvik skog väst AB</t>
        </is>
      </c>
      <c r="G14015" t="n">
        <v>16.5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12884-2024</t>
        </is>
      </c>
      <c r="B14016" s="1" t="n">
        <v>45385</v>
      </c>
      <c r="C14016" s="1" t="n">
        <v>45736</v>
      </c>
      <c r="D14016" t="inlineStr">
        <is>
          <t>VÄRMLANDS LÄN</t>
        </is>
      </c>
      <c r="E14016" t="inlineStr">
        <is>
          <t>SUNNE</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12909-2024</t>
        </is>
      </c>
      <c r="B14017" s="1" t="n">
        <v>45385</v>
      </c>
      <c r="C14017" s="1" t="n">
        <v>45736</v>
      </c>
      <c r="D14017" t="inlineStr">
        <is>
          <t>VÄRMLANDS LÄN</t>
        </is>
      </c>
      <c r="E14017" t="inlineStr">
        <is>
          <t>HAGFORS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12886-2024</t>
        </is>
      </c>
      <c r="B14018" s="1" t="n">
        <v>45385</v>
      </c>
      <c r="C14018" s="1" t="n">
        <v>45736</v>
      </c>
      <c r="D14018" t="inlineStr">
        <is>
          <t>VÄRMLANDS LÄN</t>
        </is>
      </c>
      <c r="E14018" t="inlineStr">
        <is>
          <t>SUNNE</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13092-2024</t>
        </is>
      </c>
      <c r="B14019" s="1" t="n">
        <v>45385</v>
      </c>
      <c r="C14019" s="1" t="n">
        <v>45736</v>
      </c>
      <c r="D14019" t="inlineStr">
        <is>
          <t>VÄRMLANDS LÄN</t>
        </is>
      </c>
      <c r="E14019" t="inlineStr">
        <is>
          <t>KRISTINEHAMN</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13029-2024</t>
        </is>
      </c>
      <c r="B14020" s="1" t="n">
        <v>45385</v>
      </c>
      <c r="C14020" s="1" t="n">
        <v>45736</v>
      </c>
      <c r="D14020" t="inlineStr">
        <is>
          <t>VÄRMLANDS LÄN</t>
        </is>
      </c>
      <c r="E14020" t="inlineStr">
        <is>
          <t>SÄFFLE</t>
        </is>
      </c>
      <c r="G14020" t="n">
        <v>7.9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13086-2024</t>
        </is>
      </c>
      <c r="B14021" s="1" t="n">
        <v>45385</v>
      </c>
      <c r="C14021" s="1" t="n">
        <v>45736</v>
      </c>
      <c r="D14021" t="inlineStr">
        <is>
          <t>VÄRMLANDS LÄN</t>
        </is>
      </c>
      <c r="E14021" t="inlineStr">
        <is>
          <t>ARVIKA</t>
        </is>
      </c>
      <c r="G14021" t="n">
        <v>8.9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13094-2024</t>
        </is>
      </c>
      <c r="B14022" s="1" t="n">
        <v>45385</v>
      </c>
      <c r="C14022" s="1" t="n">
        <v>45736</v>
      </c>
      <c r="D14022" t="inlineStr">
        <is>
          <t>VÄRMLANDS LÄN</t>
        </is>
      </c>
      <c r="E14022" t="inlineStr">
        <is>
          <t>HAGFORS</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13098-2024</t>
        </is>
      </c>
      <c r="B14023" s="1" t="n">
        <v>45385</v>
      </c>
      <c r="C14023" s="1" t="n">
        <v>45736</v>
      </c>
      <c r="D14023" t="inlineStr">
        <is>
          <t>VÄRMLANDS LÄN</t>
        </is>
      </c>
      <c r="E14023" t="inlineStr">
        <is>
          <t>HAGFORS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13003-2024</t>
        </is>
      </c>
      <c r="B14024" s="1" t="n">
        <v>45385</v>
      </c>
      <c r="C14024" s="1" t="n">
        <v>45736</v>
      </c>
      <c r="D14024" t="inlineStr">
        <is>
          <t>VÄRMLANDS LÄN</t>
        </is>
      </c>
      <c r="E14024" t="inlineStr">
        <is>
          <t>KRISTINEHAMN</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13042-2024</t>
        </is>
      </c>
      <c r="B14025" s="1" t="n">
        <v>45385</v>
      </c>
      <c r="C14025" s="1" t="n">
        <v>45736</v>
      </c>
      <c r="D14025" t="inlineStr">
        <is>
          <t>VÄRMLANDS LÄN</t>
        </is>
      </c>
      <c r="E14025" t="inlineStr">
        <is>
          <t>KRISTINEHAMN</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13054-2024</t>
        </is>
      </c>
      <c r="B14026" s="1" t="n">
        <v>45385</v>
      </c>
      <c r="C14026" s="1" t="n">
        <v>45736</v>
      </c>
      <c r="D14026" t="inlineStr">
        <is>
          <t>VÄRMLANDS LÄN</t>
        </is>
      </c>
      <c r="E14026" t="inlineStr">
        <is>
          <t>KRISTINEHAMN</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12989-2024</t>
        </is>
      </c>
      <c r="B14027" s="1" t="n">
        <v>45385</v>
      </c>
      <c r="C14027" s="1" t="n">
        <v>45736</v>
      </c>
      <c r="D14027" t="inlineStr">
        <is>
          <t>VÄRMLANDS LÄN</t>
        </is>
      </c>
      <c r="E14027" t="inlineStr">
        <is>
          <t>TORSBY</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12993-2024</t>
        </is>
      </c>
      <c r="B14028" s="1" t="n">
        <v>45385</v>
      </c>
      <c r="C14028" s="1" t="n">
        <v>45736</v>
      </c>
      <c r="D14028" t="inlineStr">
        <is>
          <t>VÄRMLANDS LÄN</t>
        </is>
      </c>
      <c r="E14028" t="inlineStr">
        <is>
          <t>KRISTINEHAMN</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13024-2024</t>
        </is>
      </c>
      <c r="B14029" s="1" t="n">
        <v>45385</v>
      </c>
      <c r="C14029" s="1" t="n">
        <v>45736</v>
      </c>
      <c r="D14029" t="inlineStr">
        <is>
          <t>VÄRMLANDS LÄN</t>
        </is>
      </c>
      <c r="E14029" t="inlineStr">
        <is>
          <t>KRISTINEHAMN</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13032-2024</t>
        </is>
      </c>
      <c r="B14030" s="1" t="n">
        <v>45385</v>
      </c>
      <c r="C14030" s="1" t="n">
        <v>45736</v>
      </c>
      <c r="D14030" t="inlineStr">
        <is>
          <t>VÄRMLANDS LÄN</t>
        </is>
      </c>
      <c r="E14030" t="inlineStr">
        <is>
          <t>KRISTINEHAMN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13081-2024</t>
        </is>
      </c>
      <c r="B14031" s="1" t="n">
        <v>45385</v>
      </c>
      <c r="C14031" s="1" t="n">
        <v>45736</v>
      </c>
      <c r="D14031" t="inlineStr">
        <is>
          <t>VÄRMLANDS LÄN</t>
        </is>
      </c>
      <c r="E14031" t="inlineStr">
        <is>
          <t>KRISTINEHAMN</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13089-2024</t>
        </is>
      </c>
      <c r="B14032" s="1" t="n">
        <v>45385</v>
      </c>
      <c r="C14032" s="1" t="n">
        <v>45736</v>
      </c>
      <c r="D14032" t="inlineStr">
        <is>
          <t>VÄRMLANDS LÄN</t>
        </is>
      </c>
      <c r="E14032" t="inlineStr">
        <is>
          <t>KARLSTAD</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13157-2024</t>
        </is>
      </c>
      <c r="B14033" s="1" t="n">
        <v>45386</v>
      </c>
      <c r="C14033" s="1" t="n">
        <v>45736</v>
      </c>
      <c r="D14033" t="inlineStr">
        <is>
          <t>VÄRMLANDS LÄN</t>
        </is>
      </c>
      <c r="E14033" t="inlineStr">
        <is>
          <t>ÅRJÄNG</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13151-2024</t>
        </is>
      </c>
      <c r="B14034" s="1" t="n">
        <v>45386</v>
      </c>
      <c r="C14034" s="1" t="n">
        <v>45736</v>
      </c>
      <c r="D14034" t="inlineStr">
        <is>
          <t>VÄRMLANDS LÄN</t>
        </is>
      </c>
      <c r="E14034" t="inlineStr">
        <is>
          <t>ARVIKA</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13155-2024</t>
        </is>
      </c>
      <c r="B14035" s="1" t="n">
        <v>45386</v>
      </c>
      <c r="C14035" s="1" t="n">
        <v>45736</v>
      </c>
      <c r="D14035" t="inlineStr">
        <is>
          <t>VÄRMLANDS LÄN</t>
        </is>
      </c>
      <c r="E14035" t="inlineStr">
        <is>
          <t>ÅRJÄNG</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13191-2024</t>
        </is>
      </c>
      <c r="B14036" s="1" t="n">
        <v>45386</v>
      </c>
      <c r="C14036" s="1" t="n">
        <v>45736</v>
      </c>
      <c r="D14036" t="inlineStr">
        <is>
          <t>VÄRMLANDS LÄN</t>
        </is>
      </c>
      <c r="E14036" t="inlineStr">
        <is>
          <t>KARLSTAD</t>
        </is>
      </c>
      <c r="F14036" t="inlineStr">
        <is>
          <t>Kommuner</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13203-2024</t>
        </is>
      </c>
      <c r="B14037" s="1" t="n">
        <v>45386</v>
      </c>
      <c r="C14037" s="1" t="n">
        <v>45736</v>
      </c>
      <c r="D14037" t="inlineStr">
        <is>
          <t>VÄRMLANDS LÄN</t>
        </is>
      </c>
      <c r="E14037" t="inlineStr">
        <is>
          <t>ARVIKA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13211-2024</t>
        </is>
      </c>
      <c r="B14038" s="1" t="n">
        <v>45386</v>
      </c>
      <c r="C14038" s="1" t="n">
        <v>45736</v>
      </c>
      <c r="D14038" t="inlineStr">
        <is>
          <t>VÄRMLANDS LÄN</t>
        </is>
      </c>
      <c r="E14038" t="inlineStr">
        <is>
          <t>TORSBY</t>
        </is>
      </c>
      <c r="F14038" t="inlineStr">
        <is>
          <t>Bergvik skog väst AB</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13213-2024</t>
        </is>
      </c>
      <c r="B14039" s="1" t="n">
        <v>45386</v>
      </c>
      <c r="C14039" s="1" t="n">
        <v>45736</v>
      </c>
      <c r="D14039" t="inlineStr">
        <is>
          <t>VÄRMLANDS LÄN</t>
        </is>
      </c>
      <c r="E14039" t="inlineStr">
        <is>
          <t>ARVIKA</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13260-2024</t>
        </is>
      </c>
      <c r="B14040" s="1" t="n">
        <v>45386</v>
      </c>
      <c r="C14040" s="1" t="n">
        <v>45736</v>
      </c>
      <c r="D14040" t="inlineStr">
        <is>
          <t>VÄRMLANDS LÄN</t>
        </is>
      </c>
      <c r="E14040" t="inlineStr">
        <is>
          <t>STORFORS</t>
        </is>
      </c>
      <c r="G14040" t="n">
        <v>12.1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13293-2024</t>
        </is>
      </c>
      <c r="B14041" s="1" t="n">
        <v>45386</v>
      </c>
      <c r="C14041" s="1" t="n">
        <v>45736</v>
      </c>
      <c r="D14041" t="inlineStr">
        <is>
          <t>VÄRMLANDS LÄN</t>
        </is>
      </c>
      <c r="E14041" t="inlineStr">
        <is>
          <t>KRISTINEHAMN</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13297-2024</t>
        </is>
      </c>
      <c r="B14042" s="1" t="n">
        <v>45386</v>
      </c>
      <c r="C14042" s="1" t="n">
        <v>45736</v>
      </c>
      <c r="D14042" t="inlineStr">
        <is>
          <t>VÄRMLANDS LÄN</t>
        </is>
      </c>
      <c r="E14042" t="inlineStr">
        <is>
          <t>HAGFORS</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13262-2024</t>
        </is>
      </c>
      <c r="B14043" s="1" t="n">
        <v>45386</v>
      </c>
      <c r="C14043" s="1" t="n">
        <v>45736</v>
      </c>
      <c r="D14043" t="inlineStr">
        <is>
          <t>VÄRMLANDS LÄN</t>
        </is>
      </c>
      <c r="E14043" t="inlineStr">
        <is>
          <t>TORSBY</t>
        </is>
      </c>
      <c r="G14043" t="n">
        <v>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13266-2024</t>
        </is>
      </c>
      <c r="B14044" s="1" t="n">
        <v>45386</v>
      </c>
      <c r="C14044" s="1" t="n">
        <v>45736</v>
      </c>
      <c r="D14044" t="inlineStr">
        <is>
          <t>VÄRMLANDS LÄN</t>
        </is>
      </c>
      <c r="E14044" t="inlineStr">
        <is>
          <t>STORFORS</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13274-2024</t>
        </is>
      </c>
      <c r="B14045" s="1" t="n">
        <v>45386</v>
      </c>
      <c r="C14045" s="1" t="n">
        <v>45736</v>
      </c>
      <c r="D14045" t="inlineStr">
        <is>
          <t>VÄRMLANDS LÄN</t>
        </is>
      </c>
      <c r="E14045" t="inlineStr">
        <is>
          <t>SUNNE</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13283-2024</t>
        </is>
      </c>
      <c r="B14046" s="1" t="n">
        <v>45386</v>
      </c>
      <c r="C14046" s="1" t="n">
        <v>45736</v>
      </c>
      <c r="D14046" t="inlineStr">
        <is>
          <t>VÄRMLANDS LÄN</t>
        </is>
      </c>
      <c r="E14046" t="inlineStr">
        <is>
          <t>KARLSTAD</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13287-2024</t>
        </is>
      </c>
      <c r="B14047" s="1" t="n">
        <v>45386</v>
      </c>
      <c r="C14047" s="1" t="n">
        <v>45736</v>
      </c>
      <c r="D14047" t="inlineStr">
        <is>
          <t>VÄRMLANDS LÄN</t>
        </is>
      </c>
      <c r="E14047" t="inlineStr">
        <is>
          <t>KARLSTAD</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13291-2024</t>
        </is>
      </c>
      <c r="B14048" s="1" t="n">
        <v>45386</v>
      </c>
      <c r="C14048" s="1" t="n">
        <v>45736</v>
      </c>
      <c r="D14048" t="inlineStr">
        <is>
          <t>VÄRMLANDS LÄN</t>
        </is>
      </c>
      <c r="E14048" t="inlineStr">
        <is>
          <t>KARLSTAD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13142-2024</t>
        </is>
      </c>
      <c r="B14049" s="1" t="n">
        <v>45386</v>
      </c>
      <c r="C14049" s="1" t="n">
        <v>45736</v>
      </c>
      <c r="D14049" t="inlineStr">
        <is>
          <t>VÄRMLANDS LÄN</t>
        </is>
      </c>
      <c r="E14049" t="inlineStr">
        <is>
          <t>SUNNE</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13186-2024</t>
        </is>
      </c>
      <c r="B14050" s="1" t="n">
        <v>45386</v>
      </c>
      <c r="C14050" s="1" t="n">
        <v>45736</v>
      </c>
      <c r="D14050" t="inlineStr">
        <is>
          <t>VÄRMLANDS LÄN</t>
        </is>
      </c>
      <c r="E14050" t="inlineStr">
        <is>
          <t>TORSBY</t>
        </is>
      </c>
      <c r="F14050" t="inlineStr">
        <is>
          <t>Bergvik skog väst AB</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13198-2024</t>
        </is>
      </c>
      <c r="B14051" s="1" t="n">
        <v>45386</v>
      </c>
      <c r="C14051" s="1" t="n">
        <v>45736</v>
      </c>
      <c r="D14051" t="inlineStr">
        <is>
          <t>VÄRMLANDS LÄN</t>
        </is>
      </c>
      <c r="E14051" t="inlineStr">
        <is>
          <t>FORSHAGA</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13206-2024</t>
        </is>
      </c>
      <c r="B14052" s="1" t="n">
        <v>45386</v>
      </c>
      <c r="C14052" s="1" t="n">
        <v>45736</v>
      </c>
      <c r="D14052" t="inlineStr">
        <is>
          <t>VÄRMLANDS LÄN</t>
        </is>
      </c>
      <c r="E14052" t="inlineStr">
        <is>
          <t>TORSBY</t>
        </is>
      </c>
      <c r="F14052" t="inlineStr">
        <is>
          <t>Bergvik skog väst AB</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13210-2024</t>
        </is>
      </c>
      <c r="B14053" s="1" t="n">
        <v>45386</v>
      </c>
      <c r="C14053" s="1" t="n">
        <v>45736</v>
      </c>
      <c r="D14053" t="inlineStr">
        <is>
          <t>VÄRMLANDS LÄN</t>
        </is>
      </c>
      <c r="E14053" t="inlineStr">
        <is>
          <t>ARVIKA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13218-2024</t>
        </is>
      </c>
      <c r="B14054" s="1" t="n">
        <v>45386</v>
      </c>
      <c r="C14054" s="1" t="n">
        <v>45736</v>
      </c>
      <c r="D14054" t="inlineStr">
        <is>
          <t>VÄRMLANDS LÄN</t>
        </is>
      </c>
      <c r="E14054" t="inlineStr">
        <is>
          <t>SÄFFLE</t>
        </is>
      </c>
      <c r="F14054" t="inlineStr">
        <is>
          <t>Kyrkan</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13284-2024</t>
        </is>
      </c>
      <c r="B14055" s="1" t="n">
        <v>45386</v>
      </c>
      <c r="C14055" s="1" t="n">
        <v>45736</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13288-2024</t>
        </is>
      </c>
      <c r="B14056" s="1" t="n">
        <v>45386</v>
      </c>
      <c r="C14056" s="1" t="n">
        <v>45736</v>
      </c>
      <c r="D14056" t="inlineStr">
        <is>
          <t>VÄRMLANDS LÄN</t>
        </is>
      </c>
      <c r="E14056" t="inlineStr">
        <is>
          <t>STORFORS</t>
        </is>
      </c>
      <c r="F14056" t="inlineStr">
        <is>
          <t>Kyrkan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13292-2024</t>
        </is>
      </c>
      <c r="B14057" s="1" t="n">
        <v>45386</v>
      </c>
      <c r="C14057" s="1" t="n">
        <v>45736</v>
      </c>
      <c r="D14057" t="inlineStr">
        <is>
          <t>VÄRMLANDS LÄN</t>
        </is>
      </c>
      <c r="E14057" t="inlineStr">
        <is>
          <t>SÄFFLE</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13320-2024</t>
        </is>
      </c>
      <c r="B14058" s="1" t="n">
        <v>45386</v>
      </c>
      <c r="C14058" s="1" t="n">
        <v>45736</v>
      </c>
      <c r="D14058" t="inlineStr">
        <is>
          <t>VÄRMLANDS LÄN</t>
        </is>
      </c>
      <c r="E14058" t="inlineStr">
        <is>
          <t>GRUMS</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13278-2024</t>
        </is>
      </c>
      <c r="B14059" s="1" t="n">
        <v>45386</v>
      </c>
      <c r="C14059" s="1" t="n">
        <v>45736</v>
      </c>
      <c r="D14059" t="inlineStr">
        <is>
          <t>VÄRMLANDS LÄN</t>
        </is>
      </c>
      <c r="E14059" t="inlineStr">
        <is>
          <t>GRUMS</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13282-2024</t>
        </is>
      </c>
      <c r="B14060" s="1" t="n">
        <v>45386</v>
      </c>
      <c r="C14060" s="1" t="n">
        <v>45736</v>
      </c>
      <c r="D14060" t="inlineStr">
        <is>
          <t>VÄRMLANDS LÄN</t>
        </is>
      </c>
      <c r="E14060" t="inlineStr">
        <is>
          <t>HAGFORS</t>
        </is>
      </c>
      <c r="F14060" t="inlineStr">
        <is>
          <t>Kommuner</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13286-2024</t>
        </is>
      </c>
      <c r="B14061" s="1" t="n">
        <v>45386</v>
      </c>
      <c r="C14061" s="1" t="n">
        <v>45736</v>
      </c>
      <c r="D14061" t="inlineStr">
        <is>
          <t>VÄRMLANDS LÄN</t>
        </is>
      </c>
      <c r="E14061" t="inlineStr">
        <is>
          <t>KRISTINEHAMN</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13392-2024</t>
        </is>
      </c>
      <c r="B14062" s="1" t="n">
        <v>45387</v>
      </c>
      <c r="C14062" s="1" t="n">
        <v>45736</v>
      </c>
      <c r="D14062" t="inlineStr">
        <is>
          <t>VÄRMLANDS LÄN</t>
        </is>
      </c>
      <c r="E14062" t="inlineStr">
        <is>
          <t>HAGFORS</t>
        </is>
      </c>
      <c r="F14062" t="inlineStr">
        <is>
          <t>Bergvik skog väst AB</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13485-2024</t>
        </is>
      </c>
      <c r="B14063" s="1" t="n">
        <v>45387</v>
      </c>
      <c r="C14063" s="1" t="n">
        <v>45736</v>
      </c>
      <c r="D14063" t="inlineStr">
        <is>
          <t>VÄRMLANDS LÄN</t>
        </is>
      </c>
      <c r="E14063" t="inlineStr">
        <is>
          <t>HAGFORS</t>
        </is>
      </c>
      <c r="F14063" t="inlineStr">
        <is>
          <t>Bergvik skog väst AB</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13534-2024</t>
        </is>
      </c>
      <c r="B14064" s="1" t="n">
        <v>45387</v>
      </c>
      <c r="C14064" s="1" t="n">
        <v>45736</v>
      </c>
      <c r="D14064" t="inlineStr">
        <is>
          <t>VÄRMLANDS LÄN</t>
        </is>
      </c>
      <c r="E14064" t="inlineStr">
        <is>
          <t>KARLSTAD</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13734-2024</t>
        </is>
      </c>
      <c r="B14065" s="1" t="n">
        <v>45387</v>
      </c>
      <c r="C14065" s="1" t="n">
        <v>45736</v>
      </c>
      <c r="D14065" t="inlineStr">
        <is>
          <t>VÄRMLANDS LÄN</t>
        </is>
      </c>
      <c r="E14065" t="inlineStr">
        <is>
          <t>ÅRJÄNG</t>
        </is>
      </c>
      <c r="F14065" t="inlineStr">
        <is>
          <t>Övriga Aktiebolag</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13493-2024</t>
        </is>
      </c>
      <c r="B14066" s="1" t="n">
        <v>45387</v>
      </c>
      <c r="C14066" s="1" t="n">
        <v>45736</v>
      </c>
      <c r="D14066" t="inlineStr">
        <is>
          <t>VÄRMLANDS LÄN</t>
        </is>
      </c>
      <c r="E14066" t="inlineStr">
        <is>
          <t>SÄFFLE</t>
        </is>
      </c>
      <c r="F14066" t="inlineStr">
        <is>
          <t>Bergvik skog väst AB</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13481-2024</t>
        </is>
      </c>
      <c r="B14067" s="1" t="n">
        <v>45387</v>
      </c>
      <c r="C14067" s="1" t="n">
        <v>45736</v>
      </c>
      <c r="D14067" t="inlineStr">
        <is>
          <t>VÄRMLANDS LÄN</t>
        </is>
      </c>
      <c r="E14067" t="inlineStr">
        <is>
          <t>SÄFFLE</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13420-2024</t>
        </is>
      </c>
      <c r="B14068" s="1" t="n">
        <v>45387</v>
      </c>
      <c r="C14068" s="1" t="n">
        <v>45736</v>
      </c>
      <c r="D14068" t="inlineStr">
        <is>
          <t>VÄRMLANDS LÄN</t>
        </is>
      </c>
      <c r="E14068" t="inlineStr">
        <is>
          <t>MUNKFORS</t>
        </is>
      </c>
      <c r="F14068" t="inlineStr">
        <is>
          <t>Bergvik skog väst AB</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13384-2024</t>
        </is>
      </c>
      <c r="B14069" s="1" t="n">
        <v>45387</v>
      </c>
      <c r="C14069" s="1" t="n">
        <v>45736</v>
      </c>
      <c r="D14069" t="inlineStr">
        <is>
          <t>VÄRMLANDS LÄN</t>
        </is>
      </c>
      <c r="E14069" t="inlineStr">
        <is>
          <t>HAGFORS</t>
        </is>
      </c>
      <c r="G14069" t="n">
        <v>8.699999999999999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13733-2024</t>
        </is>
      </c>
      <c r="B14070" s="1" t="n">
        <v>45387</v>
      </c>
      <c r="C14070" s="1" t="n">
        <v>45736</v>
      </c>
      <c r="D14070" t="inlineStr">
        <is>
          <t>VÄRMLANDS LÄN</t>
        </is>
      </c>
      <c r="E14070" t="inlineStr">
        <is>
          <t>ÅRJÄNG</t>
        </is>
      </c>
      <c r="F14070" t="inlineStr">
        <is>
          <t>Övriga Aktiebolag</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13532-2024</t>
        </is>
      </c>
      <c r="B14071" s="1" t="n">
        <v>45387</v>
      </c>
      <c r="C14071" s="1" t="n">
        <v>45736</v>
      </c>
      <c r="D14071" t="inlineStr">
        <is>
          <t>VÄRMLANDS LÄN</t>
        </is>
      </c>
      <c r="E14071" t="inlineStr">
        <is>
          <t>KARLSTAD</t>
        </is>
      </c>
      <c r="G14071" t="n">
        <v>7.2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13519-2024</t>
        </is>
      </c>
      <c r="B14072" s="1" t="n">
        <v>45387</v>
      </c>
      <c r="C14072" s="1" t="n">
        <v>45736</v>
      </c>
      <c r="D14072" t="inlineStr">
        <is>
          <t>VÄRMLANDS LÄN</t>
        </is>
      </c>
      <c r="E14072" t="inlineStr">
        <is>
          <t>SÄFFLE</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13459-2024</t>
        </is>
      </c>
      <c r="B14073" s="1" t="n">
        <v>45387</v>
      </c>
      <c r="C14073" s="1" t="n">
        <v>45736</v>
      </c>
      <c r="D14073" t="inlineStr">
        <is>
          <t>VÄRMLANDS LÄN</t>
        </is>
      </c>
      <c r="E14073" t="inlineStr">
        <is>
          <t>KRISTINEHAMN</t>
        </is>
      </c>
      <c r="F14073" t="inlineStr">
        <is>
          <t>Naturvårdsverket</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13438-2024</t>
        </is>
      </c>
      <c r="B14074" s="1" t="n">
        <v>45387</v>
      </c>
      <c r="C14074" s="1" t="n">
        <v>45736</v>
      </c>
      <c r="D14074" t="inlineStr">
        <is>
          <t>VÄRMLANDS LÄN</t>
        </is>
      </c>
      <c r="E14074" t="inlineStr">
        <is>
          <t>SÄFFLE</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13434-2024</t>
        </is>
      </c>
      <c r="B14075" s="1" t="n">
        <v>45387</v>
      </c>
      <c r="C14075" s="1" t="n">
        <v>45736</v>
      </c>
      <c r="D14075" t="inlineStr">
        <is>
          <t>VÄRMLANDS LÄN</t>
        </is>
      </c>
      <c r="E14075" t="inlineStr">
        <is>
          <t>HAGFORS</t>
        </is>
      </c>
      <c r="F14075" t="inlineStr">
        <is>
          <t>Bergvik skog väst AB</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13402-2024</t>
        </is>
      </c>
      <c r="B14076" s="1" t="n">
        <v>45387</v>
      </c>
      <c r="C14076" s="1" t="n">
        <v>45736</v>
      </c>
      <c r="D14076" t="inlineStr">
        <is>
          <t>VÄRMLANDS LÄN</t>
        </is>
      </c>
      <c r="E14076" t="inlineStr">
        <is>
          <t>KARLSTAD</t>
        </is>
      </c>
      <c r="F14076" t="inlineStr">
        <is>
          <t>Bergvik skog väst AB</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13398-2024</t>
        </is>
      </c>
      <c r="B14077" s="1" t="n">
        <v>45387</v>
      </c>
      <c r="C14077" s="1" t="n">
        <v>45736</v>
      </c>
      <c r="D14077" t="inlineStr">
        <is>
          <t>VÄRMLANDS LÄN</t>
        </is>
      </c>
      <c r="E14077" t="inlineStr">
        <is>
          <t>SUNNE</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13382-2024</t>
        </is>
      </c>
      <c r="B14078" s="1" t="n">
        <v>45387</v>
      </c>
      <c r="C14078" s="1" t="n">
        <v>45736</v>
      </c>
      <c r="D14078" t="inlineStr">
        <is>
          <t>VÄRMLANDS LÄN</t>
        </is>
      </c>
      <c r="E14078" t="inlineStr">
        <is>
          <t>GRUMS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13435-2024</t>
        </is>
      </c>
      <c r="B14079" s="1" t="n">
        <v>45387</v>
      </c>
      <c r="C14079" s="1" t="n">
        <v>45736</v>
      </c>
      <c r="D14079" t="inlineStr">
        <is>
          <t>VÄRMLANDS LÄN</t>
        </is>
      </c>
      <c r="E14079" t="inlineStr">
        <is>
          <t>TORSBY</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13431-2024</t>
        </is>
      </c>
      <c r="B14080" s="1" t="n">
        <v>45387</v>
      </c>
      <c r="C14080" s="1" t="n">
        <v>45736</v>
      </c>
      <c r="D14080" t="inlineStr">
        <is>
          <t>VÄRMLANDS LÄN</t>
        </is>
      </c>
      <c r="E14080" t="inlineStr">
        <is>
          <t>MUNKFORS</t>
        </is>
      </c>
      <c r="F14080" t="inlineStr">
        <is>
          <t>Bergvik skog väst AB</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13407-2024</t>
        </is>
      </c>
      <c r="B14081" s="1" t="n">
        <v>45387</v>
      </c>
      <c r="C14081" s="1" t="n">
        <v>45736</v>
      </c>
      <c r="D14081" t="inlineStr">
        <is>
          <t>VÄRMLANDS LÄN</t>
        </is>
      </c>
      <c r="E14081" t="inlineStr">
        <is>
          <t>HAGFORS</t>
        </is>
      </c>
      <c r="F14081" t="inlineStr">
        <is>
          <t>Bergvik skog väst AB</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13367-2024</t>
        </is>
      </c>
      <c r="B14082" s="1" t="n">
        <v>45387</v>
      </c>
      <c r="C14082" s="1" t="n">
        <v>45736</v>
      </c>
      <c r="D14082" t="inlineStr">
        <is>
          <t>VÄRMLANDS LÄN</t>
        </is>
      </c>
      <c r="E14082" t="inlineStr">
        <is>
          <t>SUNNE</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13397-2024</t>
        </is>
      </c>
      <c r="B14083" s="1" t="n">
        <v>45387</v>
      </c>
      <c r="C14083" s="1" t="n">
        <v>45736</v>
      </c>
      <c r="D14083" t="inlineStr">
        <is>
          <t>VÄRMLANDS LÄN</t>
        </is>
      </c>
      <c r="E14083" t="inlineStr">
        <is>
          <t>SUNNE</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13562-2024</t>
        </is>
      </c>
      <c r="B14084" s="1" t="n">
        <v>45389</v>
      </c>
      <c r="C14084" s="1" t="n">
        <v>45736</v>
      </c>
      <c r="D14084" t="inlineStr">
        <is>
          <t>VÄRMLANDS LÄN</t>
        </is>
      </c>
      <c r="E14084" t="inlineStr">
        <is>
          <t>HAGFORS</t>
        </is>
      </c>
      <c r="F14084" t="inlineStr">
        <is>
          <t>Bergvik skog väst AB</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13570-2024</t>
        </is>
      </c>
      <c r="B14085" s="1" t="n">
        <v>45389</v>
      </c>
      <c r="C14085" s="1" t="n">
        <v>45736</v>
      </c>
      <c r="D14085" t="inlineStr">
        <is>
          <t>VÄRMLANDS LÄN</t>
        </is>
      </c>
      <c r="E14085" t="inlineStr">
        <is>
          <t>ÅRJÄNG</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13569-2024</t>
        </is>
      </c>
      <c r="B14086" s="1" t="n">
        <v>45389</v>
      </c>
      <c r="C14086" s="1" t="n">
        <v>45736</v>
      </c>
      <c r="D14086" t="inlineStr">
        <is>
          <t>VÄRMLANDS LÄN</t>
        </is>
      </c>
      <c r="E14086" t="inlineStr">
        <is>
          <t>ÅRJÄNG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13609-2024</t>
        </is>
      </c>
      <c r="B14087" s="1" t="n">
        <v>45390</v>
      </c>
      <c r="C14087" s="1" t="n">
        <v>45736</v>
      </c>
      <c r="D14087" t="inlineStr">
        <is>
          <t>VÄRMLANDS LÄN</t>
        </is>
      </c>
      <c r="E14087" t="inlineStr">
        <is>
          <t>FILIPSTAD</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13737-2024</t>
        </is>
      </c>
      <c r="B14088" s="1" t="n">
        <v>45390</v>
      </c>
      <c r="C14088" s="1" t="n">
        <v>45736</v>
      </c>
      <c r="D14088" t="inlineStr">
        <is>
          <t>VÄRMLANDS LÄN</t>
        </is>
      </c>
      <c r="E14088" t="inlineStr">
        <is>
          <t>ÅRJÄNG</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13624-2024</t>
        </is>
      </c>
      <c r="B14089" s="1" t="n">
        <v>45390</v>
      </c>
      <c r="C14089" s="1" t="n">
        <v>45736</v>
      </c>
      <c r="D14089" t="inlineStr">
        <is>
          <t>VÄRMLANDS LÄN</t>
        </is>
      </c>
      <c r="E14089" t="inlineStr">
        <is>
          <t>ÅRJÄNG</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13619-2024</t>
        </is>
      </c>
      <c r="B14090" s="1" t="n">
        <v>45390</v>
      </c>
      <c r="C14090" s="1" t="n">
        <v>45736</v>
      </c>
      <c r="D14090" t="inlineStr">
        <is>
          <t>VÄRMLANDS LÄN</t>
        </is>
      </c>
      <c r="E14090" t="inlineStr">
        <is>
          <t>TORSBY</t>
        </is>
      </c>
      <c r="F14090" t="inlineStr">
        <is>
          <t>Bergvik skog väst AB</t>
        </is>
      </c>
      <c r="G14090" t="n">
        <v>25.7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13636-2024</t>
        </is>
      </c>
      <c r="B14091" s="1" t="n">
        <v>45390</v>
      </c>
      <c r="C14091" s="1" t="n">
        <v>45736</v>
      </c>
      <c r="D14091" t="inlineStr">
        <is>
          <t>VÄRMLANDS LÄN</t>
        </is>
      </c>
      <c r="E14091" t="inlineStr">
        <is>
          <t>STORFORS</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13640-2024</t>
        </is>
      </c>
      <c r="B14092" s="1" t="n">
        <v>45390</v>
      </c>
      <c r="C14092" s="1" t="n">
        <v>45736</v>
      </c>
      <c r="D14092" t="inlineStr">
        <is>
          <t>VÄRMLANDS LÄN</t>
        </is>
      </c>
      <c r="E14092" t="inlineStr">
        <is>
          <t>EDA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13662-2024</t>
        </is>
      </c>
      <c r="B14093" s="1" t="n">
        <v>45390</v>
      </c>
      <c r="C14093" s="1" t="n">
        <v>45736</v>
      </c>
      <c r="D14093" t="inlineStr">
        <is>
          <t>VÄRMLANDS LÄN</t>
        </is>
      </c>
      <c r="E14093" t="inlineStr">
        <is>
          <t>FILIPSTAD</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13702-2024</t>
        </is>
      </c>
      <c r="B14094" s="1" t="n">
        <v>45390</v>
      </c>
      <c r="C14094" s="1" t="n">
        <v>45736</v>
      </c>
      <c r="D14094" t="inlineStr">
        <is>
          <t>VÄRMLANDS LÄN</t>
        </is>
      </c>
      <c r="E14094" t="inlineStr">
        <is>
          <t>GRUMS</t>
        </is>
      </c>
      <c r="F14094" t="inlineStr">
        <is>
          <t>BillerudKorsnäs AB</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13701-2024</t>
        </is>
      </c>
      <c r="B14095" s="1" t="n">
        <v>45390</v>
      </c>
      <c r="C14095" s="1" t="n">
        <v>45736</v>
      </c>
      <c r="D14095" t="inlineStr">
        <is>
          <t>VÄRMLANDS LÄN</t>
        </is>
      </c>
      <c r="E14095" t="inlineStr">
        <is>
          <t>GRUMS</t>
        </is>
      </c>
      <c r="F14095" t="inlineStr">
        <is>
          <t>BillerudKorsnäs AB</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13714-2024</t>
        </is>
      </c>
      <c r="B14096" s="1" t="n">
        <v>45390</v>
      </c>
      <c r="C14096" s="1" t="n">
        <v>45736</v>
      </c>
      <c r="D14096" t="inlineStr">
        <is>
          <t>VÄRMLANDS LÄN</t>
        </is>
      </c>
      <c r="E14096" t="inlineStr">
        <is>
          <t>SÄFFLE</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13726-2024</t>
        </is>
      </c>
      <c r="B14097" s="1" t="n">
        <v>45390</v>
      </c>
      <c r="C14097" s="1" t="n">
        <v>45736</v>
      </c>
      <c r="D14097" t="inlineStr">
        <is>
          <t>VÄRMLANDS LÄN</t>
        </is>
      </c>
      <c r="E14097" t="inlineStr">
        <is>
          <t>ÅRJÄNG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13735-2024</t>
        </is>
      </c>
      <c r="B14098" s="1" t="n">
        <v>45390</v>
      </c>
      <c r="C14098" s="1" t="n">
        <v>45736</v>
      </c>
      <c r="D14098" t="inlineStr">
        <is>
          <t>VÄRMLANDS LÄN</t>
        </is>
      </c>
      <c r="E14098" t="inlineStr">
        <is>
          <t>HAGFORS</t>
        </is>
      </c>
      <c r="G14098" t="n">
        <v>14.9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13736-2024</t>
        </is>
      </c>
      <c r="B14099" s="1" t="n">
        <v>45390</v>
      </c>
      <c r="C14099" s="1" t="n">
        <v>45736</v>
      </c>
      <c r="D14099" t="inlineStr">
        <is>
          <t>VÄRMLANDS LÄN</t>
        </is>
      </c>
      <c r="E14099" t="inlineStr">
        <is>
          <t>ÅRJÄNG</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13820-2024</t>
        </is>
      </c>
      <c r="B14100" s="1" t="n">
        <v>45390</v>
      </c>
      <c r="C14100" s="1" t="n">
        <v>45736</v>
      </c>
      <c r="D14100" t="inlineStr">
        <is>
          <t>VÄRMLANDS LÄN</t>
        </is>
      </c>
      <c r="E14100" t="inlineStr">
        <is>
          <t>GRUMS</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13848-2024</t>
        </is>
      </c>
      <c r="B14101" s="1" t="n">
        <v>45390</v>
      </c>
      <c r="C14101" s="1" t="n">
        <v>45736</v>
      </c>
      <c r="D14101" t="inlineStr">
        <is>
          <t>VÄRMLANDS LÄN</t>
        </is>
      </c>
      <c r="E14101" t="inlineStr">
        <is>
          <t>TORSBY</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13849-2024</t>
        </is>
      </c>
      <c r="B14102" s="1" t="n">
        <v>45390</v>
      </c>
      <c r="C14102" s="1" t="n">
        <v>45736</v>
      </c>
      <c r="D14102" t="inlineStr">
        <is>
          <t>VÄRMLANDS LÄN</t>
        </is>
      </c>
      <c r="E14102" t="inlineStr">
        <is>
          <t>KARLSTAD</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13622-2024</t>
        </is>
      </c>
      <c r="B14103" s="1" t="n">
        <v>45390</v>
      </c>
      <c r="C14103" s="1" t="n">
        <v>45736</v>
      </c>
      <c r="D14103" t="inlineStr">
        <is>
          <t>VÄRMLANDS LÄN</t>
        </is>
      </c>
      <c r="E14103" t="inlineStr">
        <is>
          <t>EDA</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13626-2024</t>
        </is>
      </c>
      <c r="B14104" s="1" t="n">
        <v>45390</v>
      </c>
      <c r="C14104" s="1" t="n">
        <v>45736</v>
      </c>
      <c r="D14104" t="inlineStr">
        <is>
          <t>VÄRMLANDS LÄN</t>
        </is>
      </c>
      <c r="E14104" t="inlineStr">
        <is>
          <t>GRUMS</t>
        </is>
      </c>
      <c r="G14104" t="n">
        <v>10.2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13635-2024</t>
        </is>
      </c>
      <c r="B14105" s="1" t="n">
        <v>45390</v>
      </c>
      <c r="C14105" s="1" t="n">
        <v>45736</v>
      </c>
      <c r="D14105" t="inlineStr">
        <is>
          <t>VÄRMLANDS LÄN</t>
        </is>
      </c>
      <c r="E14105" t="inlineStr">
        <is>
          <t>HAGFORS</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13704-2024</t>
        </is>
      </c>
      <c r="B14106" s="1" t="n">
        <v>45390</v>
      </c>
      <c r="C14106" s="1" t="n">
        <v>45736</v>
      </c>
      <c r="D14106" t="inlineStr">
        <is>
          <t>VÄRMLANDS LÄN</t>
        </is>
      </c>
      <c r="E14106" t="inlineStr">
        <is>
          <t>GRUMS</t>
        </is>
      </c>
      <c r="F14106" t="inlineStr">
        <is>
          <t>BillerudKorsnäs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13847-2024</t>
        </is>
      </c>
      <c r="B14107" s="1" t="n">
        <v>45390</v>
      </c>
      <c r="C14107" s="1" t="n">
        <v>45736</v>
      </c>
      <c r="D14107" t="inlineStr">
        <is>
          <t>VÄRMLANDS LÄN</t>
        </is>
      </c>
      <c r="E14107" t="inlineStr">
        <is>
          <t>TORSBY</t>
        </is>
      </c>
      <c r="G14107" t="n">
        <v>5.6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13853-2024</t>
        </is>
      </c>
      <c r="B14108" s="1" t="n">
        <v>45390</v>
      </c>
      <c r="C14108" s="1" t="n">
        <v>45736</v>
      </c>
      <c r="D14108" t="inlineStr">
        <is>
          <t>VÄRMLANDS LÄN</t>
        </is>
      </c>
      <c r="E14108" t="inlineStr">
        <is>
          <t>KARLSTAD</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13784-2024</t>
        </is>
      </c>
      <c r="B14109" s="1" t="n">
        <v>45391</v>
      </c>
      <c r="C14109" s="1" t="n">
        <v>45736</v>
      </c>
      <c r="D14109" t="inlineStr">
        <is>
          <t>VÄRMLANDS LÄN</t>
        </is>
      </c>
      <c r="E14109" t="inlineStr">
        <is>
          <t>ÅRJÄNG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13797-2024</t>
        </is>
      </c>
      <c r="B14110" s="1" t="n">
        <v>45391</v>
      </c>
      <c r="C14110" s="1" t="n">
        <v>45736</v>
      </c>
      <c r="D14110" t="inlineStr">
        <is>
          <t>VÄRMLANDS LÄN</t>
        </is>
      </c>
      <c r="E14110" t="inlineStr">
        <is>
          <t>TORSBY</t>
        </is>
      </c>
      <c r="F14110" t="inlineStr">
        <is>
          <t>Bergvik skog väst AB</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13807-2024</t>
        </is>
      </c>
      <c r="B14111" s="1" t="n">
        <v>45391</v>
      </c>
      <c r="C14111" s="1" t="n">
        <v>45736</v>
      </c>
      <c r="D14111" t="inlineStr">
        <is>
          <t>VÄRMLANDS LÄN</t>
        </is>
      </c>
      <c r="E14111" t="inlineStr">
        <is>
          <t>EDA</t>
        </is>
      </c>
      <c r="F14111" t="inlineStr">
        <is>
          <t>Bergvik skog väst AB</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13814-2024</t>
        </is>
      </c>
      <c r="B14112" s="1" t="n">
        <v>45391</v>
      </c>
      <c r="C14112" s="1" t="n">
        <v>45736</v>
      </c>
      <c r="D14112" t="inlineStr">
        <is>
          <t>VÄRMLANDS LÄN</t>
        </is>
      </c>
      <c r="E14112" t="inlineStr">
        <is>
          <t>ÅRJÄNG</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13787-2024</t>
        </is>
      </c>
      <c r="B14113" s="1" t="n">
        <v>45391</v>
      </c>
      <c r="C14113" s="1" t="n">
        <v>45736</v>
      </c>
      <c r="D14113" t="inlineStr">
        <is>
          <t>VÄRMLANDS LÄN</t>
        </is>
      </c>
      <c r="E14113" t="inlineStr">
        <is>
          <t>KARLSTAD</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13891-2024</t>
        </is>
      </c>
      <c r="B14114" s="1" t="n">
        <v>45391</v>
      </c>
      <c r="C14114" s="1" t="n">
        <v>45736</v>
      </c>
      <c r="D14114" t="inlineStr">
        <is>
          <t>VÄRMLANDS LÄN</t>
        </is>
      </c>
      <c r="E14114" t="inlineStr">
        <is>
          <t>SÄFFLE</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13895-2024</t>
        </is>
      </c>
      <c r="B14115" s="1" t="n">
        <v>45391</v>
      </c>
      <c r="C14115" s="1" t="n">
        <v>45736</v>
      </c>
      <c r="D14115" t="inlineStr">
        <is>
          <t>VÄRMLANDS LÄN</t>
        </is>
      </c>
      <c r="E14115" t="inlineStr">
        <is>
          <t>GRUMS</t>
        </is>
      </c>
      <c r="F14115" t="inlineStr">
        <is>
          <t>Bergvik skog väst AB</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13831-2024</t>
        </is>
      </c>
      <c r="B14116" s="1" t="n">
        <v>45391</v>
      </c>
      <c r="C14116" s="1" t="n">
        <v>45736</v>
      </c>
      <c r="D14116" t="inlineStr">
        <is>
          <t>VÄRMLANDS LÄN</t>
        </is>
      </c>
      <c r="E14116" t="inlineStr">
        <is>
          <t>ÅRJÄNG</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13819-2024</t>
        </is>
      </c>
      <c r="B14117" s="1" t="n">
        <v>45391</v>
      </c>
      <c r="C14117" s="1" t="n">
        <v>45736</v>
      </c>
      <c r="D14117" t="inlineStr">
        <is>
          <t>VÄRMLANDS LÄN</t>
        </is>
      </c>
      <c r="E14117" t="inlineStr">
        <is>
          <t>ÅRJÄNG</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13824-2024</t>
        </is>
      </c>
      <c r="B14118" s="1" t="n">
        <v>45391</v>
      </c>
      <c r="C14118" s="1" t="n">
        <v>45736</v>
      </c>
      <c r="D14118" t="inlineStr">
        <is>
          <t>VÄRMLANDS LÄN</t>
        </is>
      </c>
      <c r="E14118" t="inlineStr">
        <is>
          <t>ÅRJÄNG</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13874-2024</t>
        </is>
      </c>
      <c r="B14119" s="1" t="n">
        <v>45391</v>
      </c>
      <c r="C14119" s="1" t="n">
        <v>45736</v>
      </c>
      <c r="D14119" t="inlineStr">
        <is>
          <t>VÄRMLANDS LÄN</t>
        </is>
      </c>
      <c r="E14119" t="inlineStr">
        <is>
          <t>KRISTINEHAMN</t>
        </is>
      </c>
      <c r="F14119" t="inlineStr">
        <is>
          <t>Bergvik skog väst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13906-2024</t>
        </is>
      </c>
      <c r="B14120" s="1" t="n">
        <v>45391</v>
      </c>
      <c r="C14120" s="1" t="n">
        <v>45736</v>
      </c>
      <c r="D14120" t="inlineStr">
        <is>
          <t>VÄRMLANDS LÄN</t>
        </is>
      </c>
      <c r="E14120" t="inlineStr">
        <is>
          <t>STORFORS</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13918-2024</t>
        </is>
      </c>
      <c r="B14121" s="1" t="n">
        <v>45391</v>
      </c>
      <c r="C14121" s="1" t="n">
        <v>45736</v>
      </c>
      <c r="D14121" t="inlineStr">
        <is>
          <t>VÄRMLANDS LÄN</t>
        </is>
      </c>
      <c r="E14121" t="inlineStr">
        <is>
          <t>FILIPSTAD</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13922-2024</t>
        </is>
      </c>
      <c r="B14122" s="1" t="n">
        <v>45391</v>
      </c>
      <c r="C14122" s="1" t="n">
        <v>45736</v>
      </c>
      <c r="D14122" t="inlineStr">
        <is>
          <t>VÄRMLANDS LÄN</t>
        </is>
      </c>
      <c r="E14122" t="inlineStr">
        <is>
          <t>KRISTINEHAMN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13876-2024</t>
        </is>
      </c>
      <c r="B14123" s="1" t="n">
        <v>45391</v>
      </c>
      <c r="C14123" s="1" t="n">
        <v>45736</v>
      </c>
      <c r="D14123" t="inlineStr">
        <is>
          <t>VÄRMLANDS LÄN</t>
        </is>
      </c>
      <c r="E14123" t="inlineStr">
        <is>
          <t>KRISTINEHAMN</t>
        </is>
      </c>
      <c r="F14123" t="inlineStr">
        <is>
          <t>Bergvik skog väst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13967-2024</t>
        </is>
      </c>
      <c r="B14124" s="1" t="n">
        <v>45392</v>
      </c>
      <c r="C14124" s="1" t="n">
        <v>45736</v>
      </c>
      <c r="D14124" t="inlineStr">
        <is>
          <t>VÄRMLANDS LÄN</t>
        </is>
      </c>
      <c r="E14124" t="inlineStr">
        <is>
          <t>ÅRJÄNG</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13979-2024</t>
        </is>
      </c>
      <c r="B14125" s="1" t="n">
        <v>45392</v>
      </c>
      <c r="C14125" s="1" t="n">
        <v>45736</v>
      </c>
      <c r="D14125" t="inlineStr">
        <is>
          <t>VÄRMLANDS LÄN</t>
        </is>
      </c>
      <c r="E14125" t="inlineStr">
        <is>
          <t>ARVIKA</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14019-2024</t>
        </is>
      </c>
      <c r="B14126" s="1" t="n">
        <v>45392</v>
      </c>
      <c r="C14126" s="1" t="n">
        <v>45736</v>
      </c>
      <c r="D14126" t="inlineStr">
        <is>
          <t>VÄRMLANDS LÄN</t>
        </is>
      </c>
      <c r="E14126" t="inlineStr">
        <is>
          <t>ARVIKA</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14023-2024</t>
        </is>
      </c>
      <c r="B14127" s="1" t="n">
        <v>45392</v>
      </c>
      <c r="C14127" s="1" t="n">
        <v>45736</v>
      </c>
      <c r="D14127" t="inlineStr">
        <is>
          <t>VÄRMLANDS LÄN</t>
        </is>
      </c>
      <c r="E14127" t="inlineStr">
        <is>
          <t>TORSBY</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14035-2024</t>
        </is>
      </c>
      <c r="B14128" s="1" t="n">
        <v>45392</v>
      </c>
      <c r="C14128" s="1" t="n">
        <v>45736</v>
      </c>
      <c r="D14128" t="inlineStr">
        <is>
          <t>VÄRMLANDS LÄN</t>
        </is>
      </c>
      <c r="E14128" t="inlineStr">
        <is>
          <t>KRISTINEHAMN</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13965-2024</t>
        </is>
      </c>
      <c r="B14129" s="1" t="n">
        <v>45392</v>
      </c>
      <c r="C14129" s="1" t="n">
        <v>45736</v>
      </c>
      <c r="D14129" t="inlineStr">
        <is>
          <t>VÄRMLANDS LÄN</t>
        </is>
      </c>
      <c r="E14129" t="inlineStr">
        <is>
          <t>TORSBY</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13981-2024</t>
        </is>
      </c>
      <c r="B14130" s="1" t="n">
        <v>45392</v>
      </c>
      <c r="C14130" s="1" t="n">
        <v>45736</v>
      </c>
      <c r="D14130" t="inlineStr">
        <is>
          <t>VÄRMLANDS LÄN</t>
        </is>
      </c>
      <c r="E14130" t="inlineStr">
        <is>
          <t>ARVIKA</t>
        </is>
      </c>
      <c r="G14130" t="n">
        <v>6.7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14013-2024</t>
        </is>
      </c>
      <c r="B14131" s="1" t="n">
        <v>45392</v>
      </c>
      <c r="C14131" s="1" t="n">
        <v>45736</v>
      </c>
      <c r="D14131" t="inlineStr">
        <is>
          <t>VÄRMLANDS LÄN</t>
        </is>
      </c>
      <c r="E14131" t="inlineStr">
        <is>
          <t>ARVIKA</t>
        </is>
      </c>
      <c r="G14131" t="n">
        <v>6.2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14090-2024</t>
        </is>
      </c>
      <c r="B14132" s="1" t="n">
        <v>45392</v>
      </c>
      <c r="C14132" s="1" t="n">
        <v>45736</v>
      </c>
      <c r="D14132" t="inlineStr">
        <is>
          <t>VÄRMLANDS LÄN</t>
        </is>
      </c>
      <c r="E14132" t="inlineStr">
        <is>
          <t>EDA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13980-2024</t>
        </is>
      </c>
      <c r="B14133" s="1" t="n">
        <v>45392</v>
      </c>
      <c r="C14133" s="1" t="n">
        <v>45736</v>
      </c>
      <c r="D14133" t="inlineStr">
        <is>
          <t>VÄRMLANDS LÄN</t>
        </is>
      </c>
      <c r="E14133" t="inlineStr">
        <is>
          <t>ARVIKA</t>
        </is>
      </c>
      <c r="G14133" t="n">
        <v>18.1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14119-2024</t>
        </is>
      </c>
      <c r="B14134" s="1" t="n">
        <v>45392</v>
      </c>
      <c r="C14134" s="1" t="n">
        <v>45736</v>
      </c>
      <c r="D14134" t="inlineStr">
        <is>
          <t>VÄRMLANDS LÄN</t>
        </is>
      </c>
      <c r="E14134" t="inlineStr">
        <is>
          <t>SUNNE</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13992-2024</t>
        </is>
      </c>
      <c r="B14135" s="1" t="n">
        <v>45392</v>
      </c>
      <c r="C14135" s="1" t="n">
        <v>45736</v>
      </c>
      <c r="D14135" t="inlineStr">
        <is>
          <t>VÄRMLANDS LÄN</t>
        </is>
      </c>
      <c r="E14135" t="inlineStr">
        <is>
          <t>ARVIKA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14052-2024</t>
        </is>
      </c>
      <c r="B14136" s="1" t="n">
        <v>45392</v>
      </c>
      <c r="C14136" s="1" t="n">
        <v>45736</v>
      </c>
      <c r="D14136" t="inlineStr">
        <is>
          <t>VÄRMLANDS LÄN</t>
        </is>
      </c>
      <c r="E14136" t="inlineStr">
        <is>
          <t>TORSBY</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14118-2024</t>
        </is>
      </c>
      <c r="B14137" s="1" t="n">
        <v>45392</v>
      </c>
      <c r="C14137" s="1" t="n">
        <v>45736</v>
      </c>
      <c r="D14137" t="inlineStr">
        <is>
          <t>VÄRMLANDS LÄN</t>
        </is>
      </c>
      <c r="E14137" t="inlineStr">
        <is>
          <t>HAGFORS</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14143-2024</t>
        </is>
      </c>
      <c r="B14138" s="1" t="n">
        <v>45392</v>
      </c>
      <c r="C14138" s="1" t="n">
        <v>45736</v>
      </c>
      <c r="D14138" t="inlineStr">
        <is>
          <t>VÄRMLANDS LÄN</t>
        </is>
      </c>
      <c r="E14138" t="inlineStr">
        <is>
          <t>KIL</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13974-2024</t>
        </is>
      </c>
      <c r="B14139" s="1" t="n">
        <v>45392</v>
      </c>
      <c r="C14139" s="1" t="n">
        <v>45736</v>
      </c>
      <c r="D14139" t="inlineStr">
        <is>
          <t>VÄRMLANDS LÄN</t>
        </is>
      </c>
      <c r="E14139" t="inlineStr">
        <is>
          <t>SÄFFLE</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13982-2024</t>
        </is>
      </c>
      <c r="B14140" s="1" t="n">
        <v>45392</v>
      </c>
      <c r="C14140" s="1" t="n">
        <v>45736</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13998-2024</t>
        </is>
      </c>
      <c r="B14141" s="1" t="n">
        <v>45392</v>
      </c>
      <c r="C14141" s="1" t="n">
        <v>45736</v>
      </c>
      <c r="D14141" t="inlineStr">
        <is>
          <t>VÄRMLANDS LÄN</t>
        </is>
      </c>
      <c r="E14141" t="inlineStr">
        <is>
          <t>ÅRJÄNG</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14010-2024</t>
        </is>
      </c>
      <c r="B14142" s="1" t="n">
        <v>45392</v>
      </c>
      <c r="C14142" s="1" t="n">
        <v>45736</v>
      </c>
      <c r="D14142" t="inlineStr">
        <is>
          <t>VÄRMLANDS LÄN</t>
        </is>
      </c>
      <c r="E14142" t="inlineStr">
        <is>
          <t>SÄFFLE</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14014-2024</t>
        </is>
      </c>
      <c r="B14143" s="1" t="n">
        <v>45392</v>
      </c>
      <c r="C14143" s="1" t="n">
        <v>45736</v>
      </c>
      <c r="D14143" t="inlineStr">
        <is>
          <t>VÄRMLANDS LÄN</t>
        </is>
      </c>
      <c r="E14143" t="inlineStr">
        <is>
          <t>KRISTINEHAMN</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14063-2024</t>
        </is>
      </c>
      <c r="B14144" s="1" t="n">
        <v>45392</v>
      </c>
      <c r="C14144" s="1" t="n">
        <v>45736</v>
      </c>
      <c r="D14144" t="inlineStr">
        <is>
          <t>VÄRMLANDS LÄN</t>
        </is>
      </c>
      <c r="E14144" t="inlineStr">
        <is>
          <t>TORSBY</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14092-2024</t>
        </is>
      </c>
      <c r="B14145" s="1" t="n">
        <v>45392</v>
      </c>
      <c r="C14145" s="1" t="n">
        <v>45736</v>
      </c>
      <c r="D14145" t="inlineStr">
        <is>
          <t>VÄRMLANDS LÄN</t>
        </is>
      </c>
      <c r="E14145" t="inlineStr">
        <is>
          <t>SÄFFLE</t>
        </is>
      </c>
      <c r="G14145" t="n">
        <v>6.5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14191-2024</t>
        </is>
      </c>
      <c r="B14146" s="1" t="n">
        <v>45393</v>
      </c>
      <c r="C14146" s="1" t="n">
        <v>45736</v>
      </c>
      <c r="D14146" t="inlineStr">
        <is>
          <t>VÄRMLANDS LÄN</t>
        </is>
      </c>
      <c r="E14146" t="inlineStr">
        <is>
          <t>ARVIKA</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14219-2024</t>
        </is>
      </c>
      <c r="B14147" s="1" t="n">
        <v>45393</v>
      </c>
      <c r="C14147" s="1" t="n">
        <v>45736</v>
      </c>
      <c r="D14147" t="inlineStr">
        <is>
          <t>VÄRMLANDS LÄN</t>
        </is>
      </c>
      <c r="E14147" t="inlineStr">
        <is>
          <t>ARVIKA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14235-2024</t>
        </is>
      </c>
      <c r="B14148" s="1" t="n">
        <v>45393</v>
      </c>
      <c r="C14148" s="1" t="n">
        <v>45736</v>
      </c>
      <c r="D14148" t="inlineStr">
        <is>
          <t>VÄRMLANDS LÄN</t>
        </is>
      </c>
      <c r="E14148" t="inlineStr">
        <is>
          <t>KARLSTAD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14310-2024</t>
        </is>
      </c>
      <c r="B14149" s="1" t="n">
        <v>45393</v>
      </c>
      <c r="C14149" s="1" t="n">
        <v>45736</v>
      </c>
      <c r="D14149" t="inlineStr">
        <is>
          <t>VÄRMLANDS LÄN</t>
        </is>
      </c>
      <c r="E14149" t="inlineStr">
        <is>
          <t>SÄFFLE</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14268-2024</t>
        </is>
      </c>
      <c r="B14150" s="1" t="n">
        <v>45393</v>
      </c>
      <c r="C14150" s="1" t="n">
        <v>45736</v>
      </c>
      <c r="D14150" t="inlineStr">
        <is>
          <t>VÄRMLANDS LÄN</t>
        </is>
      </c>
      <c r="E14150" t="inlineStr">
        <is>
          <t>FILIPSTAD</t>
        </is>
      </c>
      <c r="F14150" t="inlineStr">
        <is>
          <t>Bergvik skog väst AB</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14272-2024</t>
        </is>
      </c>
      <c r="B14151" s="1" t="n">
        <v>45393</v>
      </c>
      <c r="C14151" s="1" t="n">
        <v>45736</v>
      </c>
      <c r="D14151" t="inlineStr">
        <is>
          <t>VÄRMLANDS LÄN</t>
        </is>
      </c>
      <c r="E14151" t="inlineStr">
        <is>
          <t>FILIPSTAD</t>
        </is>
      </c>
      <c r="F14151" t="inlineStr">
        <is>
          <t>Bergvik skog väst AB</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14304-2024</t>
        </is>
      </c>
      <c r="B14152" s="1" t="n">
        <v>45393</v>
      </c>
      <c r="C14152" s="1" t="n">
        <v>45736</v>
      </c>
      <c r="D14152" t="inlineStr">
        <is>
          <t>VÄRMLANDS LÄN</t>
        </is>
      </c>
      <c r="E14152" t="inlineStr">
        <is>
          <t>STORFORS</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14314-2024</t>
        </is>
      </c>
      <c r="B14153" s="1" t="n">
        <v>45393</v>
      </c>
      <c r="C14153" s="1" t="n">
        <v>45736</v>
      </c>
      <c r="D14153" t="inlineStr">
        <is>
          <t>VÄRMLANDS LÄN</t>
        </is>
      </c>
      <c r="E14153" t="inlineStr">
        <is>
          <t>SÄFFLE</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14324-2024</t>
        </is>
      </c>
      <c r="B14154" s="1" t="n">
        <v>45393</v>
      </c>
      <c r="C14154" s="1" t="n">
        <v>45736</v>
      </c>
      <c r="D14154" t="inlineStr">
        <is>
          <t>VÄRMLANDS LÄN</t>
        </is>
      </c>
      <c r="E14154" t="inlineStr">
        <is>
          <t>SÄFFLE</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14340-2024</t>
        </is>
      </c>
      <c r="B14155" s="1" t="n">
        <v>45393</v>
      </c>
      <c r="C14155" s="1" t="n">
        <v>45736</v>
      </c>
      <c r="D14155" t="inlineStr">
        <is>
          <t>VÄRMLANDS LÄN</t>
        </is>
      </c>
      <c r="E14155" t="inlineStr">
        <is>
          <t>KRISTINEHAMN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14364-2024</t>
        </is>
      </c>
      <c r="B14156" s="1" t="n">
        <v>45394</v>
      </c>
      <c r="C14156" s="1" t="n">
        <v>45736</v>
      </c>
      <c r="D14156" t="inlineStr">
        <is>
          <t>VÄRMLANDS LÄN</t>
        </is>
      </c>
      <c r="E14156" t="inlineStr">
        <is>
          <t>HAGFORS</t>
        </is>
      </c>
      <c r="F14156" t="inlineStr">
        <is>
          <t>Bergvik skog väst AB</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14377-2024</t>
        </is>
      </c>
      <c r="B14157" s="1" t="n">
        <v>45394</v>
      </c>
      <c r="C14157" s="1" t="n">
        <v>45736</v>
      </c>
      <c r="D14157" t="inlineStr">
        <is>
          <t>VÄRMLANDS LÄN</t>
        </is>
      </c>
      <c r="E14157" t="inlineStr">
        <is>
          <t>HAGFORS</t>
        </is>
      </c>
      <c r="F14157" t="inlineStr">
        <is>
          <t>Bergvik skog väst AB</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14378-2024</t>
        </is>
      </c>
      <c r="B14158" s="1" t="n">
        <v>45394</v>
      </c>
      <c r="C14158" s="1" t="n">
        <v>45736</v>
      </c>
      <c r="D14158" t="inlineStr">
        <is>
          <t>VÄRMLANDS LÄN</t>
        </is>
      </c>
      <c r="E14158" t="inlineStr">
        <is>
          <t>HAGFORS</t>
        </is>
      </c>
      <c r="F14158" t="inlineStr">
        <is>
          <t>Bergvik skog väst AB</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14376-2024</t>
        </is>
      </c>
      <c r="B14159" s="1" t="n">
        <v>45394</v>
      </c>
      <c r="C14159" s="1" t="n">
        <v>45736</v>
      </c>
      <c r="D14159" t="inlineStr">
        <is>
          <t>VÄRMLANDS LÄN</t>
        </is>
      </c>
      <c r="E14159" t="inlineStr">
        <is>
          <t>HAGFORS</t>
        </is>
      </c>
      <c r="F14159" t="inlineStr">
        <is>
          <t>Bergvik skog väst AB</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14229-2024</t>
        </is>
      </c>
      <c r="B14160" s="1" t="n">
        <v>45393</v>
      </c>
      <c r="C14160" s="1" t="n">
        <v>45736</v>
      </c>
      <c r="D14160" t="inlineStr">
        <is>
          <t>VÄRMLANDS LÄN</t>
        </is>
      </c>
      <c r="E14160" t="inlineStr">
        <is>
          <t>HAGFORS</t>
        </is>
      </c>
      <c r="F14160" t="inlineStr">
        <is>
          <t>Bergvik skog väst AB</t>
        </is>
      </c>
      <c r="G14160" t="n">
        <v>8.699999999999999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14275-2024</t>
        </is>
      </c>
      <c r="B14161" s="1" t="n">
        <v>45393</v>
      </c>
      <c r="C14161" s="1" t="n">
        <v>45736</v>
      </c>
      <c r="D14161" t="inlineStr">
        <is>
          <t>VÄRMLANDS LÄN</t>
        </is>
      </c>
      <c r="E14161" t="inlineStr">
        <is>
          <t>FILIPSTAD</t>
        </is>
      </c>
      <c r="F14161" t="inlineStr">
        <is>
          <t>Bergvik skog väst AB</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14283-2024</t>
        </is>
      </c>
      <c r="B14162" s="1" t="n">
        <v>45393</v>
      </c>
      <c r="C14162" s="1" t="n">
        <v>45736</v>
      </c>
      <c r="D14162" t="inlineStr">
        <is>
          <t>VÄRMLANDS LÄN</t>
        </is>
      </c>
      <c r="E14162" t="inlineStr">
        <is>
          <t>TORSBY</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14319-2024</t>
        </is>
      </c>
      <c r="B14163" s="1" t="n">
        <v>45393</v>
      </c>
      <c r="C14163" s="1" t="n">
        <v>45736</v>
      </c>
      <c r="D14163" t="inlineStr">
        <is>
          <t>VÄRMLANDS LÄN</t>
        </is>
      </c>
      <c r="E14163" t="inlineStr">
        <is>
          <t>SÄFFLE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14379-2024</t>
        </is>
      </c>
      <c r="B14164" s="1" t="n">
        <v>45394</v>
      </c>
      <c r="C14164" s="1" t="n">
        <v>45736</v>
      </c>
      <c r="D14164" t="inlineStr">
        <is>
          <t>VÄRMLANDS LÄN</t>
        </is>
      </c>
      <c r="E14164" t="inlineStr">
        <is>
          <t>HAGFORS</t>
        </is>
      </c>
      <c r="F14164" t="inlineStr">
        <is>
          <t>Bergvik skog väst AB</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14436-2024</t>
        </is>
      </c>
      <c r="B14165" s="1" t="n">
        <v>45394</v>
      </c>
      <c r="C14165" s="1" t="n">
        <v>45736</v>
      </c>
      <c r="D14165" t="inlineStr">
        <is>
          <t>VÄRMLANDS LÄN</t>
        </is>
      </c>
      <c r="E14165" t="inlineStr">
        <is>
          <t>SÄFFLE</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14382-2024</t>
        </is>
      </c>
      <c r="B14166" s="1" t="n">
        <v>45394</v>
      </c>
      <c r="C14166" s="1" t="n">
        <v>45736</v>
      </c>
      <c r="D14166" t="inlineStr">
        <is>
          <t>VÄRMLANDS LÄN</t>
        </is>
      </c>
      <c r="E14166" t="inlineStr">
        <is>
          <t>ÅRJÄNG</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14440-2024</t>
        </is>
      </c>
      <c r="B14167" s="1" t="n">
        <v>45394</v>
      </c>
      <c r="C14167" s="1" t="n">
        <v>45736</v>
      </c>
      <c r="D14167" t="inlineStr">
        <is>
          <t>VÄRMLANDS LÄN</t>
        </is>
      </c>
      <c r="E14167" t="inlineStr">
        <is>
          <t>TORSBY</t>
        </is>
      </c>
      <c r="F14167" t="inlineStr">
        <is>
          <t>Bergvik skog väst AB</t>
        </is>
      </c>
      <c r="G14167" t="n">
        <v>12.2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14413-2024</t>
        </is>
      </c>
      <c r="B14168" s="1" t="n">
        <v>45394</v>
      </c>
      <c r="C14168" s="1" t="n">
        <v>45736</v>
      </c>
      <c r="D14168" t="inlineStr">
        <is>
          <t>VÄRMLANDS LÄN</t>
        </is>
      </c>
      <c r="E14168" t="inlineStr">
        <is>
          <t>EDA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14393-2024</t>
        </is>
      </c>
      <c r="B14169" s="1" t="n">
        <v>45394</v>
      </c>
      <c r="C14169" s="1" t="n">
        <v>45736</v>
      </c>
      <c r="D14169" t="inlineStr">
        <is>
          <t>VÄRMLANDS LÄN</t>
        </is>
      </c>
      <c r="E14169" t="inlineStr">
        <is>
          <t>TORSBY</t>
        </is>
      </c>
      <c r="F14169" t="inlineStr">
        <is>
          <t>Bergvik skog väst AB</t>
        </is>
      </c>
      <c r="G14169" t="n">
        <v>8.699999999999999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14453-2024</t>
        </is>
      </c>
      <c r="B14170" s="1" t="n">
        <v>45394</v>
      </c>
      <c r="C14170" s="1" t="n">
        <v>45736</v>
      </c>
      <c r="D14170" t="inlineStr">
        <is>
          <t>VÄRMLANDS LÄN</t>
        </is>
      </c>
      <c r="E14170" t="inlineStr">
        <is>
          <t>TORSBY</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14605-2024</t>
        </is>
      </c>
      <c r="B14171" s="1" t="n">
        <v>45396</v>
      </c>
      <c r="C14171" s="1" t="n">
        <v>45736</v>
      </c>
      <c r="D14171" t="inlineStr">
        <is>
          <t>VÄRMLANDS LÄN</t>
        </is>
      </c>
      <c r="E14171" t="inlineStr">
        <is>
          <t>STORFORS</t>
        </is>
      </c>
      <c r="F14171" t="inlineStr">
        <is>
          <t>Bergvik skog väst AB</t>
        </is>
      </c>
      <c r="G14171" t="n">
        <v>7.3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14660-2024</t>
        </is>
      </c>
      <c r="B14172" s="1" t="n">
        <v>45396</v>
      </c>
      <c r="C14172" s="1" t="n">
        <v>45736</v>
      </c>
      <c r="D14172" t="inlineStr">
        <is>
          <t>VÄRMLANDS LÄN</t>
        </is>
      </c>
      <c r="E14172" t="inlineStr">
        <is>
          <t>KIL</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14604-2024</t>
        </is>
      </c>
      <c r="B14173" s="1" t="n">
        <v>45396</v>
      </c>
      <c r="C14173" s="1" t="n">
        <v>45736</v>
      </c>
      <c r="D14173" t="inlineStr">
        <is>
          <t>VÄRMLANDS LÄN</t>
        </is>
      </c>
      <c r="E14173" t="inlineStr">
        <is>
          <t>SUNNE</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14603-2024</t>
        </is>
      </c>
      <c r="B14174" s="1" t="n">
        <v>45396</v>
      </c>
      <c r="C14174" s="1" t="n">
        <v>45736</v>
      </c>
      <c r="D14174" t="inlineStr">
        <is>
          <t>VÄRMLANDS LÄN</t>
        </is>
      </c>
      <c r="E14174" t="inlineStr">
        <is>
          <t>SUNNE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14649-2024</t>
        </is>
      </c>
      <c r="B14175" s="1" t="n">
        <v>45397</v>
      </c>
      <c r="C14175" s="1" t="n">
        <v>45736</v>
      </c>
      <c r="D14175" t="inlineStr">
        <is>
          <t>VÄRMLANDS LÄN</t>
        </is>
      </c>
      <c r="E14175" t="inlineStr">
        <is>
          <t>SÄFFLE</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14675-2024</t>
        </is>
      </c>
      <c r="B14176" s="1" t="n">
        <v>45397</v>
      </c>
      <c r="C14176" s="1" t="n">
        <v>45736</v>
      </c>
      <c r="D14176" t="inlineStr">
        <is>
          <t>VÄRMLANDS LÄN</t>
        </is>
      </c>
      <c r="E14176" t="inlineStr">
        <is>
          <t>KIL</t>
        </is>
      </c>
      <c r="G14176" t="n">
        <v>8.199999999999999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14694-2024</t>
        </is>
      </c>
      <c r="B14177" s="1" t="n">
        <v>45397</v>
      </c>
      <c r="C14177" s="1" t="n">
        <v>45736</v>
      </c>
      <c r="D14177" t="inlineStr">
        <is>
          <t>VÄRMLANDS LÄN</t>
        </is>
      </c>
      <c r="E14177" t="inlineStr">
        <is>
          <t>ÅRJÄNG</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14744-2024</t>
        </is>
      </c>
      <c r="B14178" s="1" t="n">
        <v>45397</v>
      </c>
      <c r="C14178" s="1" t="n">
        <v>45736</v>
      </c>
      <c r="D14178" t="inlineStr">
        <is>
          <t>VÄRMLANDS LÄN</t>
        </is>
      </c>
      <c r="E14178" t="inlineStr">
        <is>
          <t>SÄFFLE</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14623-2024</t>
        </is>
      </c>
      <c r="B14179" s="1" t="n">
        <v>45397</v>
      </c>
      <c r="C14179" s="1" t="n">
        <v>45736</v>
      </c>
      <c r="D14179" t="inlineStr">
        <is>
          <t>VÄRMLANDS LÄN</t>
        </is>
      </c>
      <c r="E14179" t="inlineStr">
        <is>
          <t>MUNKFORS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14713-2024</t>
        </is>
      </c>
      <c r="B14180" s="1" t="n">
        <v>45397</v>
      </c>
      <c r="C14180" s="1" t="n">
        <v>45736</v>
      </c>
      <c r="D14180" t="inlineStr">
        <is>
          <t>VÄRMLANDS LÄN</t>
        </is>
      </c>
      <c r="E14180" t="inlineStr">
        <is>
          <t>HAGFORS</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14730-2024</t>
        </is>
      </c>
      <c r="B14181" s="1" t="n">
        <v>45397</v>
      </c>
      <c r="C14181" s="1" t="n">
        <v>45736</v>
      </c>
      <c r="D14181" t="inlineStr">
        <is>
          <t>VÄRMLANDS LÄN</t>
        </is>
      </c>
      <c r="E14181" t="inlineStr">
        <is>
          <t>TORSBY</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14763-2024</t>
        </is>
      </c>
      <c r="B14182" s="1" t="n">
        <v>45397</v>
      </c>
      <c r="C14182" s="1" t="n">
        <v>45736</v>
      </c>
      <c r="D14182" t="inlineStr">
        <is>
          <t>VÄRMLANDS LÄN</t>
        </is>
      </c>
      <c r="E14182" t="inlineStr">
        <is>
          <t>TORSBY</t>
        </is>
      </c>
      <c r="F14182" t="inlineStr">
        <is>
          <t>Bergvik skog väst AB</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14795-2024</t>
        </is>
      </c>
      <c r="B14183" s="1" t="n">
        <v>45397</v>
      </c>
      <c r="C14183" s="1" t="n">
        <v>45736</v>
      </c>
      <c r="D14183" t="inlineStr">
        <is>
          <t>VÄRMLANDS LÄN</t>
        </is>
      </c>
      <c r="E14183" t="inlineStr">
        <is>
          <t>EDA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14647-2024</t>
        </is>
      </c>
      <c r="B14184" s="1" t="n">
        <v>45397</v>
      </c>
      <c r="C14184" s="1" t="n">
        <v>45736</v>
      </c>
      <c r="D14184" t="inlineStr">
        <is>
          <t>VÄRMLANDS LÄN</t>
        </is>
      </c>
      <c r="E14184" t="inlineStr">
        <is>
          <t>GRUMS</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14651-2024</t>
        </is>
      </c>
      <c r="B14185" s="1" t="n">
        <v>45397</v>
      </c>
      <c r="C14185" s="1" t="n">
        <v>45736</v>
      </c>
      <c r="D14185" t="inlineStr">
        <is>
          <t>VÄRMLANDS LÄN</t>
        </is>
      </c>
      <c r="E14185" t="inlineStr">
        <is>
          <t>KIL</t>
        </is>
      </c>
      <c r="G14185" t="n">
        <v>3.9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14656-2024</t>
        </is>
      </c>
      <c r="B14186" s="1" t="n">
        <v>45397</v>
      </c>
      <c r="C14186" s="1" t="n">
        <v>45736</v>
      </c>
      <c r="D14186" t="inlineStr">
        <is>
          <t>VÄRMLANDS LÄN</t>
        </is>
      </c>
      <c r="E14186" t="inlineStr">
        <is>
          <t>FILIPSTAD</t>
        </is>
      </c>
      <c r="F14186" t="inlineStr">
        <is>
          <t>Bergvik skog väst AB</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14742-2024</t>
        </is>
      </c>
      <c r="B14187" s="1" t="n">
        <v>45397</v>
      </c>
      <c r="C14187" s="1" t="n">
        <v>45736</v>
      </c>
      <c r="D14187" t="inlineStr">
        <is>
          <t>VÄRMLANDS LÄN</t>
        </is>
      </c>
      <c r="E14187" t="inlineStr">
        <is>
          <t>SÄFFLE</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14774-2024</t>
        </is>
      </c>
      <c r="B14188" s="1" t="n">
        <v>45397</v>
      </c>
      <c r="C14188" s="1" t="n">
        <v>45736</v>
      </c>
      <c r="D14188" t="inlineStr">
        <is>
          <t>VÄRMLANDS LÄN</t>
        </is>
      </c>
      <c r="E14188" t="inlineStr">
        <is>
          <t>ARVIKA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14794-2024</t>
        </is>
      </c>
      <c r="B14189" s="1" t="n">
        <v>45397</v>
      </c>
      <c r="C14189" s="1" t="n">
        <v>45736</v>
      </c>
      <c r="D14189" t="inlineStr">
        <is>
          <t>VÄRMLANDS LÄN</t>
        </is>
      </c>
      <c r="E14189" t="inlineStr">
        <is>
          <t>EDA</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14768-2024</t>
        </is>
      </c>
      <c r="B14190" s="1" t="n">
        <v>45397</v>
      </c>
      <c r="C14190" s="1" t="n">
        <v>45736</v>
      </c>
      <c r="D14190" t="inlineStr">
        <is>
          <t>VÄRMLANDS LÄN</t>
        </is>
      </c>
      <c r="E14190" t="inlineStr">
        <is>
          <t>ÅRJÄNG</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14780-2024</t>
        </is>
      </c>
      <c r="B14191" s="1" t="n">
        <v>45397</v>
      </c>
      <c r="C14191" s="1" t="n">
        <v>45736</v>
      </c>
      <c r="D14191" t="inlineStr">
        <is>
          <t>VÄRMLANDS LÄN</t>
        </is>
      </c>
      <c r="E14191" t="inlineStr">
        <is>
          <t>ARVIKA</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14796-2024</t>
        </is>
      </c>
      <c r="B14192" s="1" t="n">
        <v>45397</v>
      </c>
      <c r="C14192" s="1" t="n">
        <v>45736</v>
      </c>
      <c r="D14192" t="inlineStr">
        <is>
          <t>VÄRMLANDS LÄN</t>
        </is>
      </c>
      <c r="E14192" t="inlineStr">
        <is>
          <t>EDA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14741-2024</t>
        </is>
      </c>
      <c r="B14193" s="1" t="n">
        <v>45397</v>
      </c>
      <c r="C14193" s="1" t="n">
        <v>45736</v>
      </c>
      <c r="D14193" t="inlineStr">
        <is>
          <t>VÄRMLANDS LÄN</t>
        </is>
      </c>
      <c r="E14193" t="inlineStr">
        <is>
          <t>SUNNE</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14781-2024</t>
        </is>
      </c>
      <c r="B14194" s="1" t="n">
        <v>45397</v>
      </c>
      <c r="C14194" s="1" t="n">
        <v>45736</v>
      </c>
      <c r="D14194" t="inlineStr">
        <is>
          <t>VÄRMLANDS LÄN</t>
        </is>
      </c>
      <c r="E14194" t="inlineStr">
        <is>
          <t>ARVIKA</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14793-2024</t>
        </is>
      </c>
      <c r="B14195" s="1" t="n">
        <v>45397</v>
      </c>
      <c r="C14195" s="1" t="n">
        <v>45736</v>
      </c>
      <c r="D14195" t="inlineStr">
        <is>
          <t>VÄRMLANDS LÄN</t>
        </is>
      </c>
      <c r="E14195" t="inlineStr">
        <is>
          <t>EDA</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14872-2024</t>
        </is>
      </c>
      <c r="B14196" s="1" t="n">
        <v>45398</v>
      </c>
      <c r="C14196" s="1" t="n">
        <v>45736</v>
      </c>
      <c r="D14196" t="inlineStr">
        <is>
          <t>VÄRMLANDS LÄN</t>
        </is>
      </c>
      <c r="E14196" t="inlineStr">
        <is>
          <t>TORSBY</t>
        </is>
      </c>
      <c r="G14196" t="n">
        <v>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14893-2024</t>
        </is>
      </c>
      <c r="B14197" s="1" t="n">
        <v>45398</v>
      </c>
      <c r="C14197" s="1" t="n">
        <v>45736</v>
      </c>
      <c r="D14197" t="inlineStr">
        <is>
          <t>VÄRMLANDS LÄN</t>
        </is>
      </c>
      <c r="E14197" t="inlineStr">
        <is>
          <t>SÄFFLE</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14897-2024</t>
        </is>
      </c>
      <c r="B14198" s="1" t="n">
        <v>45398</v>
      </c>
      <c r="C14198" s="1" t="n">
        <v>45736</v>
      </c>
      <c r="D14198" t="inlineStr">
        <is>
          <t>VÄRMLANDS LÄN</t>
        </is>
      </c>
      <c r="E14198" t="inlineStr">
        <is>
          <t>HAGFORS</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14917-2024</t>
        </is>
      </c>
      <c r="B14199" s="1" t="n">
        <v>45398</v>
      </c>
      <c r="C14199" s="1" t="n">
        <v>45736</v>
      </c>
      <c r="D14199" t="inlineStr">
        <is>
          <t>VÄRMLANDS LÄN</t>
        </is>
      </c>
      <c r="E14199" t="inlineStr">
        <is>
          <t>ÅRJÄNG</t>
        </is>
      </c>
      <c r="G14199" t="n">
        <v>19.9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14950-2024</t>
        </is>
      </c>
      <c r="B14200" s="1" t="n">
        <v>45398</v>
      </c>
      <c r="C14200" s="1" t="n">
        <v>45736</v>
      </c>
      <c r="D14200" t="inlineStr">
        <is>
          <t>VÄRMLANDS LÄN</t>
        </is>
      </c>
      <c r="E14200" t="inlineStr">
        <is>
          <t>SUNNE</t>
        </is>
      </c>
      <c r="G14200" t="n">
        <v>4.5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14954-2024</t>
        </is>
      </c>
      <c r="B14201" s="1" t="n">
        <v>45398</v>
      </c>
      <c r="C14201" s="1" t="n">
        <v>45736</v>
      </c>
      <c r="D14201" t="inlineStr">
        <is>
          <t>VÄRMLANDS LÄN</t>
        </is>
      </c>
      <c r="E14201" t="inlineStr">
        <is>
          <t>KIL</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14828-2024</t>
        </is>
      </c>
      <c r="B14202" s="1" t="n">
        <v>45398</v>
      </c>
      <c r="C14202" s="1" t="n">
        <v>45736</v>
      </c>
      <c r="D14202" t="inlineStr">
        <is>
          <t>VÄRMLANDS LÄN</t>
        </is>
      </c>
      <c r="E14202" t="inlineStr">
        <is>
          <t>SÄFFLE</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14838-2024</t>
        </is>
      </c>
      <c r="B14203" s="1" t="n">
        <v>45398</v>
      </c>
      <c r="C14203" s="1" t="n">
        <v>45736</v>
      </c>
      <c r="D14203" t="inlineStr">
        <is>
          <t>VÄRMLANDS LÄN</t>
        </is>
      </c>
      <c r="E14203" t="inlineStr">
        <is>
          <t>FILIPSTAD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14831-2024</t>
        </is>
      </c>
      <c r="B14204" s="1" t="n">
        <v>45398</v>
      </c>
      <c r="C14204" s="1" t="n">
        <v>45736</v>
      </c>
      <c r="D14204" t="inlineStr">
        <is>
          <t>VÄRMLANDS LÄN</t>
        </is>
      </c>
      <c r="E14204" t="inlineStr">
        <is>
          <t>TORSBY</t>
        </is>
      </c>
      <c r="F14204" t="inlineStr">
        <is>
          <t>Bergvik skog väst AB</t>
        </is>
      </c>
      <c r="G14204" t="n">
        <v>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14857-2024</t>
        </is>
      </c>
      <c r="B14205" s="1" t="n">
        <v>45398</v>
      </c>
      <c r="C14205" s="1" t="n">
        <v>45736</v>
      </c>
      <c r="D14205" t="inlineStr">
        <is>
          <t>VÄRMLANDS LÄN</t>
        </is>
      </c>
      <c r="E14205" t="inlineStr">
        <is>
          <t>FILIPSTAD</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14871-2024</t>
        </is>
      </c>
      <c r="B14206" s="1" t="n">
        <v>45398</v>
      </c>
      <c r="C14206" s="1" t="n">
        <v>45736</v>
      </c>
      <c r="D14206" t="inlineStr">
        <is>
          <t>VÄRMLANDS LÄN</t>
        </is>
      </c>
      <c r="E14206" t="inlineStr">
        <is>
          <t>SUNNE</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14949-2024</t>
        </is>
      </c>
      <c r="B14207" s="1" t="n">
        <v>45398</v>
      </c>
      <c r="C14207" s="1" t="n">
        <v>45736</v>
      </c>
      <c r="D14207" t="inlineStr">
        <is>
          <t>VÄRMLANDS LÄN</t>
        </is>
      </c>
      <c r="E14207" t="inlineStr">
        <is>
          <t>TORSBY</t>
        </is>
      </c>
      <c r="G14207" t="n">
        <v>8.5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14882-2024</t>
        </is>
      </c>
      <c r="B14208" s="1" t="n">
        <v>45398</v>
      </c>
      <c r="C14208" s="1" t="n">
        <v>45736</v>
      </c>
      <c r="D14208" t="inlineStr">
        <is>
          <t>VÄRMLANDS LÄN</t>
        </is>
      </c>
      <c r="E14208" t="inlineStr">
        <is>
          <t>TORSBY</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14822-2024</t>
        </is>
      </c>
      <c r="B14209" s="1" t="n">
        <v>45398</v>
      </c>
      <c r="C14209" s="1" t="n">
        <v>45736</v>
      </c>
      <c r="D14209" t="inlineStr">
        <is>
          <t>VÄRMLANDS LÄN</t>
        </is>
      </c>
      <c r="E14209" t="inlineStr">
        <is>
          <t>SÄFFLE</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14860-2024</t>
        </is>
      </c>
      <c r="B14210" s="1" t="n">
        <v>45398</v>
      </c>
      <c r="C14210" s="1" t="n">
        <v>45736</v>
      </c>
      <c r="D14210" t="inlineStr">
        <is>
          <t>VÄRMLANDS LÄN</t>
        </is>
      </c>
      <c r="E14210" t="inlineStr">
        <is>
          <t>TORSBY</t>
        </is>
      </c>
      <c r="F14210" t="inlineStr">
        <is>
          <t>Kyrkan</t>
        </is>
      </c>
      <c r="G14210" t="n">
        <v>12.2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15083-2024</t>
        </is>
      </c>
      <c r="B14211" s="1" t="n">
        <v>45399</v>
      </c>
      <c r="C14211" s="1" t="n">
        <v>45736</v>
      </c>
      <c r="D14211" t="inlineStr">
        <is>
          <t>VÄRMLANDS LÄN</t>
        </is>
      </c>
      <c r="E14211" t="inlineStr">
        <is>
          <t>TORSBY</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15087-2024</t>
        </is>
      </c>
      <c r="B14212" s="1" t="n">
        <v>45399</v>
      </c>
      <c r="C14212" s="1" t="n">
        <v>45736</v>
      </c>
      <c r="D14212" t="inlineStr">
        <is>
          <t>VÄRMLANDS LÄN</t>
        </is>
      </c>
      <c r="E14212" t="inlineStr">
        <is>
          <t>FORSHAGA</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15096-2024</t>
        </is>
      </c>
      <c r="B14213" s="1" t="n">
        <v>45399</v>
      </c>
      <c r="C14213" s="1" t="n">
        <v>45736</v>
      </c>
      <c r="D14213" t="inlineStr">
        <is>
          <t>VÄRMLANDS LÄN</t>
        </is>
      </c>
      <c r="E14213" t="inlineStr">
        <is>
          <t>HAGFORS</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15052-2024</t>
        </is>
      </c>
      <c r="B14214" s="1" t="n">
        <v>45399</v>
      </c>
      <c r="C14214" s="1" t="n">
        <v>45736</v>
      </c>
      <c r="D14214" t="inlineStr">
        <is>
          <t>VÄRMLANDS LÄN</t>
        </is>
      </c>
      <c r="E14214" t="inlineStr">
        <is>
          <t>TORSBY</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15064-2024</t>
        </is>
      </c>
      <c r="B14215" s="1" t="n">
        <v>45399</v>
      </c>
      <c r="C14215" s="1" t="n">
        <v>45736</v>
      </c>
      <c r="D14215" t="inlineStr">
        <is>
          <t>VÄRMLANDS LÄN</t>
        </is>
      </c>
      <c r="E14215" t="inlineStr">
        <is>
          <t>TORSBY</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15092-2024</t>
        </is>
      </c>
      <c r="B14216" s="1" t="n">
        <v>45399</v>
      </c>
      <c r="C14216" s="1" t="n">
        <v>45736</v>
      </c>
      <c r="D14216" t="inlineStr">
        <is>
          <t>VÄRMLANDS LÄN</t>
        </is>
      </c>
      <c r="E14216" t="inlineStr">
        <is>
          <t>SÄFFLE</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15101-2024</t>
        </is>
      </c>
      <c r="B14217" s="1" t="n">
        <v>45399</v>
      </c>
      <c r="C14217" s="1" t="n">
        <v>45736</v>
      </c>
      <c r="D14217" t="inlineStr">
        <is>
          <t>VÄRMLANDS LÄN</t>
        </is>
      </c>
      <c r="E14217" t="inlineStr">
        <is>
          <t>TORSBY</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14987-2024</t>
        </is>
      </c>
      <c r="B14218" s="1" t="n">
        <v>45399</v>
      </c>
      <c r="C14218" s="1" t="n">
        <v>45736</v>
      </c>
      <c r="D14218" t="inlineStr">
        <is>
          <t>VÄRMLANDS LÄN</t>
        </is>
      </c>
      <c r="E14218" t="inlineStr">
        <is>
          <t>KIL</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15031-2024</t>
        </is>
      </c>
      <c r="B14219" s="1" t="n">
        <v>45399</v>
      </c>
      <c r="C14219" s="1" t="n">
        <v>45736</v>
      </c>
      <c r="D14219" t="inlineStr">
        <is>
          <t>VÄRMLANDS LÄN</t>
        </is>
      </c>
      <c r="E14219" t="inlineStr">
        <is>
          <t>KRISTINEHAMN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15061-2024</t>
        </is>
      </c>
      <c r="B14220" s="1" t="n">
        <v>45399</v>
      </c>
      <c r="C14220" s="1" t="n">
        <v>45736</v>
      </c>
      <c r="D14220" t="inlineStr">
        <is>
          <t>VÄRMLANDS LÄN</t>
        </is>
      </c>
      <c r="E14220" t="inlineStr">
        <is>
          <t>TORSBY</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15081-2024</t>
        </is>
      </c>
      <c r="B14221" s="1" t="n">
        <v>45399</v>
      </c>
      <c r="C14221" s="1" t="n">
        <v>45736</v>
      </c>
      <c r="D14221" t="inlineStr">
        <is>
          <t>VÄRMLANDS LÄN</t>
        </is>
      </c>
      <c r="E14221" t="inlineStr">
        <is>
          <t>STORFORS</t>
        </is>
      </c>
      <c r="F14221" t="inlineStr">
        <is>
          <t>Kyrkan</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15089-2024</t>
        </is>
      </c>
      <c r="B14222" s="1" t="n">
        <v>45399</v>
      </c>
      <c r="C14222" s="1" t="n">
        <v>45736</v>
      </c>
      <c r="D14222" t="inlineStr">
        <is>
          <t>VÄRMLANDS LÄN</t>
        </is>
      </c>
      <c r="E14222" t="inlineStr">
        <is>
          <t>SÄFFLE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14984-2024</t>
        </is>
      </c>
      <c r="B14223" s="1" t="n">
        <v>45399</v>
      </c>
      <c r="C14223" s="1" t="n">
        <v>45736</v>
      </c>
      <c r="D14223" t="inlineStr">
        <is>
          <t>VÄRMLANDS LÄN</t>
        </is>
      </c>
      <c r="E14223" t="inlineStr">
        <is>
          <t>KIL</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14988-2024</t>
        </is>
      </c>
      <c r="B14224" s="1" t="n">
        <v>45399</v>
      </c>
      <c r="C14224" s="1" t="n">
        <v>45736</v>
      </c>
      <c r="D14224" t="inlineStr">
        <is>
          <t>VÄRMLANDS LÄN</t>
        </is>
      </c>
      <c r="E14224" t="inlineStr">
        <is>
          <t>FORSHAGA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14992-2024</t>
        </is>
      </c>
      <c r="B14225" s="1" t="n">
        <v>45399</v>
      </c>
      <c r="C14225" s="1" t="n">
        <v>45736</v>
      </c>
      <c r="D14225" t="inlineStr">
        <is>
          <t>VÄRMLANDS LÄN</t>
        </is>
      </c>
      <c r="E14225" t="inlineStr">
        <is>
          <t>SUNNE</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15126-2024</t>
        </is>
      </c>
      <c r="B14226" s="1" t="n">
        <v>45399</v>
      </c>
      <c r="C14226" s="1" t="n">
        <v>45736</v>
      </c>
      <c r="D14226" t="inlineStr">
        <is>
          <t>VÄRMLANDS LÄN</t>
        </is>
      </c>
      <c r="E14226" t="inlineStr">
        <is>
          <t>TORSBY</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15127-2024</t>
        </is>
      </c>
      <c r="B14227" s="1" t="n">
        <v>45399</v>
      </c>
      <c r="C14227" s="1" t="n">
        <v>45736</v>
      </c>
      <c r="D14227" t="inlineStr">
        <is>
          <t>VÄRMLANDS LÄN</t>
        </is>
      </c>
      <c r="E14227" t="inlineStr">
        <is>
          <t>TORSBY</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15164-2024</t>
        </is>
      </c>
      <c r="B14228" s="1" t="n">
        <v>45400</v>
      </c>
      <c r="C14228" s="1" t="n">
        <v>45736</v>
      </c>
      <c r="D14228" t="inlineStr">
        <is>
          <t>VÄRMLANDS LÄN</t>
        </is>
      </c>
      <c r="E14228" t="inlineStr">
        <is>
          <t>HAGFORS</t>
        </is>
      </c>
      <c r="F14228" t="inlineStr">
        <is>
          <t>Bergvik skog väst AB</t>
        </is>
      </c>
      <c r="G14228" t="n">
        <v>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15178-2024</t>
        </is>
      </c>
      <c r="B14229" s="1" t="n">
        <v>45400</v>
      </c>
      <c r="C14229" s="1" t="n">
        <v>45736</v>
      </c>
      <c r="D14229" t="inlineStr">
        <is>
          <t>VÄRMLANDS LÄN</t>
        </is>
      </c>
      <c r="E14229" t="inlineStr">
        <is>
          <t>KIL</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15182-2024</t>
        </is>
      </c>
      <c r="B14230" s="1" t="n">
        <v>45400</v>
      </c>
      <c r="C14230" s="1" t="n">
        <v>45736</v>
      </c>
      <c r="D14230" t="inlineStr">
        <is>
          <t>VÄRMLANDS LÄN</t>
        </is>
      </c>
      <c r="E14230" t="inlineStr">
        <is>
          <t>TORSBY</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15189-2024</t>
        </is>
      </c>
      <c r="B14231" s="1" t="n">
        <v>45400</v>
      </c>
      <c r="C14231" s="1" t="n">
        <v>45736</v>
      </c>
      <c r="D14231" t="inlineStr">
        <is>
          <t>VÄRMLANDS LÄN</t>
        </is>
      </c>
      <c r="E14231" t="inlineStr">
        <is>
          <t>HAGFORS</t>
        </is>
      </c>
      <c r="F14231" t="inlineStr">
        <is>
          <t>Bergvik skog väst AB</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15198-2024</t>
        </is>
      </c>
      <c r="B14232" s="1" t="n">
        <v>45400</v>
      </c>
      <c r="C14232" s="1" t="n">
        <v>45736</v>
      </c>
      <c r="D14232" t="inlineStr">
        <is>
          <t>VÄRMLANDS LÄN</t>
        </is>
      </c>
      <c r="E14232" t="inlineStr">
        <is>
          <t>ÅRJÄNG</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15180-2024</t>
        </is>
      </c>
      <c r="B14233" s="1" t="n">
        <v>45400</v>
      </c>
      <c r="C14233" s="1" t="n">
        <v>45736</v>
      </c>
      <c r="D14233" t="inlineStr">
        <is>
          <t>VÄRMLANDS LÄN</t>
        </is>
      </c>
      <c r="E14233" t="inlineStr">
        <is>
          <t>TORSBY</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15222-2024</t>
        </is>
      </c>
      <c r="B14234" s="1" t="n">
        <v>45400</v>
      </c>
      <c r="C14234" s="1" t="n">
        <v>45736</v>
      </c>
      <c r="D14234" t="inlineStr">
        <is>
          <t>VÄRMLANDS LÄN</t>
        </is>
      </c>
      <c r="E14234" t="inlineStr">
        <is>
          <t>TORSBY</t>
        </is>
      </c>
      <c r="F14234" t="inlineStr">
        <is>
          <t>Bergvik skog väst AB</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15205-2024</t>
        </is>
      </c>
      <c r="B14235" s="1" t="n">
        <v>45400</v>
      </c>
      <c r="C14235" s="1" t="n">
        <v>45736</v>
      </c>
      <c r="D14235" t="inlineStr">
        <is>
          <t>VÄRMLANDS LÄN</t>
        </is>
      </c>
      <c r="E14235" t="inlineStr">
        <is>
          <t>ARVIKA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15228-2024</t>
        </is>
      </c>
      <c r="B14236" s="1" t="n">
        <v>45400</v>
      </c>
      <c r="C14236" s="1" t="n">
        <v>45736</v>
      </c>
      <c r="D14236" t="inlineStr">
        <is>
          <t>VÄRMLANDS LÄN</t>
        </is>
      </c>
      <c r="E14236" t="inlineStr">
        <is>
          <t>HAGFORS</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15233-2024</t>
        </is>
      </c>
      <c r="B14237" s="1" t="n">
        <v>45400</v>
      </c>
      <c r="C14237" s="1" t="n">
        <v>45736</v>
      </c>
      <c r="D14237" t="inlineStr">
        <is>
          <t>VÄRMLANDS LÄN</t>
        </is>
      </c>
      <c r="E14237" t="inlineStr">
        <is>
          <t>SÄFFLE</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15270-2024</t>
        </is>
      </c>
      <c r="B14238" s="1" t="n">
        <v>45400</v>
      </c>
      <c r="C14238" s="1" t="n">
        <v>45736</v>
      </c>
      <c r="D14238" t="inlineStr">
        <is>
          <t>VÄRMLANDS LÄN</t>
        </is>
      </c>
      <c r="E14238" t="inlineStr">
        <is>
          <t>HAGFORS</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15274-2024</t>
        </is>
      </c>
      <c r="B14239" s="1" t="n">
        <v>45400</v>
      </c>
      <c r="C14239" s="1" t="n">
        <v>45736</v>
      </c>
      <c r="D14239" t="inlineStr">
        <is>
          <t>VÄRMLANDS LÄN</t>
        </is>
      </c>
      <c r="E14239" t="inlineStr">
        <is>
          <t>TORSBY</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15293-2024</t>
        </is>
      </c>
      <c r="B14240" s="1" t="n">
        <v>45400</v>
      </c>
      <c r="C14240" s="1" t="n">
        <v>45736</v>
      </c>
      <c r="D14240" t="inlineStr">
        <is>
          <t>VÄRMLANDS LÄN</t>
        </is>
      </c>
      <c r="E14240" t="inlineStr">
        <is>
          <t>TORSBY</t>
        </is>
      </c>
      <c r="F14240" t="inlineStr">
        <is>
          <t>Bergvik skog väst AB</t>
        </is>
      </c>
      <c r="G14240" t="n">
        <v>9.800000000000001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15239-2024</t>
        </is>
      </c>
      <c r="B14241" s="1" t="n">
        <v>45400</v>
      </c>
      <c r="C14241" s="1" t="n">
        <v>45736</v>
      </c>
      <c r="D14241" t="inlineStr">
        <is>
          <t>VÄRMLANDS LÄN</t>
        </is>
      </c>
      <c r="E14241" t="inlineStr">
        <is>
          <t>SUNNE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15243-2024</t>
        </is>
      </c>
      <c r="B14242" s="1" t="n">
        <v>45400</v>
      </c>
      <c r="C14242" s="1" t="n">
        <v>45736</v>
      </c>
      <c r="D14242" t="inlineStr">
        <is>
          <t>VÄRMLANDS LÄN</t>
        </is>
      </c>
      <c r="E14242" t="inlineStr">
        <is>
          <t>ARVIKA</t>
        </is>
      </c>
      <c r="F14242" t="inlineStr">
        <is>
          <t>Kyrkan</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15290-2024</t>
        </is>
      </c>
      <c r="B14243" s="1" t="n">
        <v>45400</v>
      </c>
      <c r="C14243" s="1" t="n">
        <v>45736</v>
      </c>
      <c r="D14243" t="inlineStr">
        <is>
          <t>VÄRMLANDS LÄN</t>
        </is>
      </c>
      <c r="E14243" t="inlineStr">
        <is>
          <t>KIL</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15175-2024</t>
        </is>
      </c>
      <c r="B14244" s="1" t="n">
        <v>45400</v>
      </c>
      <c r="C14244" s="1" t="n">
        <v>45736</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15315-2024</t>
        </is>
      </c>
      <c r="B14245" s="1" t="n">
        <v>45400</v>
      </c>
      <c r="C14245" s="1" t="n">
        <v>45736</v>
      </c>
      <c r="D14245" t="inlineStr">
        <is>
          <t>VÄRMLANDS LÄN</t>
        </is>
      </c>
      <c r="E14245" t="inlineStr">
        <is>
          <t>TORSBY</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15320-2024</t>
        </is>
      </c>
      <c r="B14246" s="1" t="n">
        <v>45400</v>
      </c>
      <c r="C14246" s="1" t="n">
        <v>45736</v>
      </c>
      <c r="D14246" t="inlineStr">
        <is>
          <t>VÄRMLANDS LÄN</t>
        </is>
      </c>
      <c r="E14246" t="inlineStr">
        <is>
          <t>TORSBY</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15346-2024</t>
        </is>
      </c>
      <c r="B14247" s="1" t="n">
        <v>45400</v>
      </c>
      <c r="C14247" s="1" t="n">
        <v>45736</v>
      </c>
      <c r="D14247" t="inlineStr">
        <is>
          <t>VÄRMLANDS LÄN</t>
        </is>
      </c>
      <c r="E14247" t="inlineStr">
        <is>
          <t>ÅRJÄNG</t>
        </is>
      </c>
      <c r="G14247" t="n">
        <v>11.8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15538-2024</t>
        </is>
      </c>
      <c r="B14248" s="1" t="n">
        <v>45401</v>
      </c>
      <c r="C14248" s="1" t="n">
        <v>45736</v>
      </c>
      <c r="D14248" t="inlineStr">
        <is>
          <t>VÄRMLANDS LÄN</t>
        </is>
      </c>
      <c r="E14248" t="inlineStr">
        <is>
          <t>HAGFORS</t>
        </is>
      </c>
      <c r="F14248" t="inlineStr">
        <is>
          <t>Bergvik skog väst AB</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15526-2024</t>
        </is>
      </c>
      <c r="B14249" s="1" t="n">
        <v>45401</v>
      </c>
      <c r="C14249" s="1" t="n">
        <v>45736</v>
      </c>
      <c r="D14249" t="inlineStr">
        <is>
          <t>VÄRMLANDS LÄN</t>
        </is>
      </c>
      <c r="E14249" t="inlineStr">
        <is>
          <t>FORSHAGA</t>
        </is>
      </c>
      <c r="F14249" t="inlineStr">
        <is>
          <t>Bergvik skog väst AB</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15505-2024</t>
        </is>
      </c>
      <c r="B14250" s="1" t="n">
        <v>45401</v>
      </c>
      <c r="C14250" s="1" t="n">
        <v>45736</v>
      </c>
      <c r="D14250" t="inlineStr">
        <is>
          <t>VÄRMLANDS LÄN</t>
        </is>
      </c>
      <c r="E14250" t="inlineStr">
        <is>
          <t>ARVIKA</t>
        </is>
      </c>
      <c r="F14250" t="inlineStr">
        <is>
          <t>Bergvik skog väst AB</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15497-2024</t>
        </is>
      </c>
      <c r="B14251" s="1" t="n">
        <v>45401</v>
      </c>
      <c r="C14251" s="1" t="n">
        <v>45736</v>
      </c>
      <c r="D14251" t="inlineStr">
        <is>
          <t>VÄRMLANDS LÄN</t>
        </is>
      </c>
      <c r="E14251" t="inlineStr">
        <is>
          <t>FORSHAGA</t>
        </is>
      </c>
      <c r="F14251" t="inlineStr">
        <is>
          <t>Bergvik skog väst AB</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15442-2024</t>
        </is>
      </c>
      <c r="B14252" s="1" t="n">
        <v>45401</v>
      </c>
      <c r="C14252" s="1" t="n">
        <v>45736</v>
      </c>
      <c r="D14252" t="inlineStr">
        <is>
          <t>VÄRMLANDS LÄN</t>
        </is>
      </c>
      <c r="E14252" t="inlineStr">
        <is>
          <t>STORFORS</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15408-2024</t>
        </is>
      </c>
      <c r="B14253" s="1" t="n">
        <v>45401</v>
      </c>
      <c r="C14253" s="1" t="n">
        <v>45736</v>
      </c>
      <c r="D14253" t="inlineStr">
        <is>
          <t>VÄRMLANDS LÄN</t>
        </is>
      </c>
      <c r="E14253" t="inlineStr">
        <is>
          <t>SÄFFLE</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15420-2024</t>
        </is>
      </c>
      <c r="B14254" s="1" t="n">
        <v>45401</v>
      </c>
      <c r="C14254" s="1" t="n">
        <v>45736</v>
      </c>
      <c r="D14254" t="inlineStr">
        <is>
          <t>VÄRMLANDS LÄN</t>
        </is>
      </c>
      <c r="E14254" t="inlineStr">
        <is>
          <t>ARVIKA</t>
        </is>
      </c>
      <c r="F14254" t="inlineStr">
        <is>
          <t>Bergvik skog väst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15425-2024</t>
        </is>
      </c>
      <c r="B14255" s="1" t="n">
        <v>45401</v>
      </c>
      <c r="C14255" s="1" t="n">
        <v>45736</v>
      </c>
      <c r="D14255" t="inlineStr">
        <is>
          <t>VÄRMLANDS LÄN</t>
        </is>
      </c>
      <c r="E14255" t="inlineStr">
        <is>
          <t>TORSBY</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15437-2024</t>
        </is>
      </c>
      <c r="B14256" s="1" t="n">
        <v>45401</v>
      </c>
      <c r="C14256" s="1" t="n">
        <v>45736</v>
      </c>
      <c r="D14256" t="inlineStr">
        <is>
          <t>VÄRMLANDS LÄN</t>
        </is>
      </c>
      <c r="E14256" t="inlineStr">
        <is>
          <t>STORFORS</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15588-2024</t>
        </is>
      </c>
      <c r="B14257" s="1" t="n">
        <v>45401</v>
      </c>
      <c r="C14257" s="1" t="n">
        <v>45736</v>
      </c>
      <c r="D14257" t="inlineStr">
        <is>
          <t>VÄRMLANDS LÄN</t>
        </is>
      </c>
      <c r="E14257" t="inlineStr">
        <is>
          <t>FORSHAGA</t>
        </is>
      </c>
      <c r="F14257" t="inlineStr">
        <is>
          <t>Bergvik skog väst AB</t>
        </is>
      </c>
      <c r="G14257" t="n">
        <v>14.5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15439-2024</t>
        </is>
      </c>
      <c r="B14258" s="1" t="n">
        <v>45401</v>
      </c>
      <c r="C14258" s="1" t="n">
        <v>45736</v>
      </c>
      <c r="D14258" t="inlineStr">
        <is>
          <t>VÄRMLANDS LÄN</t>
        </is>
      </c>
      <c r="E14258" t="inlineStr">
        <is>
          <t>FORSHAGA</t>
        </is>
      </c>
      <c r="F14258" t="inlineStr">
        <is>
          <t>Bergvik skog väst AB</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15431-2024</t>
        </is>
      </c>
      <c r="B14259" s="1" t="n">
        <v>45401</v>
      </c>
      <c r="C14259" s="1" t="n">
        <v>45736</v>
      </c>
      <c r="D14259" t="inlineStr">
        <is>
          <t>VÄRMLANDS LÄN</t>
        </is>
      </c>
      <c r="E14259" t="inlineStr">
        <is>
          <t>FILIPSTAD</t>
        </is>
      </c>
      <c r="F14259" t="inlineStr">
        <is>
          <t>Bergvik skog väst AB</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15406-2024</t>
        </is>
      </c>
      <c r="B14260" s="1" t="n">
        <v>45401</v>
      </c>
      <c r="C14260" s="1" t="n">
        <v>45736</v>
      </c>
      <c r="D14260" t="inlineStr">
        <is>
          <t>VÄRMLANDS LÄN</t>
        </is>
      </c>
      <c r="E14260" t="inlineStr">
        <is>
          <t>KRISTINEHAMN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15393-2024</t>
        </is>
      </c>
      <c r="B14261" s="1" t="n">
        <v>45401</v>
      </c>
      <c r="C14261" s="1" t="n">
        <v>45736</v>
      </c>
      <c r="D14261" t="inlineStr">
        <is>
          <t>VÄRMLANDS LÄN</t>
        </is>
      </c>
      <c r="E14261" t="inlineStr">
        <is>
          <t>FORSHAGA</t>
        </is>
      </c>
      <c r="F14261" t="inlineStr">
        <is>
          <t>Bergvik skog väst AB</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15453-2024</t>
        </is>
      </c>
      <c r="B14262" s="1" t="n">
        <v>45401</v>
      </c>
      <c r="C14262" s="1" t="n">
        <v>45736</v>
      </c>
      <c r="D14262" t="inlineStr">
        <is>
          <t>VÄRMLANDS LÄN</t>
        </is>
      </c>
      <c r="E14262" t="inlineStr">
        <is>
          <t>SUNNE</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15441-2024</t>
        </is>
      </c>
      <c r="B14263" s="1" t="n">
        <v>45401</v>
      </c>
      <c r="C14263" s="1" t="n">
        <v>45736</v>
      </c>
      <c r="D14263" t="inlineStr">
        <is>
          <t>VÄRMLANDS LÄN</t>
        </is>
      </c>
      <c r="E14263" t="inlineStr">
        <is>
          <t>FORSHAGA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15471-2024</t>
        </is>
      </c>
      <c r="B14264" s="1" t="n">
        <v>45401</v>
      </c>
      <c r="C14264" s="1" t="n">
        <v>45736</v>
      </c>
      <c r="D14264" t="inlineStr">
        <is>
          <t>VÄRMLANDS LÄN</t>
        </is>
      </c>
      <c r="E14264" t="inlineStr">
        <is>
          <t>FILIPSTAD</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15529-2024</t>
        </is>
      </c>
      <c r="B14265" s="1" t="n">
        <v>45401</v>
      </c>
      <c r="C14265" s="1" t="n">
        <v>45736</v>
      </c>
      <c r="D14265" t="inlineStr">
        <is>
          <t>VÄRMLANDS LÄN</t>
        </is>
      </c>
      <c r="E14265" t="inlineStr">
        <is>
          <t>ARVIKA</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15537-2024</t>
        </is>
      </c>
      <c r="B14266" s="1" t="n">
        <v>45401</v>
      </c>
      <c r="C14266" s="1" t="n">
        <v>45736</v>
      </c>
      <c r="D14266" t="inlineStr">
        <is>
          <t>VÄRMLANDS LÄN</t>
        </is>
      </c>
      <c r="E14266" t="inlineStr">
        <is>
          <t>ÅRJÄNG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15545-2024</t>
        </is>
      </c>
      <c r="B14267" s="1" t="n">
        <v>45401</v>
      </c>
      <c r="C14267" s="1" t="n">
        <v>45736</v>
      </c>
      <c r="D14267" t="inlineStr">
        <is>
          <t>VÄRMLANDS LÄN</t>
        </is>
      </c>
      <c r="E14267" t="inlineStr">
        <is>
          <t>GRUMS</t>
        </is>
      </c>
      <c r="F14267" t="inlineStr">
        <is>
          <t>Bergvik skog väst AB</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15558-2024</t>
        </is>
      </c>
      <c r="B14268" s="1" t="n">
        <v>45401</v>
      </c>
      <c r="C14268" s="1" t="n">
        <v>45736</v>
      </c>
      <c r="D14268" t="inlineStr">
        <is>
          <t>VÄRMLANDS LÄN</t>
        </is>
      </c>
      <c r="E14268" t="inlineStr">
        <is>
          <t>FORSHAGA</t>
        </is>
      </c>
      <c r="F14268" t="inlineStr">
        <is>
          <t>Bergvik skog väst AB</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15532-2024</t>
        </is>
      </c>
      <c r="B14269" s="1" t="n">
        <v>45401</v>
      </c>
      <c r="C14269" s="1" t="n">
        <v>45736</v>
      </c>
      <c r="D14269" t="inlineStr">
        <is>
          <t>VÄRMLANDS LÄN</t>
        </is>
      </c>
      <c r="E14269" t="inlineStr">
        <is>
          <t>GRUMS</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15507-2024</t>
        </is>
      </c>
      <c r="B14270" s="1" t="n">
        <v>45401</v>
      </c>
      <c r="C14270" s="1" t="n">
        <v>45736</v>
      </c>
      <c r="D14270" t="inlineStr">
        <is>
          <t>VÄRMLANDS LÄN</t>
        </is>
      </c>
      <c r="E14270" t="inlineStr">
        <is>
          <t>FORSHAGA</t>
        </is>
      </c>
      <c r="F14270" t="inlineStr">
        <is>
          <t>Bergvik skog väst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15503-2024</t>
        </is>
      </c>
      <c r="B14271" s="1" t="n">
        <v>45401</v>
      </c>
      <c r="C14271" s="1" t="n">
        <v>45736</v>
      </c>
      <c r="D14271" t="inlineStr">
        <is>
          <t>VÄRMLANDS LÄN</t>
        </is>
      </c>
      <c r="E14271" t="inlineStr">
        <is>
          <t>TORSBY</t>
        </is>
      </c>
      <c r="F14271" t="inlineStr">
        <is>
          <t>Bergvik skog väst AB</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15465-2024</t>
        </is>
      </c>
      <c r="B14272" s="1" t="n">
        <v>45401</v>
      </c>
      <c r="C14272" s="1" t="n">
        <v>45736</v>
      </c>
      <c r="D14272" t="inlineStr">
        <is>
          <t>VÄRMLANDS LÄN</t>
        </is>
      </c>
      <c r="E14272" t="inlineStr">
        <is>
          <t>TORSBY</t>
        </is>
      </c>
      <c r="F14272" t="inlineStr">
        <is>
          <t>Bergvik skog väst AB</t>
        </is>
      </c>
      <c r="G14272" t="n">
        <v>24.6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15411-2024</t>
        </is>
      </c>
      <c r="B14273" s="1" t="n">
        <v>45401</v>
      </c>
      <c r="C14273" s="1" t="n">
        <v>45736</v>
      </c>
      <c r="D14273" t="inlineStr">
        <is>
          <t>VÄRMLANDS LÄN</t>
        </is>
      </c>
      <c r="E14273" t="inlineStr">
        <is>
          <t>EDA</t>
        </is>
      </c>
      <c r="F14273" t="inlineStr">
        <is>
          <t>Bergvik skog väst AB</t>
        </is>
      </c>
      <c r="G14273" t="n">
        <v>5.3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15633-2024</t>
        </is>
      </c>
      <c r="B14274" s="1" t="n">
        <v>45403</v>
      </c>
      <c r="C14274" s="1" t="n">
        <v>45736</v>
      </c>
      <c r="D14274" t="inlineStr">
        <is>
          <t>VÄRMLANDS LÄN</t>
        </is>
      </c>
      <c r="E14274" t="inlineStr">
        <is>
          <t>SÄFFLE</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15632-2024</t>
        </is>
      </c>
      <c r="B14275" s="1" t="n">
        <v>45403</v>
      </c>
      <c r="C14275" s="1" t="n">
        <v>45736</v>
      </c>
      <c r="D14275" t="inlineStr">
        <is>
          <t>VÄRMLANDS LÄN</t>
        </is>
      </c>
      <c r="E14275" t="inlineStr">
        <is>
          <t>SÄFFLE</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15643-2024</t>
        </is>
      </c>
      <c r="B14276" s="1" t="n">
        <v>45404</v>
      </c>
      <c r="C14276" s="1" t="n">
        <v>45736</v>
      </c>
      <c r="D14276" t="inlineStr">
        <is>
          <t>VÄRMLANDS LÄN</t>
        </is>
      </c>
      <c r="E14276" t="inlineStr">
        <is>
          <t>HAGFORS</t>
        </is>
      </c>
      <c r="F14276" t="inlineStr">
        <is>
          <t>Bergvik skog väst AB</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15710-2024</t>
        </is>
      </c>
      <c r="B14277" s="1" t="n">
        <v>45404</v>
      </c>
      <c r="C14277" s="1" t="n">
        <v>45736</v>
      </c>
      <c r="D14277" t="inlineStr">
        <is>
          <t>VÄRMLANDS LÄN</t>
        </is>
      </c>
      <c r="E14277" t="inlineStr">
        <is>
          <t>SUNNE</t>
        </is>
      </c>
      <c r="G14277" t="n">
        <v>14.4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15730-2024</t>
        </is>
      </c>
      <c r="B14278" s="1" t="n">
        <v>45404</v>
      </c>
      <c r="C14278" s="1" t="n">
        <v>45736</v>
      </c>
      <c r="D14278" t="inlineStr">
        <is>
          <t>VÄRMLANDS LÄN</t>
        </is>
      </c>
      <c r="E14278" t="inlineStr">
        <is>
          <t>TORSBY</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15758-2024</t>
        </is>
      </c>
      <c r="B14279" s="1" t="n">
        <v>45404</v>
      </c>
      <c r="C14279" s="1" t="n">
        <v>45736</v>
      </c>
      <c r="D14279" t="inlineStr">
        <is>
          <t>VÄRMLANDS LÄN</t>
        </is>
      </c>
      <c r="E14279" t="inlineStr">
        <is>
          <t>TORSBY</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15649-2024</t>
        </is>
      </c>
      <c r="B14280" s="1" t="n">
        <v>45404</v>
      </c>
      <c r="C14280" s="1" t="n">
        <v>45736</v>
      </c>
      <c r="D14280" t="inlineStr">
        <is>
          <t>VÄRMLANDS LÄN</t>
        </is>
      </c>
      <c r="E14280" t="inlineStr">
        <is>
          <t>EDA</t>
        </is>
      </c>
      <c r="F14280" t="inlineStr">
        <is>
          <t>Kommuner</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15716-2024</t>
        </is>
      </c>
      <c r="B14281" s="1" t="n">
        <v>45404</v>
      </c>
      <c r="C14281" s="1" t="n">
        <v>45736</v>
      </c>
      <c r="D14281" t="inlineStr">
        <is>
          <t>VÄRMLANDS LÄN</t>
        </is>
      </c>
      <c r="E14281" t="inlineStr">
        <is>
          <t>SUNNE</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15720-2024</t>
        </is>
      </c>
      <c r="B14282" s="1" t="n">
        <v>45404</v>
      </c>
      <c r="C14282" s="1" t="n">
        <v>45736</v>
      </c>
      <c r="D14282" t="inlineStr">
        <is>
          <t>VÄRMLANDS LÄN</t>
        </is>
      </c>
      <c r="E14282" t="inlineStr">
        <is>
          <t>ÅRJÄNG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15788-2024</t>
        </is>
      </c>
      <c r="B14283" s="1" t="n">
        <v>45404</v>
      </c>
      <c r="C14283" s="1" t="n">
        <v>45736</v>
      </c>
      <c r="D14283" t="inlineStr">
        <is>
          <t>VÄRMLANDS LÄN</t>
        </is>
      </c>
      <c r="E14283" t="inlineStr">
        <is>
          <t>ARVIKA</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15663-2024</t>
        </is>
      </c>
      <c r="B14284" s="1" t="n">
        <v>45404</v>
      </c>
      <c r="C14284" s="1" t="n">
        <v>45736</v>
      </c>
      <c r="D14284" t="inlineStr">
        <is>
          <t>VÄRMLANDS LÄN</t>
        </is>
      </c>
      <c r="E14284" t="inlineStr">
        <is>
          <t>FORSHAGA</t>
        </is>
      </c>
      <c r="G14284" t="n">
        <v>0.4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15697-2024</t>
        </is>
      </c>
      <c r="B14285" s="1" t="n">
        <v>45404</v>
      </c>
      <c r="C14285" s="1" t="n">
        <v>45736</v>
      </c>
      <c r="D14285" t="inlineStr">
        <is>
          <t>VÄRMLANDS LÄN</t>
        </is>
      </c>
      <c r="E14285" t="inlineStr">
        <is>
          <t>ARVIKA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15713-2024</t>
        </is>
      </c>
      <c r="B14286" s="1" t="n">
        <v>45404</v>
      </c>
      <c r="C14286" s="1" t="n">
        <v>45736</v>
      </c>
      <c r="D14286" t="inlineStr">
        <is>
          <t>VÄRMLANDS LÄN</t>
        </is>
      </c>
      <c r="E14286" t="inlineStr">
        <is>
          <t>SUNNE</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15721-2024</t>
        </is>
      </c>
      <c r="B14287" s="1" t="n">
        <v>45404</v>
      </c>
      <c r="C14287" s="1" t="n">
        <v>45736</v>
      </c>
      <c r="D14287" t="inlineStr">
        <is>
          <t>VÄRMLANDS LÄN</t>
        </is>
      </c>
      <c r="E14287" t="inlineStr">
        <is>
          <t>KIL</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15644-2024</t>
        </is>
      </c>
      <c r="B14288" s="1" t="n">
        <v>45404</v>
      </c>
      <c r="C14288" s="1" t="n">
        <v>45736</v>
      </c>
      <c r="D14288" t="inlineStr">
        <is>
          <t>VÄRMLANDS LÄN</t>
        </is>
      </c>
      <c r="E14288" t="inlineStr">
        <is>
          <t>FORSHAGA</t>
        </is>
      </c>
      <c r="F14288" t="inlineStr">
        <is>
          <t>Bergvik skog väst AB</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15789-2024</t>
        </is>
      </c>
      <c r="B14289" s="1" t="n">
        <v>45404</v>
      </c>
      <c r="C14289" s="1" t="n">
        <v>45736</v>
      </c>
      <c r="D14289" t="inlineStr">
        <is>
          <t>VÄRMLANDS LÄN</t>
        </is>
      </c>
      <c r="E14289" t="inlineStr">
        <is>
          <t>EDA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15796-2024</t>
        </is>
      </c>
      <c r="B14290" s="1" t="n">
        <v>45404</v>
      </c>
      <c r="C14290" s="1" t="n">
        <v>45736</v>
      </c>
      <c r="D14290" t="inlineStr">
        <is>
          <t>VÄRMLANDS LÄN</t>
        </is>
      </c>
      <c r="E14290" t="inlineStr">
        <is>
          <t>SUNNE</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15807-2024</t>
        </is>
      </c>
      <c r="B14291" s="1" t="n">
        <v>45404</v>
      </c>
      <c r="C14291" s="1" t="n">
        <v>45736</v>
      </c>
      <c r="D14291" t="inlineStr">
        <is>
          <t>VÄRMLANDS LÄN</t>
        </is>
      </c>
      <c r="E14291" t="inlineStr">
        <is>
          <t>FORSHAGA</t>
        </is>
      </c>
      <c r="F14291" t="inlineStr">
        <is>
          <t>Bergvik skog väst AB</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15811-2024</t>
        </is>
      </c>
      <c r="B14292" s="1" t="n">
        <v>45404</v>
      </c>
      <c r="C14292" s="1" t="n">
        <v>45736</v>
      </c>
      <c r="D14292" t="inlineStr">
        <is>
          <t>VÄRMLANDS LÄN</t>
        </is>
      </c>
      <c r="E14292" t="inlineStr">
        <is>
          <t>KARLSTAD</t>
        </is>
      </c>
      <c r="G14292" t="n">
        <v>11.4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15815-2024</t>
        </is>
      </c>
      <c r="B14293" s="1" t="n">
        <v>45404</v>
      </c>
      <c r="C14293" s="1" t="n">
        <v>45736</v>
      </c>
      <c r="D14293" t="inlineStr">
        <is>
          <t>VÄRMLANDS LÄN</t>
        </is>
      </c>
      <c r="E14293" t="inlineStr">
        <is>
          <t>FILIPSTAD</t>
        </is>
      </c>
      <c r="F14293" t="inlineStr">
        <is>
          <t>Bergvik skog väst AB</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15828-2024</t>
        </is>
      </c>
      <c r="B14294" s="1" t="n">
        <v>45404</v>
      </c>
      <c r="C14294" s="1" t="n">
        <v>45736</v>
      </c>
      <c r="D14294" t="inlineStr">
        <is>
          <t>VÄRMLANDS LÄN</t>
        </is>
      </c>
      <c r="E14294" t="inlineStr">
        <is>
          <t>ÅRJÄNG</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15838-2024</t>
        </is>
      </c>
      <c r="B14295" s="1" t="n">
        <v>45404</v>
      </c>
      <c r="C14295" s="1" t="n">
        <v>45736</v>
      </c>
      <c r="D14295" t="inlineStr">
        <is>
          <t>VÄRMLANDS LÄN</t>
        </is>
      </c>
      <c r="E14295" t="inlineStr">
        <is>
          <t>ARVIKA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16012-2024</t>
        </is>
      </c>
      <c r="B14296" s="1" t="n">
        <v>45405</v>
      </c>
      <c r="C14296" s="1" t="n">
        <v>45736</v>
      </c>
      <c r="D14296" t="inlineStr">
        <is>
          <t>VÄRMLANDS LÄN</t>
        </is>
      </c>
      <c r="E14296" t="inlineStr">
        <is>
          <t>ÅRJÄNG</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16029-2024</t>
        </is>
      </c>
      <c r="B14297" s="1" t="n">
        <v>45405</v>
      </c>
      <c r="C14297" s="1" t="n">
        <v>45736</v>
      </c>
      <c r="D14297" t="inlineStr">
        <is>
          <t>VÄRMLANDS LÄN</t>
        </is>
      </c>
      <c r="E14297" t="inlineStr">
        <is>
          <t>KARLSTAD</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16033-2024</t>
        </is>
      </c>
      <c r="B14298" s="1" t="n">
        <v>45405</v>
      </c>
      <c r="C14298" s="1" t="n">
        <v>45736</v>
      </c>
      <c r="D14298" t="inlineStr">
        <is>
          <t>VÄRMLANDS LÄN</t>
        </is>
      </c>
      <c r="E14298" t="inlineStr">
        <is>
          <t>KARLSTAD</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15997-2024</t>
        </is>
      </c>
      <c r="B14299" s="1" t="n">
        <v>45405</v>
      </c>
      <c r="C14299" s="1" t="n">
        <v>45736</v>
      </c>
      <c r="D14299" t="inlineStr">
        <is>
          <t>VÄRMLANDS LÄN</t>
        </is>
      </c>
      <c r="E14299" t="inlineStr">
        <is>
          <t>KIL</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15973-2024</t>
        </is>
      </c>
      <c r="B14300" s="1" t="n">
        <v>45405</v>
      </c>
      <c r="C14300" s="1" t="n">
        <v>45736</v>
      </c>
      <c r="D14300" t="inlineStr">
        <is>
          <t>VÄRMLANDS LÄN</t>
        </is>
      </c>
      <c r="E14300" t="inlineStr">
        <is>
          <t>ARVIKA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15944-2024</t>
        </is>
      </c>
      <c r="B14301" s="1" t="n">
        <v>45405</v>
      </c>
      <c r="C14301" s="1" t="n">
        <v>45736</v>
      </c>
      <c r="D14301" t="inlineStr">
        <is>
          <t>VÄRMLANDS LÄN</t>
        </is>
      </c>
      <c r="E14301" t="inlineStr">
        <is>
          <t>KARLSTAD</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15940-2024</t>
        </is>
      </c>
      <c r="B14302" s="1" t="n">
        <v>45405</v>
      </c>
      <c r="C14302" s="1" t="n">
        <v>45736</v>
      </c>
      <c r="D14302" t="inlineStr">
        <is>
          <t>VÄRMLANDS LÄN</t>
        </is>
      </c>
      <c r="E14302" t="inlineStr">
        <is>
          <t>FILIPSTAD</t>
        </is>
      </c>
      <c r="F14302" t="inlineStr">
        <is>
          <t>Bergvik skog väst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15952-2024</t>
        </is>
      </c>
      <c r="B14303" s="1" t="n">
        <v>45405</v>
      </c>
      <c r="C14303" s="1" t="n">
        <v>45736</v>
      </c>
      <c r="D14303" t="inlineStr">
        <is>
          <t>VÄRMLANDS LÄN</t>
        </is>
      </c>
      <c r="E14303" t="inlineStr">
        <is>
          <t>HAGFORS</t>
        </is>
      </c>
      <c r="F14303" t="inlineStr">
        <is>
          <t>Bergvik skog väst AB</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15943-2024</t>
        </is>
      </c>
      <c r="B14304" s="1" t="n">
        <v>45405</v>
      </c>
      <c r="C14304" s="1" t="n">
        <v>45736</v>
      </c>
      <c r="D14304" t="inlineStr">
        <is>
          <t>VÄRMLANDS LÄN</t>
        </is>
      </c>
      <c r="E14304" t="inlineStr">
        <is>
          <t>TORSBY</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15896-2024</t>
        </is>
      </c>
      <c r="B14305" s="1" t="n">
        <v>45405</v>
      </c>
      <c r="C14305" s="1" t="n">
        <v>45736</v>
      </c>
      <c r="D14305" t="inlineStr">
        <is>
          <t>VÄRMLANDS LÄN</t>
        </is>
      </c>
      <c r="E14305" t="inlineStr">
        <is>
          <t>TORSBY</t>
        </is>
      </c>
      <c r="G14305" t="n">
        <v>10.9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15892-2024</t>
        </is>
      </c>
      <c r="B14306" s="1" t="n">
        <v>45405</v>
      </c>
      <c r="C14306" s="1" t="n">
        <v>45736</v>
      </c>
      <c r="D14306" t="inlineStr">
        <is>
          <t>VÄRMLANDS LÄN</t>
        </is>
      </c>
      <c r="E14306" t="inlineStr">
        <is>
          <t>TORSBY</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15903-2024</t>
        </is>
      </c>
      <c r="B14307" s="1" t="n">
        <v>45405</v>
      </c>
      <c r="C14307" s="1" t="n">
        <v>45736</v>
      </c>
      <c r="D14307" t="inlineStr">
        <is>
          <t>VÄRMLANDS LÄN</t>
        </is>
      </c>
      <c r="E14307" t="inlineStr">
        <is>
          <t>FILIPSTAD</t>
        </is>
      </c>
      <c r="F14307" t="inlineStr">
        <is>
          <t>Bergvik skog väst AB</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15899-2024</t>
        </is>
      </c>
      <c r="B14308" s="1" t="n">
        <v>45405</v>
      </c>
      <c r="C14308" s="1" t="n">
        <v>45736</v>
      </c>
      <c r="D14308" t="inlineStr">
        <is>
          <t>VÄRMLANDS LÄN</t>
        </is>
      </c>
      <c r="E14308" t="inlineStr">
        <is>
          <t>TORSBY</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16032-2024</t>
        </is>
      </c>
      <c r="B14309" s="1" t="n">
        <v>45405</v>
      </c>
      <c r="C14309" s="1" t="n">
        <v>45736</v>
      </c>
      <c r="D14309" t="inlineStr">
        <is>
          <t>VÄRMLANDS LÄN</t>
        </is>
      </c>
      <c r="E14309" t="inlineStr">
        <is>
          <t>KARLSTAD</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15871-2024</t>
        </is>
      </c>
      <c r="B14310" s="1" t="n">
        <v>45405</v>
      </c>
      <c r="C14310" s="1" t="n">
        <v>45736</v>
      </c>
      <c r="D14310" t="inlineStr">
        <is>
          <t>VÄRMLANDS LÄN</t>
        </is>
      </c>
      <c r="E14310" t="inlineStr">
        <is>
          <t>FORSHAGA</t>
        </is>
      </c>
      <c r="F14310" t="inlineStr">
        <is>
          <t>Bergvik skog väst AB</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16014-2024</t>
        </is>
      </c>
      <c r="B14311" s="1" t="n">
        <v>45405</v>
      </c>
      <c r="C14311" s="1" t="n">
        <v>45736</v>
      </c>
      <c r="D14311" t="inlineStr">
        <is>
          <t>VÄRMLANDS LÄN</t>
        </is>
      </c>
      <c r="E14311" t="inlineStr">
        <is>
          <t>ARVIKA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16010-2024</t>
        </is>
      </c>
      <c r="B14312" s="1" t="n">
        <v>45405</v>
      </c>
      <c r="C14312" s="1" t="n">
        <v>45736</v>
      </c>
      <c r="D14312" t="inlineStr">
        <is>
          <t>VÄRMLANDS LÄN</t>
        </is>
      </c>
      <c r="E14312" t="inlineStr">
        <is>
          <t>ÅRJÄNG</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15990-2024</t>
        </is>
      </c>
      <c r="B14313" s="1" t="n">
        <v>45405</v>
      </c>
      <c r="C14313" s="1" t="n">
        <v>45736</v>
      </c>
      <c r="D14313" t="inlineStr">
        <is>
          <t>VÄRMLANDS LÄN</t>
        </is>
      </c>
      <c r="E14313" t="inlineStr">
        <is>
          <t>KIL</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15995-2024</t>
        </is>
      </c>
      <c r="B14314" s="1" t="n">
        <v>45405</v>
      </c>
      <c r="C14314" s="1" t="n">
        <v>45736</v>
      </c>
      <c r="D14314" t="inlineStr">
        <is>
          <t>VÄRMLANDS LÄN</t>
        </is>
      </c>
      <c r="E14314" t="inlineStr">
        <is>
          <t>KIL</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16023-2024</t>
        </is>
      </c>
      <c r="B14315" s="1" t="n">
        <v>45405</v>
      </c>
      <c r="C14315" s="1" t="n">
        <v>45736</v>
      </c>
      <c r="D14315" t="inlineStr">
        <is>
          <t>VÄRMLANDS LÄN</t>
        </is>
      </c>
      <c r="E14315" t="inlineStr">
        <is>
          <t>SÄFFLE</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16031-2024</t>
        </is>
      </c>
      <c r="B14316" s="1" t="n">
        <v>45405</v>
      </c>
      <c r="C14316" s="1" t="n">
        <v>45736</v>
      </c>
      <c r="D14316" t="inlineStr">
        <is>
          <t>VÄRMLANDS LÄN</t>
        </is>
      </c>
      <c r="E14316" t="inlineStr">
        <is>
          <t>KARLSTAD</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15958-2024</t>
        </is>
      </c>
      <c r="B14317" s="1" t="n">
        <v>45405</v>
      </c>
      <c r="C14317" s="1" t="n">
        <v>45736</v>
      </c>
      <c r="D14317" t="inlineStr">
        <is>
          <t>VÄRMLANDS LÄN</t>
        </is>
      </c>
      <c r="E14317" t="inlineStr">
        <is>
          <t>SÄFFLE</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15937-2024</t>
        </is>
      </c>
      <c r="B14318" s="1" t="n">
        <v>45405</v>
      </c>
      <c r="C14318" s="1" t="n">
        <v>45736</v>
      </c>
      <c r="D14318" t="inlineStr">
        <is>
          <t>VÄRMLANDS LÄN</t>
        </is>
      </c>
      <c r="E14318" t="inlineStr">
        <is>
          <t>FILIPSTAD</t>
        </is>
      </c>
      <c r="F14318" t="inlineStr">
        <is>
          <t>Bergvik skog väst AB</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15929-2024</t>
        </is>
      </c>
      <c r="B14319" s="1" t="n">
        <v>45405</v>
      </c>
      <c r="C14319" s="1" t="n">
        <v>45736</v>
      </c>
      <c r="D14319" t="inlineStr">
        <is>
          <t>VÄRMLANDS LÄN</t>
        </is>
      </c>
      <c r="E14319" t="inlineStr">
        <is>
          <t>KARLSTAD</t>
        </is>
      </c>
      <c r="G14319" t="n">
        <v>4.1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15913-2024</t>
        </is>
      </c>
      <c r="B14320" s="1" t="n">
        <v>45405</v>
      </c>
      <c r="C14320" s="1" t="n">
        <v>45736</v>
      </c>
      <c r="D14320" t="inlineStr">
        <is>
          <t>VÄRMLANDS LÄN</t>
        </is>
      </c>
      <c r="E14320" t="inlineStr">
        <is>
          <t>SUNNE</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15955-2024</t>
        </is>
      </c>
      <c r="B14321" s="1" t="n">
        <v>45405</v>
      </c>
      <c r="C14321" s="1" t="n">
        <v>45736</v>
      </c>
      <c r="D14321" t="inlineStr">
        <is>
          <t>VÄRMLANDS LÄN</t>
        </is>
      </c>
      <c r="E14321" t="inlineStr">
        <is>
          <t>HAGFORS</t>
        </is>
      </c>
      <c r="F14321" t="inlineStr">
        <is>
          <t>Bergvik skog väst AB</t>
        </is>
      </c>
      <c r="G14321" t="n">
        <v>8.699999999999999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15902-2024</t>
        </is>
      </c>
      <c r="B14322" s="1" t="n">
        <v>45405</v>
      </c>
      <c r="C14322" s="1" t="n">
        <v>45736</v>
      </c>
      <c r="D14322" t="inlineStr">
        <is>
          <t>VÄRMLANDS LÄN</t>
        </is>
      </c>
      <c r="E14322" t="inlineStr">
        <is>
          <t>FILIPSTAD</t>
        </is>
      </c>
      <c r="F14322" t="inlineStr">
        <is>
          <t>Bergvik skog väst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15874-2024</t>
        </is>
      </c>
      <c r="B14323" s="1" t="n">
        <v>45405</v>
      </c>
      <c r="C14323" s="1" t="n">
        <v>45736</v>
      </c>
      <c r="D14323" t="inlineStr">
        <is>
          <t>VÄRMLANDS LÄN</t>
        </is>
      </c>
      <c r="E14323" t="inlineStr">
        <is>
          <t>TORSBY</t>
        </is>
      </c>
      <c r="F14323" t="inlineStr">
        <is>
          <t>Bergvik skog väst AB</t>
        </is>
      </c>
      <c r="G14323" t="n">
        <v>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16079-2024</t>
        </is>
      </c>
      <c r="B14324" s="1" t="n">
        <v>45406</v>
      </c>
      <c r="C14324" s="1" t="n">
        <v>45736</v>
      </c>
      <c r="D14324" t="inlineStr">
        <is>
          <t>VÄRMLANDS LÄN</t>
        </is>
      </c>
      <c r="E14324" t="inlineStr">
        <is>
          <t>ÅRJÄNG</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16087-2024</t>
        </is>
      </c>
      <c r="B14325" s="1" t="n">
        <v>45406</v>
      </c>
      <c r="C14325" s="1" t="n">
        <v>45736</v>
      </c>
      <c r="D14325" t="inlineStr">
        <is>
          <t>VÄRMLANDS LÄN</t>
        </is>
      </c>
      <c r="E14325" t="inlineStr">
        <is>
          <t>FILIPSTAD</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16104-2024</t>
        </is>
      </c>
      <c r="B14326" s="1" t="n">
        <v>45406</v>
      </c>
      <c r="C14326" s="1" t="n">
        <v>45736</v>
      </c>
      <c r="D14326" t="inlineStr">
        <is>
          <t>VÄRMLANDS LÄN</t>
        </is>
      </c>
      <c r="E14326" t="inlineStr">
        <is>
          <t>ARVIKA</t>
        </is>
      </c>
      <c r="F14326" t="inlineStr">
        <is>
          <t>Bergvik skog väst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16112-2024</t>
        </is>
      </c>
      <c r="B14327" s="1" t="n">
        <v>45406</v>
      </c>
      <c r="C14327" s="1" t="n">
        <v>45736</v>
      </c>
      <c r="D14327" t="inlineStr">
        <is>
          <t>VÄRMLANDS LÄN</t>
        </is>
      </c>
      <c r="E14327" t="inlineStr">
        <is>
          <t>SUNNE</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16103-2024</t>
        </is>
      </c>
      <c r="B14328" s="1" t="n">
        <v>45406</v>
      </c>
      <c r="C14328" s="1" t="n">
        <v>45736</v>
      </c>
      <c r="D14328" t="inlineStr">
        <is>
          <t>VÄRMLANDS LÄN</t>
        </is>
      </c>
      <c r="E14328" t="inlineStr">
        <is>
          <t>KIL</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16161-2024</t>
        </is>
      </c>
      <c r="B14329" s="1" t="n">
        <v>45406</v>
      </c>
      <c r="C14329" s="1" t="n">
        <v>45736</v>
      </c>
      <c r="D14329" t="inlineStr">
        <is>
          <t>VÄRMLANDS LÄN</t>
        </is>
      </c>
      <c r="E14329" t="inlineStr">
        <is>
          <t>ARVIKA</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16181-2024</t>
        </is>
      </c>
      <c r="B14330" s="1" t="n">
        <v>45406</v>
      </c>
      <c r="C14330" s="1" t="n">
        <v>45736</v>
      </c>
      <c r="D14330" t="inlineStr">
        <is>
          <t>VÄRMLANDS LÄN</t>
        </is>
      </c>
      <c r="E14330" t="inlineStr">
        <is>
          <t>KRISTINEHAMN</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16162-2024</t>
        </is>
      </c>
      <c r="B14331" s="1" t="n">
        <v>45406</v>
      </c>
      <c r="C14331" s="1" t="n">
        <v>45736</v>
      </c>
      <c r="D14331" t="inlineStr">
        <is>
          <t>VÄRMLANDS LÄN</t>
        </is>
      </c>
      <c r="E14331" t="inlineStr">
        <is>
          <t>ARVIKA</t>
        </is>
      </c>
      <c r="F14331" t="inlineStr">
        <is>
          <t>Bergvik skog väst AB</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16073-2024</t>
        </is>
      </c>
      <c r="B14332" s="1" t="n">
        <v>45406</v>
      </c>
      <c r="C14332" s="1" t="n">
        <v>45736</v>
      </c>
      <c r="D14332" t="inlineStr">
        <is>
          <t>VÄRMLANDS LÄN</t>
        </is>
      </c>
      <c r="E14332" t="inlineStr">
        <is>
          <t>TORSBY</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16101-2024</t>
        </is>
      </c>
      <c r="B14333" s="1" t="n">
        <v>45406</v>
      </c>
      <c r="C14333" s="1" t="n">
        <v>45736</v>
      </c>
      <c r="D14333" t="inlineStr">
        <is>
          <t>VÄRMLANDS LÄN</t>
        </is>
      </c>
      <c r="E14333" t="inlineStr">
        <is>
          <t>ARVIKA</t>
        </is>
      </c>
      <c r="F14333" t="inlineStr">
        <is>
          <t>Bergvik skog väst AB</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16143-2024</t>
        </is>
      </c>
      <c r="B14334" s="1" t="n">
        <v>45406</v>
      </c>
      <c r="C14334" s="1" t="n">
        <v>45736</v>
      </c>
      <c r="D14334" t="inlineStr">
        <is>
          <t>VÄRMLANDS LÄN</t>
        </is>
      </c>
      <c r="E14334" t="inlineStr">
        <is>
          <t>SÄFFLE</t>
        </is>
      </c>
      <c r="G14334" t="n">
        <v>10.6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16179-2024</t>
        </is>
      </c>
      <c r="B14335" s="1" t="n">
        <v>45406</v>
      </c>
      <c r="C14335" s="1" t="n">
        <v>45736</v>
      </c>
      <c r="D14335" t="inlineStr">
        <is>
          <t>VÄRMLANDS LÄN</t>
        </is>
      </c>
      <c r="E14335" t="inlineStr">
        <is>
          <t>ARVIKA</t>
        </is>
      </c>
      <c r="F14335" t="inlineStr">
        <is>
          <t>Bergvik skog väst AB</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16168-2024</t>
        </is>
      </c>
      <c r="B14336" s="1" t="n">
        <v>45406</v>
      </c>
      <c r="C14336" s="1" t="n">
        <v>45736</v>
      </c>
      <c r="D14336" t="inlineStr">
        <is>
          <t>VÄRMLANDS LÄN</t>
        </is>
      </c>
      <c r="E14336" t="inlineStr">
        <is>
          <t>ARVIKA</t>
        </is>
      </c>
      <c r="F14336" t="inlineStr">
        <is>
          <t>Bergvik skog väst AB</t>
        </is>
      </c>
      <c r="G14336" t="n">
        <v>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16261-2024</t>
        </is>
      </c>
      <c r="B14337" s="1" t="n">
        <v>45407</v>
      </c>
      <c r="C14337" s="1" t="n">
        <v>45736</v>
      </c>
      <c r="D14337" t="inlineStr">
        <is>
          <t>VÄRMLANDS LÄN</t>
        </is>
      </c>
      <c r="E14337" t="inlineStr">
        <is>
          <t>EDA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16267-2024</t>
        </is>
      </c>
      <c r="B14338" s="1" t="n">
        <v>45407</v>
      </c>
      <c r="C14338" s="1" t="n">
        <v>45736</v>
      </c>
      <c r="D14338" t="inlineStr">
        <is>
          <t>VÄRMLANDS LÄN</t>
        </is>
      </c>
      <c r="E14338" t="inlineStr">
        <is>
          <t>EDA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16302-2024</t>
        </is>
      </c>
      <c r="B14339" s="1" t="n">
        <v>45407</v>
      </c>
      <c r="C14339" s="1" t="n">
        <v>45736</v>
      </c>
      <c r="D14339" t="inlineStr">
        <is>
          <t>VÄRMLANDS LÄN</t>
        </is>
      </c>
      <c r="E14339" t="inlineStr">
        <is>
          <t>KARLSTAD</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16335-2024</t>
        </is>
      </c>
      <c r="B14340" s="1" t="n">
        <v>45407</v>
      </c>
      <c r="C14340" s="1" t="n">
        <v>45736</v>
      </c>
      <c r="D14340" t="inlineStr">
        <is>
          <t>VÄRMLANDS LÄN</t>
        </is>
      </c>
      <c r="E14340" t="inlineStr">
        <is>
          <t>EDA</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16321-2024</t>
        </is>
      </c>
      <c r="B14341" s="1" t="n">
        <v>45407</v>
      </c>
      <c r="C14341" s="1" t="n">
        <v>45736</v>
      </c>
      <c r="D14341" t="inlineStr">
        <is>
          <t>VÄRMLANDS LÄN</t>
        </is>
      </c>
      <c r="E14341" t="inlineStr">
        <is>
          <t>EDA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16325-2024</t>
        </is>
      </c>
      <c r="B14342" s="1" t="n">
        <v>45407</v>
      </c>
      <c r="C14342" s="1" t="n">
        <v>45736</v>
      </c>
      <c r="D14342" t="inlineStr">
        <is>
          <t>VÄRMLANDS LÄN</t>
        </is>
      </c>
      <c r="E14342" t="inlineStr">
        <is>
          <t>HAGFORS</t>
        </is>
      </c>
      <c r="F14342" t="inlineStr">
        <is>
          <t>Bergvik skog väst AB</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16329-2024</t>
        </is>
      </c>
      <c r="B14343" s="1" t="n">
        <v>45407</v>
      </c>
      <c r="C14343" s="1" t="n">
        <v>45736</v>
      </c>
      <c r="D14343" t="inlineStr">
        <is>
          <t>VÄRMLANDS LÄN</t>
        </is>
      </c>
      <c r="E14343" t="inlineStr">
        <is>
          <t>FILIPSTAD</t>
        </is>
      </c>
      <c r="F14343" t="inlineStr">
        <is>
          <t>Bergvik skog väst AB</t>
        </is>
      </c>
      <c r="G14343" t="n">
        <v>10.6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16359-2024</t>
        </is>
      </c>
      <c r="B14344" s="1" t="n">
        <v>45407</v>
      </c>
      <c r="C14344" s="1" t="n">
        <v>45736</v>
      </c>
      <c r="D14344" t="inlineStr">
        <is>
          <t>VÄRMLANDS LÄN</t>
        </is>
      </c>
      <c r="E14344" t="inlineStr">
        <is>
          <t>FORSHAGA</t>
        </is>
      </c>
      <c r="F14344" t="inlineStr">
        <is>
          <t>Bergvik skog väst AB</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16371-2024</t>
        </is>
      </c>
      <c r="B14345" s="1" t="n">
        <v>45407</v>
      </c>
      <c r="C14345" s="1" t="n">
        <v>45736</v>
      </c>
      <c r="D14345" t="inlineStr">
        <is>
          <t>VÄRMLANDS LÄN</t>
        </is>
      </c>
      <c r="E14345" t="inlineStr">
        <is>
          <t>FILIPSTAD</t>
        </is>
      </c>
      <c r="F14345" t="inlineStr">
        <is>
          <t>Bergvik skog väst AB</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16350-2024</t>
        </is>
      </c>
      <c r="B14346" s="1" t="n">
        <v>45407</v>
      </c>
      <c r="C14346" s="1" t="n">
        <v>45736</v>
      </c>
      <c r="D14346" t="inlineStr">
        <is>
          <t>VÄRMLANDS LÄN</t>
        </is>
      </c>
      <c r="E14346" t="inlineStr">
        <is>
          <t>SUNNE</t>
        </is>
      </c>
      <c r="F14346" t="inlineStr">
        <is>
          <t>Bergvik skog väst AB</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16353-2024</t>
        </is>
      </c>
      <c r="B14347" s="1" t="n">
        <v>45407</v>
      </c>
      <c r="C14347" s="1" t="n">
        <v>45736</v>
      </c>
      <c r="D14347" t="inlineStr">
        <is>
          <t>VÄRMLANDS LÄN</t>
        </is>
      </c>
      <c r="E14347" t="inlineStr">
        <is>
          <t>SUNNE</t>
        </is>
      </c>
      <c r="F14347" t="inlineStr">
        <is>
          <t>Bergvik skog väst AB</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16399-2024</t>
        </is>
      </c>
      <c r="B14348" s="1" t="n">
        <v>45407</v>
      </c>
      <c r="C14348" s="1" t="n">
        <v>45736</v>
      </c>
      <c r="D14348" t="inlineStr">
        <is>
          <t>VÄRMLANDS LÄN</t>
        </is>
      </c>
      <c r="E14348" t="inlineStr">
        <is>
          <t>SUNNE</t>
        </is>
      </c>
      <c r="F14348" t="inlineStr">
        <is>
          <t>Bergvik skog väst AB</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16366-2024</t>
        </is>
      </c>
      <c r="B14349" s="1" t="n">
        <v>45407</v>
      </c>
      <c r="C14349" s="1" t="n">
        <v>45736</v>
      </c>
      <c r="D14349" t="inlineStr">
        <is>
          <t>VÄRMLANDS LÄN</t>
        </is>
      </c>
      <c r="E14349" t="inlineStr">
        <is>
          <t>FORSHAGA</t>
        </is>
      </c>
      <c r="F14349" t="inlineStr">
        <is>
          <t>Bergvik skog väst AB</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16382-2024</t>
        </is>
      </c>
      <c r="B14350" s="1" t="n">
        <v>45407</v>
      </c>
      <c r="C14350" s="1" t="n">
        <v>45736</v>
      </c>
      <c r="D14350" t="inlineStr">
        <is>
          <t>VÄRMLANDS LÄN</t>
        </is>
      </c>
      <c r="E14350" t="inlineStr">
        <is>
          <t>SUNNE</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16369-2024</t>
        </is>
      </c>
      <c r="B14351" s="1" t="n">
        <v>45407</v>
      </c>
      <c r="C14351" s="1" t="n">
        <v>45736</v>
      </c>
      <c r="D14351" t="inlineStr">
        <is>
          <t>VÄRMLANDS LÄN</t>
        </is>
      </c>
      <c r="E14351" t="inlineStr">
        <is>
          <t>TORSBY</t>
        </is>
      </c>
      <c r="F14351" t="inlineStr">
        <is>
          <t>Kommuner</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16403-2024</t>
        </is>
      </c>
      <c r="B14352" s="1" t="n">
        <v>45407</v>
      </c>
      <c r="C14352" s="1" t="n">
        <v>45736</v>
      </c>
      <c r="D14352" t="inlineStr">
        <is>
          <t>VÄRMLANDS LÄN</t>
        </is>
      </c>
      <c r="E14352" t="inlineStr">
        <is>
          <t>SUNNE</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16427-2024</t>
        </is>
      </c>
      <c r="B14353" s="1" t="n">
        <v>45407</v>
      </c>
      <c r="C14353" s="1" t="n">
        <v>45736</v>
      </c>
      <c r="D14353" t="inlineStr">
        <is>
          <t>VÄRMLANDS LÄN</t>
        </is>
      </c>
      <c r="E14353" t="inlineStr">
        <is>
          <t>KRISTINEHAMN</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16430-2024</t>
        </is>
      </c>
      <c r="B14354" s="1" t="n">
        <v>45407</v>
      </c>
      <c r="C14354" s="1" t="n">
        <v>45736</v>
      </c>
      <c r="D14354" t="inlineStr">
        <is>
          <t>VÄRMLANDS LÄN</t>
        </is>
      </c>
      <c r="E14354" t="inlineStr">
        <is>
          <t>KRISTINEHAMN</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16332-2024</t>
        </is>
      </c>
      <c r="B14355" s="1" t="n">
        <v>45407</v>
      </c>
      <c r="C14355" s="1" t="n">
        <v>45736</v>
      </c>
      <c r="D14355" t="inlineStr">
        <is>
          <t>VÄRMLANDS LÄN</t>
        </is>
      </c>
      <c r="E14355" t="inlineStr">
        <is>
          <t>ÅRJÄNG</t>
        </is>
      </c>
      <c r="F14355" t="inlineStr">
        <is>
          <t>Kommuner</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16416-2024</t>
        </is>
      </c>
      <c r="B14356" s="1" t="n">
        <v>45407</v>
      </c>
      <c r="C14356" s="1" t="n">
        <v>45736</v>
      </c>
      <c r="D14356" t="inlineStr">
        <is>
          <t>VÄRMLANDS LÄN</t>
        </is>
      </c>
      <c r="E14356" t="inlineStr">
        <is>
          <t>FILIPSTAD</t>
        </is>
      </c>
      <c r="F14356" t="inlineStr">
        <is>
          <t>Bergvik skog väst AB</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16485-2024</t>
        </is>
      </c>
      <c r="B14357" s="1" t="n">
        <v>45408</v>
      </c>
      <c r="C14357" s="1" t="n">
        <v>45736</v>
      </c>
      <c r="D14357" t="inlineStr">
        <is>
          <t>VÄRMLANDS LÄN</t>
        </is>
      </c>
      <c r="E14357" t="inlineStr">
        <is>
          <t>ÅRJÄNG</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16517-2024</t>
        </is>
      </c>
      <c r="B14358" s="1" t="n">
        <v>45408</v>
      </c>
      <c r="C14358" s="1" t="n">
        <v>45736</v>
      </c>
      <c r="D14358" t="inlineStr">
        <is>
          <t>VÄRMLANDS LÄN</t>
        </is>
      </c>
      <c r="E14358" t="inlineStr">
        <is>
          <t>TORSBY</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16569-2024</t>
        </is>
      </c>
      <c r="B14359" s="1" t="n">
        <v>45408</v>
      </c>
      <c r="C14359" s="1" t="n">
        <v>45736</v>
      </c>
      <c r="D14359" t="inlineStr">
        <is>
          <t>VÄRMLANDS LÄN</t>
        </is>
      </c>
      <c r="E14359" t="inlineStr">
        <is>
          <t>ÅRJÄNG</t>
        </is>
      </c>
      <c r="F14359" t="inlineStr">
        <is>
          <t>Bergvik skog väst AB</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16585-2024</t>
        </is>
      </c>
      <c r="B14360" s="1" t="n">
        <v>45408</v>
      </c>
      <c r="C14360" s="1" t="n">
        <v>45736</v>
      </c>
      <c r="D14360" t="inlineStr">
        <is>
          <t>VÄRMLANDS LÄN</t>
        </is>
      </c>
      <c r="E14360" t="inlineStr">
        <is>
          <t>TORSBY</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16589-2024</t>
        </is>
      </c>
      <c r="B14361" s="1" t="n">
        <v>45408</v>
      </c>
      <c r="C14361" s="1" t="n">
        <v>45736</v>
      </c>
      <c r="D14361" t="inlineStr">
        <is>
          <t>VÄRMLANDS LÄN</t>
        </is>
      </c>
      <c r="E14361" t="inlineStr">
        <is>
          <t>ARVIKA</t>
        </is>
      </c>
      <c r="F14361" t="inlineStr">
        <is>
          <t>Bergvik skog väst AB</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16637-2024</t>
        </is>
      </c>
      <c r="B14362" s="1" t="n">
        <v>45408</v>
      </c>
      <c r="C14362" s="1" t="n">
        <v>45736</v>
      </c>
      <c r="D14362" t="inlineStr">
        <is>
          <t>VÄRMLANDS LÄN</t>
        </is>
      </c>
      <c r="E14362" t="inlineStr">
        <is>
          <t>GRUMS</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16649-2024</t>
        </is>
      </c>
      <c r="B14363" s="1" t="n">
        <v>45408</v>
      </c>
      <c r="C14363" s="1" t="n">
        <v>45736</v>
      </c>
      <c r="D14363" t="inlineStr">
        <is>
          <t>VÄRMLANDS LÄN</t>
        </is>
      </c>
      <c r="E14363" t="inlineStr">
        <is>
          <t>HAGFORS</t>
        </is>
      </c>
      <c r="F14363" t="inlineStr">
        <is>
          <t>Bergvik skog väst AB</t>
        </is>
      </c>
      <c r="G14363" t="n">
        <v>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16654-2024</t>
        </is>
      </c>
      <c r="B14364" s="1" t="n">
        <v>45408</v>
      </c>
      <c r="C14364" s="1" t="n">
        <v>45736</v>
      </c>
      <c r="D14364" t="inlineStr">
        <is>
          <t>VÄRMLANDS LÄN</t>
        </is>
      </c>
      <c r="E14364" t="inlineStr">
        <is>
          <t>TORSBY</t>
        </is>
      </c>
      <c r="G14364" t="n">
        <v>6.9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16488-2024</t>
        </is>
      </c>
      <c r="B14365" s="1" t="n">
        <v>45408</v>
      </c>
      <c r="C14365" s="1" t="n">
        <v>45736</v>
      </c>
      <c r="D14365" t="inlineStr">
        <is>
          <t>VÄRMLANDS LÄN</t>
        </is>
      </c>
      <c r="E14365" t="inlineStr">
        <is>
          <t>TORSBY</t>
        </is>
      </c>
      <c r="F14365" t="inlineStr">
        <is>
          <t>Bergvik skog väst AB</t>
        </is>
      </c>
      <c r="G14365" t="n">
        <v>5.6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16496-2024</t>
        </is>
      </c>
      <c r="B14366" s="1" t="n">
        <v>45408</v>
      </c>
      <c r="C14366" s="1" t="n">
        <v>45736</v>
      </c>
      <c r="D14366" t="inlineStr">
        <is>
          <t>VÄRMLANDS LÄN</t>
        </is>
      </c>
      <c r="E14366" t="inlineStr">
        <is>
          <t>FORSHAGA</t>
        </is>
      </c>
      <c r="F14366" t="inlineStr">
        <is>
          <t>Bergvik skog väst AB</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16520-2024</t>
        </is>
      </c>
      <c r="B14367" s="1" t="n">
        <v>45408</v>
      </c>
      <c r="C14367" s="1" t="n">
        <v>45736</v>
      </c>
      <c r="D14367" t="inlineStr">
        <is>
          <t>VÄRMLANDS LÄN</t>
        </is>
      </c>
      <c r="E14367" t="inlineStr">
        <is>
          <t>KARLSTAD</t>
        </is>
      </c>
      <c r="F14367" t="inlineStr">
        <is>
          <t>Övriga statliga verk och myndigheter</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16544-2024</t>
        </is>
      </c>
      <c r="B14368" s="1" t="n">
        <v>45408</v>
      </c>
      <c r="C14368" s="1" t="n">
        <v>45736</v>
      </c>
      <c r="D14368" t="inlineStr">
        <is>
          <t>VÄRMLANDS LÄN</t>
        </is>
      </c>
      <c r="E14368" t="inlineStr">
        <is>
          <t>TORSBY</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16584-2024</t>
        </is>
      </c>
      <c r="B14369" s="1" t="n">
        <v>45408</v>
      </c>
      <c r="C14369" s="1" t="n">
        <v>45736</v>
      </c>
      <c r="D14369" t="inlineStr">
        <is>
          <t>VÄRMLANDS LÄN</t>
        </is>
      </c>
      <c r="E14369" t="inlineStr">
        <is>
          <t>FILIPSTAD</t>
        </is>
      </c>
      <c r="F14369" t="inlineStr">
        <is>
          <t>Bergvik skog väst AB</t>
        </is>
      </c>
      <c r="G14369" t="n">
        <v>6.6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16592-2024</t>
        </is>
      </c>
      <c r="B14370" s="1" t="n">
        <v>45408</v>
      </c>
      <c r="C14370" s="1" t="n">
        <v>45736</v>
      </c>
      <c r="D14370" t="inlineStr">
        <is>
          <t>VÄRMLANDS LÄN</t>
        </is>
      </c>
      <c r="E14370" t="inlineStr">
        <is>
          <t>TORSBY</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16604-2024</t>
        </is>
      </c>
      <c r="B14371" s="1" t="n">
        <v>45408</v>
      </c>
      <c r="C14371" s="1" t="n">
        <v>45736</v>
      </c>
      <c r="D14371" t="inlineStr">
        <is>
          <t>VÄRMLANDS LÄN</t>
        </is>
      </c>
      <c r="E14371" t="inlineStr">
        <is>
          <t>FILIPSTAD</t>
        </is>
      </c>
      <c r="F14371" t="inlineStr">
        <is>
          <t>Bergvik skog väst AB</t>
        </is>
      </c>
      <c r="G14371" t="n">
        <v>13.9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16616-2024</t>
        </is>
      </c>
      <c r="B14372" s="1" t="n">
        <v>45408</v>
      </c>
      <c r="C14372" s="1" t="n">
        <v>45736</v>
      </c>
      <c r="D14372" t="inlineStr">
        <is>
          <t>VÄRMLANDS LÄN</t>
        </is>
      </c>
      <c r="E14372" t="inlineStr">
        <is>
          <t>KARLSTAD</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16636-2024</t>
        </is>
      </c>
      <c r="B14373" s="1" t="n">
        <v>45408</v>
      </c>
      <c r="C14373" s="1" t="n">
        <v>45736</v>
      </c>
      <c r="D14373" t="inlineStr">
        <is>
          <t>VÄRMLANDS LÄN</t>
        </is>
      </c>
      <c r="E14373" t="inlineStr">
        <is>
          <t>GRUMS</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16640-2024</t>
        </is>
      </c>
      <c r="B14374" s="1" t="n">
        <v>45408</v>
      </c>
      <c r="C14374" s="1" t="n">
        <v>45736</v>
      </c>
      <c r="D14374" t="inlineStr">
        <is>
          <t>VÄRMLANDS LÄN</t>
        </is>
      </c>
      <c r="E14374" t="inlineStr">
        <is>
          <t>GRUMS</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16644-2024</t>
        </is>
      </c>
      <c r="B14375" s="1" t="n">
        <v>45408</v>
      </c>
      <c r="C14375" s="1" t="n">
        <v>45736</v>
      </c>
      <c r="D14375" t="inlineStr">
        <is>
          <t>VÄRMLANDS LÄN</t>
        </is>
      </c>
      <c r="E14375" t="inlineStr">
        <is>
          <t>HAGFORS</t>
        </is>
      </c>
      <c r="F14375" t="inlineStr">
        <is>
          <t>Bergvik skog väst AB</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16653-2024</t>
        </is>
      </c>
      <c r="B14376" s="1" t="n">
        <v>45408</v>
      </c>
      <c r="C14376" s="1" t="n">
        <v>45736</v>
      </c>
      <c r="D14376" t="inlineStr">
        <is>
          <t>VÄRMLANDS LÄN</t>
        </is>
      </c>
      <c r="E14376" t="inlineStr">
        <is>
          <t>GRUMS</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16479-2024</t>
        </is>
      </c>
      <c r="B14377" s="1" t="n">
        <v>45408</v>
      </c>
      <c r="C14377" s="1" t="n">
        <v>45736</v>
      </c>
      <c r="D14377" t="inlineStr">
        <is>
          <t>VÄRMLANDS LÄN</t>
        </is>
      </c>
      <c r="E14377" t="inlineStr">
        <is>
          <t>FILIPSTAD</t>
        </is>
      </c>
      <c r="F14377" t="inlineStr">
        <is>
          <t>Bergvik skog väst AB</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16495-2024</t>
        </is>
      </c>
      <c r="B14378" s="1" t="n">
        <v>45408</v>
      </c>
      <c r="C14378" s="1" t="n">
        <v>45736</v>
      </c>
      <c r="D14378" t="inlineStr">
        <is>
          <t>VÄRMLANDS LÄN</t>
        </is>
      </c>
      <c r="E14378" t="inlineStr">
        <is>
          <t>FORSHAGA</t>
        </is>
      </c>
      <c r="F14378" t="inlineStr">
        <is>
          <t>Bergvik skog väst AB</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16515-2024</t>
        </is>
      </c>
      <c r="B14379" s="1" t="n">
        <v>45408</v>
      </c>
      <c r="C14379" s="1" t="n">
        <v>45736</v>
      </c>
      <c r="D14379" t="inlineStr">
        <is>
          <t>VÄRMLANDS LÄN</t>
        </is>
      </c>
      <c r="E14379" t="inlineStr">
        <is>
          <t>KRISTINEHAMN</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16575-2024</t>
        </is>
      </c>
      <c r="B14380" s="1" t="n">
        <v>45408</v>
      </c>
      <c r="C14380" s="1" t="n">
        <v>45736</v>
      </c>
      <c r="D14380" t="inlineStr">
        <is>
          <t>VÄRMLANDS LÄN</t>
        </is>
      </c>
      <c r="E14380" t="inlineStr">
        <is>
          <t>SUNNE</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16579-2024</t>
        </is>
      </c>
      <c r="B14381" s="1" t="n">
        <v>45408</v>
      </c>
      <c r="C14381" s="1" t="n">
        <v>45736</v>
      </c>
      <c r="D14381" t="inlineStr">
        <is>
          <t>VÄRMLANDS LÄN</t>
        </is>
      </c>
      <c r="E14381" t="inlineStr">
        <is>
          <t>ARVIKA</t>
        </is>
      </c>
      <c r="F14381" t="inlineStr">
        <is>
          <t>Bergvik skog väst AB</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16583-2024</t>
        </is>
      </c>
      <c r="B14382" s="1" t="n">
        <v>45408</v>
      </c>
      <c r="C14382" s="1" t="n">
        <v>45736</v>
      </c>
      <c r="D14382" t="inlineStr">
        <is>
          <t>VÄRMLANDS LÄN</t>
        </is>
      </c>
      <c r="E14382" t="inlineStr">
        <is>
          <t>TORSBY</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16591-2024</t>
        </is>
      </c>
      <c r="B14383" s="1" t="n">
        <v>45408</v>
      </c>
      <c r="C14383" s="1" t="n">
        <v>45736</v>
      </c>
      <c r="D14383" t="inlineStr">
        <is>
          <t>VÄRMLANDS LÄN</t>
        </is>
      </c>
      <c r="E14383" t="inlineStr">
        <is>
          <t>TORSBY</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16603-2024</t>
        </is>
      </c>
      <c r="B14384" s="1" t="n">
        <v>45408</v>
      </c>
      <c r="C14384" s="1" t="n">
        <v>45736</v>
      </c>
      <c r="D14384" t="inlineStr">
        <is>
          <t>VÄRMLANDS LÄN</t>
        </is>
      </c>
      <c r="E14384" t="inlineStr">
        <is>
          <t>FILIPSTAD</t>
        </is>
      </c>
      <c r="F14384" t="inlineStr">
        <is>
          <t>Bergvik skog väst AB</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16607-2024</t>
        </is>
      </c>
      <c r="B14385" s="1" t="n">
        <v>45408</v>
      </c>
      <c r="C14385" s="1" t="n">
        <v>45736</v>
      </c>
      <c r="D14385" t="inlineStr">
        <is>
          <t>VÄRMLANDS LÄN</t>
        </is>
      </c>
      <c r="E14385" t="inlineStr">
        <is>
          <t>HAGFORS</t>
        </is>
      </c>
      <c r="F14385" t="inlineStr">
        <is>
          <t>Bergvik skog väst AB</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16635-2024</t>
        </is>
      </c>
      <c r="B14386" s="1" t="n">
        <v>45408</v>
      </c>
      <c r="C14386" s="1" t="n">
        <v>45736</v>
      </c>
      <c r="D14386" t="inlineStr">
        <is>
          <t>VÄRMLANDS LÄN</t>
        </is>
      </c>
      <c r="E14386" t="inlineStr">
        <is>
          <t>GRUMS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16639-2024</t>
        </is>
      </c>
      <c r="B14387" s="1" t="n">
        <v>45408</v>
      </c>
      <c r="C14387" s="1" t="n">
        <v>45736</v>
      </c>
      <c r="D14387" t="inlineStr">
        <is>
          <t>VÄRMLANDS LÄN</t>
        </is>
      </c>
      <c r="E14387" t="inlineStr">
        <is>
          <t>GRUMS</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16486-2024</t>
        </is>
      </c>
      <c r="B14388" s="1" t="n">
        <v>45408</v>
      </c>
      <c r="C14388" s="1" t="n">
        <v>45736</v>
      </c>
      <c r="D14388" t="inlineStr">
        <is>
          <t>VÄRMLANDS LÄN</t>
        </is>
      </c>
      <c r="E14388" t="inlineStr">
        <is>
          <t>EDA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16518-2024</t>
        </is>
      </c>
      <c r="B14389" s="1" t="n">
        <v>45408</v>
      </c>
      <c r="C14389" s="1" t="n">
        <v>45736</v>
      </c>
      <c r="D14389" t="inlineStr">
        <is>
          <t>VÄRMLANDS LÄN</t>
        </is>
      </c>
      <c r="E14389" t="inlineStr">
        <is>
          <t>FORSHAGA</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16526-2024</t>
        </is>
      </c>
      <c r="B14390" s="1" t="n">
        <v>45408</v>
      </c>
      <c r="C14390" s="1" t="n">
        <v>45736</v>
      </c>
      <c r="D14390" t="inlineStr">
        <is>
          <t>VÄRMLANDS LÄN</t>
        </is>
      </c>
      <c r="E14390" t="inlineStr">
        <is>
          <t>FORSHAGA</t>
        </is>
      </c>
      <c r="F14390" t="inlineStr">
        <is>
          <t>Bergvik skog väst AB</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16562-2024</t>
        </is>
      </c>
      <c r="B14391" s="1" t="n">
        <v>45408</v>
      </c>
      <c r="C14391" s="1" t="n">
        <v>45736</v>
      </c>
      <c r="D14391" t="inlineStr">
        <is>
          <t>VÄRMLANDS LÄN</t>
        </is>
      </c>
      <c r="E14391" t="inlineStr">
        <is>
          <t>ÅRJÄNG</t>
        </is>
      </c>
      <c r="F14391" t="inlineStr">
        <is>
          <t>Bergvik skog väst AB</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16578-2024</t>
        </is>
      </c>
      <c r="B14392" s="1" t="n">
        <v>45408</v>
      </c>
      <c r="C14392" s="1" t="n">
        <v>45736</v>
      </c>
      <c r="D14392" t="inlineStr">
        <is>
          <t>VÄRMLANDS LÄN</t>
        </is>
      </c>
      <c r="E14392" t="inlineStr">
        <is>
          <t>SUNNE</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16586-2024</t>
        </is>
      </c>
      <c r="B14393" s="1" t="n">
        <v>45408</v>
      </c>
      <c r="C14393" s="1" t="n">
        <v>45736</v>
      </c>
      <c r="D14393" t="inlineStr">
        <is>
          <t>VÄRMLANDS LÄN</t>
        </is>
      </c>
      <c r="E14393" t="inlineStr">
        <is>
          <t>TORSBY</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16630-2024</t>
        </is>
      </c>
      <c r="B14394" s="1" t="n">
        <v>45408</v>
      </c>
      <c r="C14394" s="1" t="n">
        <v>45736</v>
      </c>
      <c r="D14394" t="inlineStr">
        <is>
          <t>VÄRMLANDS LÄN</t>
        </is>
      </c>
      <c r="E14394" t="inlineStr">
        <is>
          <t>HAGFORS</t>
        </is>
      </c>
      <c r="F14394" t="inlineStr">
        <is>
          <t>Bergvik skog väst AB</t>
        </is>
      </c>
      <c r="G14394" t="n">
        <v>7.8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16685-2024</t>
        </is>
      </c>
      <c r="B14395" s="1" t="n">
        <v>45408</v>
      </c>
      <c r="C14395" s="1" t="n">
        <v>45736</v>
      </c>
      <c r="D14395" t="inlineStr">
        <is>
          <t>VÄRMLANDS LÄN</t>
        </is>
      </c>
      <c r="E14395" t="inlineStr">
        <is>
          <t>ARVIKA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16855-2024</t>
        </is>
      </c>
      <c r="B14396" s="1" t="n">
        <v>45410</v>
      </c>
      <c r="C14396" s="1" t="n">
        <v>45736</v>
      </c>
      <c r="D14396" t="inlineStr">
        <is>
          <t>VÄRMLANDS LÄN</t>
        </is>
      </c>
      <c r="E14396" t="inlineStr">
        <is>
          <t>SÄFFLE</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16739-2024</t>
        </is>
      </c>
      <c r="B14397" s="1" t="n">
        <v>45410</v>
      </c>
      <c r="C14397" s="1" t="n">
        <v>45736</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16731-2024</t>
        </is>
      </c>
      <c r="B14398" s="1" t="n">
        <v>45410</v>
      </c>
      <c r="C14398" s="1" t="n">
        <v>45736</v>
      </c>
      <c r="D14398" t="inlineStr">
        <is>
          <t>VÄRMLANDS LÄN</t>
        </is>
      </c>
      <c r="E14398" t="inlineStr">
        <is>
          <t>ARVIKA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16727-2024</t>
        </is>
      </c>
      <c r="B14399" s="1" t="n">
        <v>45410</v>
      </c>
      <c r="C14399" s="1" t="n">
        <v>45736</v>
      </c>
      <c r="D14399" t="inlineStr">
        <is>
          <t>VÄRMLANDS LÄN</t>
        </is>
      </c>
      <c r="E14399" t="inlineStr">
        <is>
          <t>SUNNE</t>
        </is>
      </c>
      <c r="F14399" t="inlineStr">
        <is>
          <t>Övriga Aktiebolag</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16730-2024</t>
        </is>
      </c>
      <c r="B14400" s="1" t="n">
        <v>45410</v>
      </c>
      <c r="C14400" s="1" t="n">
        <v>45736</v>
      </c>
      <c r="D14400" t="inlineStr">
        <is>
          <t>VÄRMLANDS LÄN</t>
        </is>
      </c>
      <c r="E14400" t="inlineStr">
        <is>
          <t>TORSBY</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16798-2024</t>
        </is>
      </c>
      <c r="B14401" s="1" t="n">
        <v>45411</v>
      </c>
      <c r="C14401" s="1" t="n">
        <v>45736</v>
      </c>
      <c r="D14401" t="inlineStr">
        <is>
          <t>VÄRMLANDS LÄN</t>
        </is>
      </c>
      <c r="E14401" t="inlineStr">
        <is>
          <t>KIL</t>
        </is>
      </c>
      <c r="F14401" t="inlineStr">
        <is>
          <t>Kyrkan</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16946-2024</t>
        </is>
      </c>
      <c r="B14402" s="1" t="n">
        <v>45411</v>
      </c>
      <c r="C14402" s="1" t="n">
        <v>45736</v>
      </c>
      <c r="D14402" t="inlineStr">
        <is>
          <t>VÄRMLANDS LÄN</t>
        </is>
      </c>
      <c r="E14402" t="inlineStr">
        <is>
          <t>FILIPSTAD</t>
        </is>
      </c>
      <c r="G14402" t="n">
        <v>4.5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16815-2024</t>
        </is>
      </c>
      <c r="B14403" s="1" t="n">
        <v>45411</v>
      </c>
      <c r="C14403" s="1" t="n">
        <v>45736</v>
      </c>
      <c r="D14403" t="inlineStr">
        <is>
          <t>VÄRMLANDS LÄN</t>
        </is>
      </c>
      <c r="E14403" t="inlineStr">
        <is>
          <t>ARVIKA</t>
        </is>
      </c>
      <c r="F14403" t="inlineStr">
        <is>
          <t>Bergvik skog väst AB</t>
        </is>
      </c>
      <c r="G14403" t="n">
        <v>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16891-2024</t>
        </is>
      </c>
      <c r="B14404" s="1" t="n">
        <v>45411</v>
      </c>
      <c r="C14404" s="1" t="n">
        <v>45736</v>
      </c>
      <c r="D14404" t="inlineStr">
        <is>
          <t>VÄRMLANDS LÄN</t>
        </is>
      </c>
      <c r="E14404" t="inlineStr">
        <is>
          <t>TORSBY</t>
        </is>
      </c>
      <c r="F14404" t="inlineStr">
        <is>
          <t>Bergvik skog väst AB</t>
        </is>
      </c>
      <c r="G14404" t="n">
        <v>8.5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16931-2024</t>
        </is>
      </c>
      <c r="B14405" s="1" t="n">
        <v>45411</v>
      </c>
      <c r="C14405" s="1" t="n">
        <v>45736</v>
      </c>
      <c r="D14405" t="inlineStr">
        <is>
          <t>VÄRMLANDS LÄN</t>
        </is>
      </c>
      <c r="E14405" t="inlineStr">
        <is>
          <t>STORFORS</t>
        </is>
      </c>
      <c r="F14405" t="inlineStr">
        <is>
          <t>Bergvik skog väst AB</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16955-2024</t>
        </is>
      </c>
      <c r="B14406" s="1" t="n">
        <v>45411</v>
      </c>
      <c r="C14406" s="1" t="n">
        <v>45736</v>
      </c>
      <c r="D14406" t="inlineStr">
        <is>
          <t>VÄRMLANDS LÄN</t>
        </is>
      </c>
      <c r="E14406" t="inlineStr">
        <is>
          <t>HAGFORS</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16958-2024</t>
        </is>
      </c>
      <c r="B14407" s="1" t="n">
        <v>45411</v>
      </c>
      <c r="C14407" s="1" t="n">
        <v>45736</v>
      </c>
      <c r="D14407" t="inlineStr">
        <is>
          <t>VÄRMLANDS LÄN</t>
        </is>
      </c>
      <c r="E14407" t="inlineStr">
        <is>
          <t>SÄFFLE</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16886-2024</t>
        </is>
      </c>
      <c r="B14408" s="1" t="n">
        <v>45411</v>
      </c>
      <c r="C14408" s="1" t="n">
        <v>45736</v>
      </c>
      <c r="D14408" t="inlineStr">
        <is>
          <t>VÄRMLANDS LÄN</t>
        </is>
      </c>
      <c r="E14408" t="inlineStr">
        <is>
          <t>SUNNE</t>
        </is>
      </c>
      <c r="F14408" t="inlineStr">
        <is>
          <t>Bergvik skog väst AB</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16882-2024</t>
        </is>
      </c>
      <c r="B14409" s="1" t="n">
        <v>45411</v>
      </c>
      <c r="C14409" s="1" t="n">
        <v>45736</v>
      </c>
      <c r="D14409" t="inlineStr">
        <is>
          <t>VÄRMLANDS LÄN</t>
        </is>
      </c>
      <c r="E14409" t="inlineStr">
        <is>
          <t>SUNNE</t>
        </is>
      </c>
      <c r="F14409" t="inlineStr">
        <is>
          <t>Bergvik skog väst AB</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16839-2024</t>
        </is>
      </c>
      <c r="B14410" s="1" t="n">
        <v>45411</v>
      </c>
      <c r="C14410" s="1" t="n">
        <v>45736</v>
      </c>
      <c r="D14410" t="inlineStr">
        <is>
          <t>VÄRMLANDS LÄN</t>
        </is>
      </c>
      <c r="E14410" t="inlineStr">
        <is>
          <t>FILIPSTAD</t>
        </is>
      </c>
      <c r="F14410" t="inlineStr">
        <is>
          <t>Bergvik skog väst AB</t>
        </is>
      </c>
      <c r="G14410" t="n">
        <v>9.1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16806-2024</t>
        </is>
      </c>
      <c r="B14411" s="1" t="n">
        <v>45411</v>
      </c>
      <c r="C14411" s="1" t="n">
        <v>45736</v>
      </c>
      <c r="D14411" t="inlineStr">
        <is>
          <t>VÄRMLANDS LÄN</t>
        </is>
      </c>
      <c r="E14411" t="inlineStr">
        <is>
          <t>ÅRJÄNG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16896-2024</t>
        </is>
      </c>
      <c r="B14412" s="1" t="n">
        <v>45411</v>
      </c>
      <c r="C14412" s="1" t="n">
        <v>45736</v>
      </c>
      <c r="D14412" t="inlineStr">
        <is>
          <t>VÄRMLANDS LÄN</t>
        </is>
      </c>
      <c r="E14412" t="inlineStr">
        <is>
          <t>SUNNE</t>
        </is>
      </c>
      <c r="F14412" t="inlineStr">
        <is>
          <t>Bergvik skog väst AB</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16961-2024</t>
        </is>
      </c>
      <c r="B14413" s="1" t="n">
        <v>45412</v>
      </c>
      <c r="C14413" s="1" t="n">
        <v>45736</v>
      </c>
      <c r="D14413" t="inlineStr">
        <is>
          <t>VÄRMLANDS LÄN</t>
        </is>
      </c>
      <c r="E14413" t="inlineStr">
        <is>
          <t>TORSBY</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16929-2024</t>
        </is>
      </c>
      <c r="B14414" s="1" t="n">
        <v>45411</v>
      </c>
      <c r="C14414" s="1" t="n">
        <v>45736</v>
      </c>
      <c r="D14414" t="inlineStr">
        <is>
          <t>VÄRMLANDS LÄN</t>
        </is>
      </c>
      <c r="E14414" t="inlineStr">
        <is>
          <t>FILIPSTAD</t>
        </is>
      </c>
      <c r="F14414" t="inlineStr">
        <is>
          <t>Bergvik skog väst AB</t>
        </is>
      </c>
      <c r="G14414" t="n">
        <v>12.2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16884-2024</t>
        </is>
      </c>
      <c r="B14415" s="1" t="n">
        <v>45411</v>
      </c>
      <c r="C14415" s="1" t="n">
        <v>45736</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16841-2024</t>
        </is>
      </c>
      <c r="B14416" s="1" t="n">
        <v>45411</v>
      </c>
      <c r="C14416" s="1" t="n">
        <v>45736</v>
      </c>
      <c r="D14416" t="inlineStr">
        <is>
          <t>VÄRMLANDS LÄN</t>
        </is>
      </c>
      <c r="E14416" t="inlineStr">
        <is>
          <t>TORSBY</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16816-2024</t>
        </is>
      </c>
      <c r="B14417" s="1" t="n">
        <v>45411</v>
      </c>
      <c r="C14417" s="1" t="n">
        <v>45736</v>
      </c>
      <c r="D14417" t="inlineStr">
        <is>
          <t>VÄRMLANDS LÄN</t>
        </is>
      </c>
      <c r="E14417" t="inlineStr">
        <is>
          <t>SUNNE</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16780-2024</t>
        </is>
      </c>
      <c r="B14418" s="1" t="n">
        <v>45411</v>
      </c>
      <c r="C14418" s="1" t="n">
        <v>45736</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16772-2024</t>
        </is>
      </c>
      <c r="B14419" s="1" t="n">
        <v>45411</v>
      </c>
      <c r="C14419" s="1" t="n">
        <v>45736</v>
      </c>
      <c r="D14419" t="inlineStr">
        <is>
          <t>VÄRMLANDS LÄN</t>
        </is>
      </c>
      <c r="E14419" t="inlineStr">
        <is>
          <t>GRUMS</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16764-2024</t>
        </is>
      </c>
      <c r="B14420" s="1" t="n">
        <v>45411</v>
      </c>
      <c r="C14420" s="1" t="n">
        <v>45736</v>
      </c>
      <c r="D14420" t="inlineStr">
        <is>
          <t>VÄRMLANDS LÄN</t>
        </is>
      </c>
      <c r="E14420" t="inlineStr">
        <is>
          <t>ARVIKA</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16748-2024</t>
        </is>
      </c>
      <c r="B14421" s="1" t="n">
        <v>45411</v>
      </c>
      <c r="C14421" s="1" t="n">
        <v>45736</v>
      </c>
      <c r="D14421" t="inlineStr">
        <is>
          <t>VÄRMLANDS LÄN</t>
        </is>
      </c>
      <c r="E14421" t="inlineStr">
        <is>
          <t>KRISTINEHAMN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16904-2024</t>
        </is>
      </c>
      <c r="B14422" s="1" t="n">
        <v>45411</v>
      </c>
      <c r="C14422" s="1" t="n">
        <v>45736</v>
      </c>
      <c r="D14422" t="inlineStr">
        <is>
          <t>VÄRMLANDS LÄN</t>
        </is>
      </c>
      <c r="E14422" t="inlineStr">
        <is>
          <t>MUNKFORS</t>
        </is>
      </c>
      <c r="F14422" t="inlineStr">
        <is>
          <t>Bergvik skog väst AB</t>
        </is>
      </c>
      <c r="G14422" t="n">
        <v>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16952-2024</t>
        </is>
      </c>
      <c r="B14423" s="1" t="n">
        <v>45411</v>
      </c>
      <c r="C14423" s="1" t="n">
        <v>45736</v>
      </c>
      <c r="D14423" t="inlineStr">
        <is>
          <t>VÄRMLANDS LÄN</t>
        </is>
      </c>
      <c r="E14423" t="inlineStr">
        <is>
          <t>KARLSTAD</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16944-2024</t>
        </is>
      </c>
      <c r="B14424" s="1" t="n">
        <v>45411</v>
      </c>
      <c r="C14424" s="1" t="n">
        <v>45736</v>
      </c>
      <c r="D14424" t="inlineStr">
        <is>
          <t>VÄRMLANDS LÄN</t>
        </is>
      </c>
      <c r="E14424" t="inlineStr">
        <is>
          <t>ARVIKA</t>
        </is>
      </c>
      <c r="F14424" t="inlineStr">
        <is>
          <t>Bergvik skog väst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16916-2024</t>
        </is>
      </c>
      <c r="B14425" s="1" t="n">
        <v>45411</v>
      </c>
      <c r="C14425" s="1" t="n">
        <v>45736</v>
      </c>
      <c r="D14425" t="inlineStr">
        <is>
          <t>VÄRMLANDS LÄN</t>
        </is>
      </c>
      <c r="E14425" t="inlineStr">
        <is>
          <t>STORFORS</t>
        </is>
      </c>
      <c r="F14425" t="inlineStr">
        <is>
          <t>Bergvik skog väst AB</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16826-2024</t>
        </is>
      </c>
      <c r="B14426" s="1" t="n">
        <v>45411</v>
      </c>
      <c r="C14426" s="1" t="n">
        <v>45736</v>
      </c>
      <c r="D14426" t="inlineStr">
        <is>
          <t>VÄRMLANDS LÄN</t>
        </is>
      </c>
      <c r="E14426" t="inlineStr">
        <is>
          <t>SUNNE</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16789-2024</t>
        </is>
      </c>
      <c r="B14427" s="1" t="n">
        <v>45411</v>
      </c>
      <c r="C14427" s="1" t="n">
        <v>45736</v>
      </c>
      <c r="D14427" t="inlineStr">
        <is>
          <t>VÄRMLANDS LÄN</t>
        </is>
      </c>
      <c r="E14427" t="inlineStr">
        <is>
          <t>TORSBY</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16786-2024</t>
        </is>
      </c>
      <c r="B14428" s="1" t="n">
        <v>45411</v>
      </c>
      <c r="C14428" s="1" t="n">
        <v>45736</v>
      </c>
      <c r="D14428" t="inlineStr">
        <is>
          <t>VÄRMLANDS LÄN</t>
        </is>
      </c>
      <c r="E14428" t="inlineStr">
        <is>
          <t>HAGFORS</t>
        </is>
      </c>
      <c r="F14428" t="inlineStr">
        <is>
          <t>Bergvik skog väst AB</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16762-2024</t>
        </is>
      </c>
      <c r="B14429" s="1" t="n">
        <v>45411</v>
      </c>
      <c r="C14429" s="1" t="n">
        <v>45736</v>
      </c>
      <c r="D14429" t="inlineStr">
        <is>
          <t>VÄRMLANDS LÄN</t>
        </is>
      </c>
      <c r="E14429" t="inlineStr">
        <is>
          <t>FILIPSTAD</t>
        </is>
      </c>
      <c r="F14429" t="inlineStr">
        <is>
          <t>Bergvik skog väst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16750-2024</t>
        </is>
      </c>
      <c r="B14430" s="1" t="n">
        <v>45411</v>
      </c>
      <c r="C14430" s="1" t="n">
        <v>45736</v>
      </c>
      <c r="D14430" t="inlineStr">
        <is>
          <t>VÄRMLANDS LÄN</t>
        </is>
      </c>
      <c r="E14430" t="inlineStr">
        <is>
          <t>SÄFFLE</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16757-2024</t>
        </is>
      </c>
      <c r="B14431" s="1" t="n">
        <v>45411</v>
      </c>
      <c r="C14431" s="1" t="n">
        <v>45736</v>
      </c>
      <c r="D14431" t="inlineStr">
        <is>
          <t>VÄRMLANDS LÄN</t>
        </is>
      </c>
      <c r="E14431" t="inlineStr">
        <is>
          <t>KARLSTAD</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17008-2024</t>
        </is>
      </c>
      <c r="B14432" s="1" t="n">
        <v>45412</v>
      </c>
      <c r="C14432" s="1" t="n">
        <v>45736</v>
      </c>
      <c r="D14432" t="inlineStr">
        <is>
          <t>VÄRMLANDS LÄN</t>
        </is>
      </c>
      <c r="E14432" t="inlineStr">
        <is>
          <t>TORSBY</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17001-2024</t>
        </is>
      </c>
      <c r="B14433" s="1" t="n">
        <v>45412</v>
      </c>
      <c r="C14433" s="1" t="n">
        <v>45736</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17033-2024</t>
        </is>
      </c>
      <c r="B14434" s="1" t="n">
        <v>45412</v>
      </c>
      <c r="C14434" s="1" t="n">
        <v>45736</v>
      </c>
      <c r="D14434" t="inlineStr">
        <is>
          <t>VÄRMLANDS LÄN</t>
        </is>
      </c>
      <c r="E14434" t="inlineStr">
        <is>
          <t>ARVIKA</t>
        </is>
      </c>
      <c r="F14434" t="inlineStr">
        <is>
          <t>Bergvik skog väst AB</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17083-2024</t>
        </is>
      </c>
      <c r="B14435" s="1" t="n">
        <v>45412</v>
      </c>
      <c r="C14435" s="1" t="n">
        <v>45736</v>
      </c>
      <c r="D14435" t="inlineStr">
        <is>
          <t>VÄRMLANDS LÄN</t>
        </is>
      </c>
      <c r="E14435" t="inlineStr">
        <is>
          <t>TORSBY</t>
        </is>
      </c>
      <c r="F14435" t="inlineStr">
        <is>
          <t>Bergvik skog väst AB</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17124-2024</t>
        </is>
      </c>
      <c r="B14436" s="1" t="n">
        <v>45412</v>
      </c>
      <c r="C14436" s="1" t="n">
        <v>45736</v>
      </c>
      <c r="D14436" t="inlineStr">
        <is>
          <t>VÄRMLANDS LÄN</t>
        </is>
      </c>
      <c r="E14436" t="inlineStr">
        <is>
          <t>SUNNE</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17128-2024</t>
        </is>
      </c>
      <c r="B14437" s="1" t="n">
        <v>45412</v>
      </c>
      <c r="C14437" s="1" t="n">
        <v>45736</v>
      </c>
      <c r="D14437" t="inlineStr">
        <is>
          <t>VÄRMLANDS LÄN</t>
        </is>
      </c>
      <c r="E14437" t="inlineStr">
        <is>
          <t>EDA</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17132-2024</t>
        </is>
      </c>
      <c r="B14438" s="1" t="n">
        <v>45412</v>
      </c>
      <c r="C14438" s="1" t="n">
        <v>45736</v>
      </c>
      <c r="D14438" t="inlineStr">
        <is>
          <t>VÄRMLANDS LÄN</t>
        </is>
      </c>
      <c r="E14438" t="inlineStr">
        <is>
          <t>SUNNE</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17122-2024</t>
        </is>
      </c>
      <c r="B14439" s="1" t="n">
        <v>45412</v>
      </c>
      <c r="C14439" s="1" t="n">
        <v>45736</v>
      </c>
      <c r="D14439" t="inlineStr">
        <is>
          <t>VÄRMLANDS LÄN</t>
        </is>
      </c>
      <c r="E14439" t="inlineStr">
        <is>
          <t>GRUMS</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17118-2024</t>
        </is>
      </c>
      <c r="B14440" s="1" t="n">
        <v>45412</v>
      </c>
      <c r="C14440" s="1" t="n">
        <v>45736</v>
      </c>
      <c r="D14440" t="inlineStr">
        <is>
          <t>VÄRMLANDS LÄN</t>
        </is>
      </c>
      <c r="E14440" t="inlineStr">
        <is>
          <t>ARVIKA</t>
        </is>
      </c>
      <c r="F14440" t="inlineStr">
        <is>
          <t>Bergvik skog väst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17093-2024</t>
        </is>
      </c>
      <c r="B14441" s="1" t="n">
        <v>45412</v>
      </c>
      <c r="C14441" s="1" t="n">
        <v>45736</v>
      </c>
      <c r="D14441" t="inlineStr">
        <is>
          <t>VÄRMLANDS LÄN</t>
        </is>
      </c>
      <c r="E14441" t="inlineStr">
        <is>
          <t>SÄFFLE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17081-2024</t>
        </is>
      </c>
      <c r="B14442" s="1" t="n">
        <v>45412</v>
      </c>
      <c r="C14442" s="1" t="n">
        <v>45736</v>
      </c>
      <c r="D14442" t="inlineStr">
        <is>
          <t>VÄRMLANDS LÄN</t>
        </is>
      </c>
      <c r="E14442" t="inlineStr">
        <is>
          <t>GRUMS</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17067-2024</t>
        </is>
      </c>
      <c r="B14443" s="1" t="n">
        <v>45412</v>
      </c>
      <c r="C14443" s="1" t="n">
        <v>45736</v>
      </c>
      <c r="D14443" t="inlineStr">
        <is>
          <t>VÄRMLANDS LÄN</t>
        </is>
      </c>
      <c r="E14443" t="inlineStr">
        <is>
          <t>EDA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17028-2024</t>
        </is>
      </c>
      <c r="B14444" s="1" t="n">
        <v>45412</v>
      </c>
      <c r="C14444" s="1" t="n">
        <v>45736</v>
      </c>
      <c r="D14444" t="inlineStr">
        <is>
          <t>VÄRMLANDS LÄN</t>
        </is>
      </c>
      <c r="E14444" t="inlineStr">
        <is>
          <t>EDA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17024-2024</t>
        </is>
      </c>
      <c r="B14445" s="1" t="n">
        <v>45412</v>
      </c>
      <c r="C14445" s="1" t="n">
        <v>45736</v>
      </c>
      <c r="D14445" t="inlineStr">
        <is>
          <t>VÄRMLANDS LÄN</t>
        </is>
      </c>
      <c r="E14445" t="inlineStr">
        <is>
          <t>TORSBY</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17017-2024</t>
        </is>
      </c>
      <c r="B14446" s="1" t="n">
        <v>45412</v>
      </c>
      <c r="C14446" s="1" t="n">
        <v>45736</v>
      </c>
      <c r="D14446" t="inlineStr">
        <is>
          <t>VÄRMLANDS LÄN</t>
        </is>
      </c>
      <c r="E14446" t="inlineStr">
        <is>
          <t>TORSBY</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17135-2024</t>
        </is>
      </c>
      <c r="B14447" s="1" t="n">
        <v>45412</v>
      </c>
      <c r="C14447" s="1" t="n">
        <v>45736</v>
      </c>
      <c r="D14447" t="inlineStr">
        <is>
          <t>VÄRMLANDS LÄN</t>
        </is>
      </c>
      <c r="E14447" t="inlineStr">
        <is>
          <t>EDA</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17086-2024</t>
        </is>
      </c>
      <c r="B14448" s="1" t="n">
        <v>45412</v>
      </c>
      <c r="C14448" s="1" t="n">
        <v>45736</v>
      </c>
      <c r="D14448" t="inlineStr">
        <is>
          <t>VÄRMLANDS LÄN</t>
        </is>
      </c>
      <c r="E14448" t="inlineStr">
        <is>
          <t>GRUMS</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17045-2024</t>
        </is>
      </c>
      <c r="B14449" s="1" t="n">
        <v>45412</v>
      </c>
      <c r="C14449" s="1" t="n">
        <v>45736</v>
      </c>
      <c r="D14449" t="inlineStr">
        <is>
          <t>VÄRMLANDS LÄN</t>
        </is>
      </c>
      <c r="E14449" t="inlineStr">
        <is>
          <t>ARVIKA</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17041-2024</t>
        </is>
      </c>
      <c r="B14450" s="1" t="n">
        <v>45412</v>
      </c>
      <c r="C14450" s="1" t="n">
        <v>45736</v>
      </c>
      <c r="D14450" t="inlineStr">
        <is>
          <t>VÄRMLANDS LÄN</t>
        </is>
      </c>
      <c r="E14450" t="inlineStr">
        <is>
          <t>EDA</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17133-2024</t>
        </is>
      </c>
      <c r="B14451" s="1" t="n">
        <v>45412</v>
      </c>
      <c r="C14451" s="1" t="n">
        <v>45736</v>
      </c>
      <c r="D14451" t="inlineStr">
        <is>
          <t>VÄRMLANDS LÄN</t>
        </is>
      </c>
      <c r="E14451" t="inlineStr">
        <is>
          <t>EDA</t>
        </is>
      </c>
      <c r="G14451" t="n">
        <v>8.1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17100-2024</t>
        </is>
      </c>
      <c r="B14452" s="1" t="n">
        <v>45412</v>
      </c>
      <c r="C14452" s="1" t="n">
        <v>45736</v>
      </c>
      <c r="D14452" t="inlineStr">
        <is>
          <t>VÄRMLANDS LÄN</t>
        </is>
      </c>
      <c r="E14452" t="inlineStr">
        <is>
          <t>EDA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17080-2024</t>
        </is>
      </c>
      <c r="B14453" s="1" t="n">
        <v>45412</v>
      </c>
      <c r="C14453" s="1" t="n">
        <v>45736</v>
      </c>
      <c r="D14453" t="inlineStr">
        <is>
          <t>VÄRMLANDS LÄN</t>
        </is>
      </c>
      <c r="E14453" t="inlineStr">
        <is>
          <t>ARVIKA</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17047-2024</t>
        </is>
      </c>
      <c r="B14454" s="1" t="n">
        <v>45412</v>
      </c>
      <c r="C14454" s="1" t="n">
        <v>45736</v>
      </c>
      <c r="D14454" t="inlineStr">
        <is>
          <t>VÄRMLANDS LÄN</t>
        </is>
      </c>
      <c r="E14454" t="inlineStr">
        <is>
          <t>TORSBY</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17003-2024</t>
        </is>
      </c>
      <c r="B14455" s="1" t="n">
        <v>45412</v>
      </c>
      <c r="C14455" s="1" t="n">
        <v>45736</v>
      </c>
      <c r="D14455" t="inlineStr">
        <is>
          <t>VÄRMLANDS LÄN</t>
        </is>
      </c>
      <c r="E14455" t="inlineStr">
        <is>
          <t>EDA</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17011-2024</t>
        </is>
      </c>
      <c r="B14456" s="1" t="n">
        <v>45412</v>
      </c>
      <c r="C14456" s="1" t="n">
        <v>45736</v>
      </c>
      <c r="D14456" t="inlineStr">
        <is>
          <t>VÄRMLANDS LÄN</t>
        </is>
      </c>
      <c r="E14456" t="inlineStr">
        <is>
          <t>ARVIKA</t>
        </is>
      </c>
      <c r="F14456" t="inlineStr">
        <is>
          <t>Bergvik skog väst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17197-2024</t>
        </is>
      </c>
      <c r="B14457" s="1" t="n">
        <v>45413</v>
      </c>
      <c r="C14457" s="1" t="n">
        <v>45736</v>
      </c>
      <c r="D14457" t="inlineStr">
        <is>
          <t>VÄRMLANDS LÄN</t>
        </is>
      </c>
      <c r="E14457" t="inlineStr">
        <is>
          <t>KIL</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17244-2024</t>
        </is>
      </c>
      <c r="B14458" s="1" t="n">
        <v>45414</v>
      </c>
      <c r="C14458" s="1" t="n">
        <v>45736</v>
      </c>
      <c r="D14458" t="inlineStr">
        <is>
          <t>VÄRMLANDS LÄN</t>
        </is>
      </c>
      <c r="E14458" t="inlineStr">
        <is>
          <t>FILIPSTAD</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17284-2024</t>
        </is>
      </c>
      <c r="B14459" s="1" t="n">
        <v>45414</v>
      </c>
      <c r="C14459" s="1" t="n">
        <v>45736</v>
      </c>
      <c r="D14459" t="inlineStr">
        <is>
          <t>VÄRMLANDS LÄN</t>
        </is>
      </c>
      <c r="E14459" t="inlineStr">
        <is>
          <t>SUNNE</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17265-2024</t>
        </is>
      </c>
      <c r="B14460" s="1" t="n">
        <v>45414</v>
      </c>
      <c r="C14460" s="1" t="n">
        <v>45736</v>
      </c>
      <c r="D14460" t="inlineStr">
        <is>
          <t>VÄRMLANDS LÄN</t>
        </is>
      </c>
      <c r="E14460" t="inlineStr">
        <is>
          <t>TORSBY</t>
        </is>
      </c>
      <c r="F14460" t="inlineStr">
        <is>
          <t>Bergvik skog väst AB</t>
        </is>
      </c>
      <c r="G14460" t="n">
        <v>23.9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17273-2024</t>
        </is>
      </c>
      <c r="B14461" s="1" t="n">
        <v>45414</v>
      </c>
      <c r="C14461" s="1" t="n">
        <v>45736</v>
      </c>
      <c r="D14461" t="inlineStr">
        <is>
          <t>VÄRMLANDS LÄN</t>
        </is>
      </c>
      <c r="E14461" t="inlineStr">
        <is>
          <t>FILIPSTAD</t>
        </is>
      </c>
      <c r="F14461" t="inlineStr">
        <is>
          <t>Bergvik skog väst AB</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17281-2024</t>
        </is>
      </c>
      <c r="B14462" s="1" t="n">
        <v>45414</v>
      </c>
      <c r="C14462" s="1" t="n">
        <v>45736</v>
      </c>
      <c r="D14462" t="inlineStr">
        <is>
          <t>VÄRMLANDS LÄN</t>
        </is>
      </c>
      <c r="E14462" t="inlineStr">
        <is>
          <t>FILIPSTAD</t>
        </is>
      </c>
      <c r="F14462" t="inlineStr">
        <is>
          <t>Bergvik skog väst AB</t>
        </is>
      </c>
      <c r="G14462" t="n">
        <v>7.9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17285-2024</t>
        </is>
      </c>
      <c r="B14463" s="1" t="n">
        <v>45414</v>
      </c>
      <c r="C14463" s="1" t="n">
        <v>45736</v>
      </c>
      <c r="D14463" t="inlineStr">
        <is>
          <t>VÄRMLANDS LÄN</t>
        </is>
      </c>
      <c r="E14463" t="inlineStr">
        <is>
          <t>TORSBY</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17297-2024</t>
        </is>
      </c>
      <c r="B14464" s="1" t="n">
        <v>45414</v>
      </c>
      <c r="C14464" s="1" t="n">
        <v>45736</v>
      </c>
      <c r="D14464" t="inlineStr">
        <is>
          <t>VÄRMLANDS LÄN</t>
        </is>
      </c>
      <c r="E14464" t="inlineStr">
        <is>
          <t>HAGFORS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17329-2024</t>
        </is>
      </c>
      <c r="B14465" s="1" t="n">
        <v>45414</v>
      </c>
      <c r="C14465" s="1" t="n">
        <v>45736</v>
      </c>
      <c r="D14465" t="inlineStr">
        <is>
          <t>VÄRMLANDS LÄN</t>
        </is>
      </c>
      <c r="E14465" t="inlineStr">
        <is>
          <t>HAGFORS</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17359-2024</t>
        </is>
      </c>
      <c r="B14466" s="1" t="n">
        <v>45414</v>
      </c>
      <c r="C14466" s="1" t="n">
        <v>45736</v>
      </c>
      <c r="D14466" t="inlineStr">
        <is>
          <t>VÄRMLANDS LÄN</t>
        </is>
      </c>
      <c r="E14466" t="inlineStr">
        <is>
          <t>ARVIKA</t>
        </is>
      </c>
      <c r="F14466" t="inlineStr">
        <is>
          <t>Bergvik skog väst AB</t>
        </is>
      </c>
      <c r="G14466" t="n">
        <v>9.800000000000001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17233-2024</t>
        </is>
      </c>
      <c r="B14467" s="1" t="n">
        <v>45414</v>
      </c>
      <c r="C14467" s="1" t="n">
        <v>45736</v>
      </c>
      <c r="D14467" t="inlineStr">
        <is>
          <t>VÄRMLANDS LÄN</t>
        </is>
      </c>
      <c r="E14467" t="inlineStr">
        <is>
          <t>TORSBY</t>
        </is>
      </c>
      <c r="G14467" t="n">
        <v>6.9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17286-2024</t>
        </is>
      </c>
      <c r="B14468" s="1" t="n">
        <v>45414</v>
      </c>
      <c r="C14468" s="1" t="n">
        <v>45736</v>
      </c>
      <c r="D14468" t="inlineStr">
        <is>
          <t>VÄRMLANDS LÄN</t>
        </is>
      </c>
      <c r="E14468" t="inlineStr">
        <is>
          <t>HAGFORS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17387-2024</t>
        </is>
      </c>
      <c r="B14469" s="1" t="n">
        <v>45414</v>
      </c>
      <c r="C14469" s="1" t="n">
        <v>45736</v>
      </c>
      <c r="D14469" t="inlineStr">
        <is>
          <t>VÄRMLANDS LÄN</t>
        </is>
      </c>
      <c r="E14469" t="inlineStr">
        <is>
          <t>ARVIKA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17390-2024</t>
        </is>
      </c>
      <c r="B14470" s="1" t="n">
        <v>45414</v>
      </c>
      <c r="C14470" s="1" t="n">
        <v>45736</v>
      </c>
      <c r="D14470" t="inlineStr">
        <is>
          <t>VÄRMLANDS LÄN</t>
        </is>
      </c>
      <c r="E14470" t="inlineStr">
        <is>
          <t>TORSBY</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17398-2024</t>
        </is>
      </c>
      <c r="B14471" s="1" t="n">
        <v>45414</v>
      </c>
      <c r="C14471" s="1" t="n">
        <v>45736</v>
      </c>
      <c r="D14471" t="inlineStr">
        <is>
          <t>VÄRMLANDS LÄN</t>
        </is>
      </c>
      <c r="E14471" t="inlineStr">
        <is>
          <t>KRISTINEHAMN</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17401-2024</t>
        </is>
      </c>
      <c r="B14472" s="1" t="n">
        <v>45414</v>
      </c>
      <c r="C14472" s="1" t="n">
        <v>45736</v>
      </c>
      <c r="D14472" t="inlineStr">
        <is>
          <t>VÄRMLANDS LÄN</t>
        </is>
      </c>
      <c r="E14472" t="inlineStr">
        <is>
          <t>KRISTINEHAMN</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17466-2024</t>
        </is>
      </c>
      <c r="B14473" s="1" t="n">
        <v>45414</v>
      </c>
      <c r="C14473" s="1" t="n">
        <v>45736</v>
      </c>
      <c r="D14473" t="inlineStr">
        <is>
          <t>VÄRMLANDS LÄN</t>
        </is>
      </c>
      <c r="E14473" t="inlineStr">
        <is>
          <t>KRISTINEHAMN</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17364-2024</t>
        </is>
      </c>
      <c r="B14474" s="1" t="n">
        <v>45414</v>
      </c>
      <c r="C14474" s="1" t="n">
        <v>45736</v>
      </c>
      <c r="D14474" t="inlineStr">
        <is>
          <t>VÄRMLANDS LÄN</t>
        </is>
      </c>
      <c r="E14474" t="inlineStr">
        <is>
          <t>TORSBY</t>
        </is>
      </c>
      <c r="F14474" t="inlineStr">
        <is>
          <t>Bergvik skog väst AB</t>
        </is>
      </c>
      <c r="G14474" t="n">
        <v>5.4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17459-2024</t>
        </is>
      </c>
      <c r="B14475" s="1" t="n">
        <v>45415</v>
      </c>
      <c r="C14475" s="1" t="n">
        <v>45736</v>
      </c>
      <c r="D14475" t="inlineStr">
        <is>
          <t>VÄRMLANDS LÄN</t>
        </is>
      </c>
      <c r="E14475" t="inlineStr">
        <is>
          <t>KARLSTAD</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17487-2024</t>
        </is>
      </c>
      <c r="B14476" s="1" t="n">
        <v>45415</v>
      </c>
      <c r="C14476" s="1" t="n">
        <v>45736</v>
      </c>
      <c r="D14476" t="inlineStr">
        <is>
          <t>VÄRMLANDS LÄN</t>
        </is>
      </c>
      <c r="E14476" t="inlineStr">
        <is>
          <t>EDA</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17519-2024</t>
        </is>
      </c>
      <c r="B14477" s="1" t="n">
        <v>45415</v>
      </c>
      <c r="C14477" s="1" t="n">
        <v>45736</v>
      </c>
      <c r="D14477" t="inlineStr">
        <is>
          <t>VÄRMLANDS LÄN</t>
        </is>
      </c>
      <c r="E14477" t="inlineStr">
        <is>
          <t>FORSHAGA</t>
        </is>
      </c>
      <c r="F14477" t="inlineStr">
        <is>
          <t>Bergvik skog väst AB</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17523-2024</t>
        </is>
      </c>
      <c r="B14478" s="1" t="n">
        <v>45415</v>
      </c>
      <c r="C14478" s="1" t="n">
        <v>45736</v>
      </c>
      <c r="D14478" t="inlineStr">
        <is>
          <t>VÄRMLANDS LÄN</t>
        </is>
      </c>
      <c r="E14478" t="inlineStr">
        <is>
          <t>FILIPSTAD</t>
        </is>
      </c>
      <c r="F14478" t="inlineStr">
        <is>
          <t>Kyrkan</t>
        </is>
      </c>
      <c r="G14478" t="n">
        <v>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17556-2024</t>
        </is>
      </c>
      <c r="B14479" s="1" t="n">
        <v>45415</v>
      </c>
      <c r="C14479" s="1" t="n">
        <v>45736</v>
      </c>
      <c r="D14479" t="inlineStr">
        <is>
          <t>VÄRMLANDS LÄN</t>
        </is>
      </c>
      <c r="E14479" t="inlineStr">
        <is>
          <t>TORSBY</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17441-2024</t>
        </is>
      </c>
      <c r="B14480" s="1" t="n">
        <v>45415</v>
      </c>
      <c r="C14480" s="1" t="n">
        <v>45736</v>
      </c>
      <c r="D14480" t="inlineStr">
        <is>
          <t>VÄRMLANDS LÄN</t>
        </is>
      </c>
      <c r="E14480" t="inlineStr">
        <is>
          <t>ARVIKA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17462-2024</t>
        </is>
      </c>
      <c r="B14481" s="1" t="n">
        <v>45415</v>
      </c>
      <c r="C14481" s="1" t="n">
        <v>45736</v>
      </c>
      <c r="D14481" t="inlineStr">
        <is>
          <t>VÄRMLANDS LÄN</t>
        </is>
      </c>
      <c r="E14481" t="inlineStr">
        <is>
          <t>FILIPSTAD</t>
        </is>
      </c>
      <c r="F14481" t="inlineStr">
        <is>
          <t>Bergvik skog väst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17505-2024</t>
        </is>
      </c>
      <c r="B14482" s="1" t="n">
        <v>45415</v>
      </c>
      <c r="C14482" s="1" t="n">
        <v>45736</v>
      </c>
      <c r="D14482" t="inlineStr">
        <is>
          <t>VÄRMLANDS LÄN</t>
        </is>
      </c>
      <c r="E14482" t="inlineStr">
        <is>
          <t>FORSHAGA</t>
        </is>
      </c>
      <c r="F14482" t="inlineStr">
        <is>
          <t>Bergvik skog väst AB</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17525-2024</t>
        </is>
      </c>
      <c r="B14483" s="1" t="n">
        <v>45415</v>
      </c>
      <c r="C14483" s="1" t="n">
        <v>45736</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17562-2024</t>
        </is>
      </c>
      <c r="B14484" s="1" t="n">
        <v>45415</v>
      </c>
      <c r="C14484" s="1" t="n">
        <v>45736</v>
      </c>
      <c r="D14484" t="inlineStr">
        <is>
          <t>VÄRMLANDS LÄN</t>
        </is>
      </c>
      <c r="E14484" t="inlineStr">
        <is>
          <t>TORSBY</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17450-2024</t>
        </is>
      </c>
      <c r="B14485" s="1" t="n">
        <v>45415</v>
      </c>
      <c r="C14485" s="1" t="n">
        <v>45736</v>
      </c>
      <c r="D14485" t="inlineStr">
        <is>
          <t>VÄRMLANDS LÄN</t>
        </is>
      </c>
      <c r="E14485" t="inlineStr">
        <is>
          <t>TORSBY</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17463-2024</t>
        </is>
      </c>
      <c r="B14486" s="1" t="n">
        <v>45415</v>
      </c>
      <c r="C14486" s="1" t="n">
        <v>45736</v>
      </c>
      <c r="D14486" t="inlineStr">
        <is>
          <t>VÄRMLANDS LÄN</t>
        </is>
      </c>
      <c r="E14486" t="inlineStr">
        <is>
          <t>KARLSTAD</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17474-2024</t>
        </is>
      </c>
      <c r="B14487" s="1" t="n">
        <v>45415</v>
      </c>
      <c r="C14487" s="1" t="n">
        <v>45736</v>
      </c>
      <c r="D14487" t="inlineStr">
        <is>
          <t>VÄRMLANDS LÄN</t>
        </is>
      </c>
      <c r="E14487" t="inlineStr">
        <is>
          <t>KARLSTAD</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17490-2024</t>
        </is>
      </c>
      <c r="B14488" s="1" t="n">
        <v>45415</v>
      </c>
      <c r="C14488" s="1" t="n">
        <v>45736</v>
      </c>
      <c r="D14488" t="inlineStr">
        <is>
          <t>VÄRMLANDS LÄN</t>
        </is>
      </c>
      <c r="E14488" t="inlineStr">
        <is>
          <t>EDA</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17530-2024</t>
        </is>
      </c>
      <c r="B14489" s="1" t="n">
        <v>45415</v>
      </c>
      <c r="C14489" s="1" t="n">
        <v>45736</v>
      </c>
      <c r="D14489" t="inlineStr">
        <is>
          <t>VÄRMLANDS LÄN</t>
        </is>
      </c>
      <c r="E14489" t="inlineStr">
        <is>
          <t>TORSBY</t>
        </is>
      </c>
      <c r="G14489" t="n">
        <v>11.1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17472-2024</t>
        </is>
      </c>
      <c r="B14490" s="1" t="n">
        <v>45415</v>
      </c>
      <c r="C14490" s="1" t="n">
        <v>45736</v>
      </c>
      <c r="D14490" t="inlineStr">
        <is>
          <t>VÄRMLANDS LÄN</t>
        </is>
      </c>
      <c r="E14490" t="inlineStr">
        <is>
          <t>FILIPSTAD</t>
        </is>
      </c>
      <c r="F14490" t="inlineStr">
        <is>
          <t>Bergvik skog väst AB</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17488-2024</t>
        </is>
      </c>
      <c r="B14491" s="1" t="n">
        <v>45415</v>
      </c>
      <c r="C14491" s="1" t="n">
        <v>45736</v>
      </c>
      <c r="D14491" t="inlineStr">
        <is>
          <t>VÄRMLANDS LÄN</t>
        </is>
      </c>
      <c r="E14491" t="inlineStr">
        <is>
          <t>EDA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17500-2024</t>
        </is>
      </c>
      <c r="B14492" s="1" t="n">
        <v>45415</v>
      </c>
      <c r="C14492" s="1" t="n">
        <v>45736</v>
      </c>
      <c r="D14492" t="inlineStr">
        <is>
          <t>VÄRMLANDS LÄN</t>
        </is>
      </c>
      <c r="E14492" t="inlineStr">
        <is>
          <t>SÄFFLE</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17579-2024</t>
        </is>
      </c>
      <c r="B14493" s="1" t="n">
        <v>45415</v>
      </c>
      <c r="C14493" s="1" t="n">
        <v>45736</v>
      </c>
      <c r="D14493" t="inlineStr">
        <is>
          <t>VÄRMLANDS LÄN</t>
        </is>
      </c>
      <c r="E14493" t="inlineStr">
        <is>
          <t>SUNNE</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17580-2024</t>
        </is>
      </c>
      <c r="B14494" s="1" t="n">
        <v>45415</v>
      </c>
      <c r="C14494" s="1" t="n">
        <v>45736</v>
      </c>
      <c r="D14494" t="inlineStr">
        <is>
          <t>VÄRMLANDS LÄN</t>
        </is>
      </c>
      <c r="E14494" t="inlineStr">
        <is>
          <t>SUNNE</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17539-2024</t>
        </is>
      </c>
      <c r="B14495" s="1" t="n">
        <v>45415</v>
      </c>
      <c r="C14495" s="1" t="n">
        <v>45736</v>
      </c>
      <c r="D14495" t="inlineStr">
        <is>
          <t>VÄRMLANDS LÄN</t>
        </is>
      </c>
      <c r="E14495" t="inlineStr">
        <is>
          <t>FORSHAGA</t>
        </is>
      </c>
      <c r="F14495" t="inlineStr">
        <is>
          <t>Bergvik skog väst AB</t>
        </is>
      </c>
      <c r="G14495" t="n">
        <v>8.5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17633-2024</t>
        </is>
      </c>
      <c r="B14496" s="1" t="n">
        <v>45418</v>
      </c>
      <c r="C14496" s="1" t="n">
        <v>45736</v>
      </c>
      <c r="D14496" t="inlineStr">
        <is>
          <t>VÄRMLANDS LÄN</t>
        </is>
      </c>
      <c r="E14496" t="inlineStr">
        <is>
          <t>KARLSTAD</t>
        </is>
      </c>
      <c r="F14496" t="inlineStr">
        <is>
          <t>Bergvik skog väst AB</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17635-2024</t>
        </is>
      </c>
      <c r="B14497" s="1" t="n">
        <v>45418</v>
      </c>
      <c r="C14497" s="1" t="n">
        <v>45736</v>
      </c>
      <c r="D14497" t="inlineStr">
        <is>
          <t>VÄRMLANDS LÄN</t>
        </is>
      </c>
      <c r="E14497" t="inlineStr">
        <is>
          <t>HAGFORS</t>
        </is>
      </c>
      <c r="F14497" t="inlineStr">
        <is>
          <t>Bergvik skog väst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17714-2024</t>
        </is>
      </c>
      <c r="B14498" s="1" t="n">
        <v>45418</v>
      </c>
      <c r="C14498" s="1" t="n">
        <v>45736</v>
      </c>
      <c r="D14498" t="inlineStr">
        <is>
          <t>VÄRMLANDS LÄN</t>
        </is>
      </c>
      <c r="E14498" t="inlineStr">
        <is>
          <t>KRISTINEHAMN</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17687-2024</t>
        </is>
      </c>
      <c r="B14499" s="1" t="n">
        <v>45418</v>
      </c>
      <c r="C14499" s="1" t="n">
        <v>45736</v>
      </c>
      <c r="D14499" t="inlineStr">
        <is>
          <t>VÄRMLANDS LÄN</t>
        </is>
      </c>
      <c r="E14499" t="inlineStr">
        <is>
          <t>TORSBY</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17754-2024</t>
        </is>
      </c>
      <c r="B14500" s="1" t="n">
        <v>45418</v>
      </c>
      <c r="C14500" s="1" t="n">
        <v>45736</v>
      </c>
      <c r="D14500" t="inlineStr">
        <is>
          <t>VÄRMLANDS LÄN</t>
        </is>
      </c>
      <c r="E14500" t="inlineStr">
        <is>
          <t>EDA</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17752-2024</t>
        </is>
      </c>
      <c r="B14501" s="1" t="n">
        <v>45418</v>
      </c>
      <c r="C14501" s="1" t="n">
        <v>45736</v>
      </c>
      <c r="D14501" t="inlineStr">
        <is>
          <t>VÄRMLANDS LÄN</t>
        </is>
      </c>
      <c r="E14501" t="inlineStr">
        <is>
          <t>EDA</t>
        </is>
      </c>
      <c r="F14501" t="inlineStr">
        <is>
          <t>Övriga Aktiebolag</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17788-2024</t>
        </is>
      </c>
      <c r="B14502" s="1" t="n">
        <v>45418</v>
      </c>
      <c r="C14502" s="1" t="n">
        <v>45736</v>
      </c>
      <c r="D14502" t="inlineStr">
        <is>
          <t>VÄRMLANDS LÄN</t>
        </is>
      </c>
      <c r="E14502" t="inlineStr">
        <is>
          <t>FILIPSTAD</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17794-2024</t>
        </is>
      </c>
      <c r="B14503" s="1" t="n">
        <v>45418</v>
      </c>
      <c r="C14503" s="1" t="n">
        <v>45736</v>
      </c>
      <c r="D14503" t="inlineStr">
        <is>
          <t>VÄRMLANDS LÄN</t>
        </is>
      </c>
      <c r="E14503" t="inlineStr">
        <is>
          <t>FILIPSTAD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17717-2024</t>
        </is>
      </c>
      <c r="B14504" s="1" t="n">
        <v>45418</v>
      </c>
      <c r="C14504" s="1" t="n">
        <v>45736</v>
      </c>
      <c r="D14504" t="inlineStr">
        <is>
          <t>VÄRMLANDS LÄN</t>
        </is>
      </c>
      <c r="E14504" t="inlineStr">
        <is>
          <t>TORSBY</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17744-2024</t>
        </is>
      </c>
      <c r="B14505" s="1" t="n">
        <v>45418</v>
      </c>
      <c r="C14505" s="1" t="n">
        <v>45736</v>
      </c>
      <c r="D14505" t="inlineStr">
        <is>
          <t>VÄRMLANDS LÄN</t>
        </is>
      </c>
      <c r="E14505" t="inlineStr">
        <is>
          <t>ÅRJÄNG</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17757-2024</t>
        </is>
      </c>
      <c r="B14506" s="1" t="n">
        <v>45418</v>
      </c>
      <c r="C14506" s="1" t="n">
        <v>45736</v>
      </c>
      <c r="D14506" t="inlineStr">
        <is>
          <t>VÄRMLANDS LÄN</t>
        </is>
      </c>
      <c r="E14506" t="inlineStr">
        <is>
          <t>ARVIKA</t>
        </is>
      </c>
      <c r="F14506" t="inlineStr">
        <is>
          <t>Bergvik skog väst AB</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17747-2024</t>
        </is>
      </c>
      <c r="B14507" s="1" t="n">
        <v>45418</v>
      </c>
      <c r="C14507" s="1" t="n">
        <v>45736</v>
      </c>
      <c r="D14507" t="inlineStr">
        <is>
          <t>VÄRMLANDS LÄN</t>
        </is>
      </c>
      <c r="E14507" t="inlineStr">
        <is>
          <t>EDA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17774-2024</t>
        </is>
      </c>
      <c r="B14508" s="1" t="n">
        <v>45418</v>
      </c>
      <c r="C14508" s="1" t="n">
        <v>45736</v>
      </c>
      <c r="D14508" t="inlineStr">
        <is>
          <t>VÄRMLANDS LÄN</t>
        </is>
      </c>
      <c r="E14508" t="inlineStr">
        <is>
          <t>HAGFORS</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17795-2024</t>
        </is>
      </c>
      <c r="B14509" s="1" t="n">
        <v>45418</v>
      </c>
      <c r="C14509" s="1" t="n">
        <v>45736</v>
      </c>
      <c r="D14509" t="inlineStr">
        <is>
          <t>VÄRMLANDS LÄN</t>
        </is>
      </c>
      <c r="E14509" t="inlineStr">
        <is>
          <t>FILIPSTAD</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17815-2024</t>
        </is>
      </c>
      <c r="B14510" s="1" t="n">
        <v>45418</v>
      </c>
      <c r="C14510" s="1" t="n">
        <v>45736</v>
      </c>
      <c r="D14510" t="inlineStr">
        <is>
          <t>VÄRMLANDS LÄN</t>
        </is>
      </c>
      <c r="E14510" t="inlineStr">
        <is>
          <t>KARLSTAD</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17772-2024</t>
        </is>
      </c>
      <c r="B14511" s="1" t="n">
        <v>45418</v>
      </c>
      <c r="C14511" s="1" t="n">
        <v>45736</v>
      </c>
      <c r="D14511" t="inlineStr">
        <is>
          <t>VÄRMLANDS LÄN</t>
        </is>
      </c>
      <c r="E14511" t="inlineStr">
        <is>
          <t>SÄFFLE</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17797-2024</t>
        </is>
      </c>
      <c r="B14512" s="1" t="n">
        <v>45418</v>
      </c>
      <c r="C14512" s="1" t="n">
        <v>45736</v>
      </c>
      <c r="D14512" t="inlineStr">
        <is>
          <t>VÄRMLANDS LÄN</t>
        </is>
      </c>
      <c r="E14512" t="inlineStr">
        <is>
          <t>KIL</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17858-2024</t>
        </is>
      </c>
      <c r="B14513" s="1" t="n">
        <v>45419</v>
      </c>
      <c r="C14513" s="1" t="n">
        <v>45736</v>
      </c>
      <c r="D14513" t="inlineStr">
        <is>
          <t>VÄRMLANDS LÄN</t>
        </is>
      </c>
      <c r="E14513" t="inlineStr">
        <is>
          <t>FILIPSTAD</t>
        </is>
      </c>
      <c r="F14513" t="inlineStr">
        <is>
          <t>Bergvik skog väst AB</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17878-2024</t>
        </is>
      </c>
      <c r="B14514" s="1" t="n">
        <v>45419</v>
      </c>
      <c r="C14514" s="1" t="n">
        <v>45736</v>
      </c>
      <c r="D14514" t="inlineStr">
        <is>
          <t>VÄRMLANDS LÄN</t>
        </is>
      </c>
      <c r="E14514" t="inlineStr">
        <is>
          <t>ÅRJÄNG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17886-2024</t>
        </is>
      </c>
      <c r="B14515" s="1" t="n">
        <v>45419</v>
      </c>
      <c r="C14515" s="1" t="n">
        <v>45736</v>
      </c>
      <c r="D14515" t="inlineStr">
        <is>
          <t>VÄRMLANDS LÄN</t>
        </is>
      </c>
      <c r="E14515" t="inlineStr">
        <is>
          <t>SÄFFLE</t>
        </is>
      </c>
      <c r="G14515" t="n">
        <v>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17910-2024</t>
        </is>
      </c>
      <c r="B14516" s="1" t="n">
        <v>45419</v>
      </c>
      <c r="C14516" s="1" t="n">
        <v>45736</v>
      </c>
      <c r="D14516" t="inlineStr">
        <is>
          <t>VÄRMLANDS LÄN</t>
        </is>
      </c>
      <c r="E14516" t="inlineStr">
        <is>
          <t>GRUMS</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17930-2024</t>
        </is>
      </c>
      <c r="B14517" s="1" t="n">
        <v>45419</v>
      </c>
      <c r="C14517" s="1" t="n">
        <v>45736</v>
      </c>
      <c r="D14517" t="inlineStr">
        <is>
          <t>VÄRMLANDS LÄN</t>
        </is>
      </c>
      <c r="E14517" t="inlineStr">
        <is>
          <t>HAGFORS</t>
        </is>
      </c>
      <c r="F14517" t="inlineStr">
        <is>
          <t>Bergvik skog väst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17959-2024</t>
        </is>
      </c>
      <c r="B14518" s="1" t="n">
        <v>45419</v>
      </c>
      <c r="C14518" s="1" t="n">
        <v>45736</v>
      </c>
      <c r="D14518" t="inlineStr">
        <is>
          <t>VÄRMLANDS LÄN</t>
        </is>
      </c>
      <c r="E14518" t="inlineStr">
        <is>
          <t>TORSBY</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17852-2024</t>
        </is>
      </c>
      <c r="B14519" s="1" t="n">
        <v>45419</v>
      </c>
      <c r="C14519" s="1" t="n">
        <v>45736</v>
      </c>
      <c r="D14519" t="inlineStr">
        <is>
          <t>VÄRMLANDS LÄN</t>
        </is>
      </c>
      <c r="E14519" t="inlineStr">
        <is>
          <t>ARVIKA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17971-2024</t>
        </is>
      </c>
      <c r="B14520" s="1" t="n">
        <v>45419</v>
      </c>
      <c r="C14520" s="1" t="n">
        <v>45736</v>
      </c>
      <c r="D14520" t="inlineStr">
        <is>
          <t>VÄRMLANDS LÄN</t>
        </is>
      </c>
      <c r="E14520" t="inlineStr">
        <is>
          <t>SÄFFLE</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17921-2024</t>
        </is>
      </c>
      <c r="B14521" s="1" t="n">
        <v>45419</v>
      </c>
      <c r="C14521" s="1" t="n">
        <v>45736</v>
      </c>
      <c r="D14521" t="inlineStr">
        <is>
          <t>VÄRMLANDS LÄN</t>
        </is>
      </c>
      <c r="E14521" t="inlineStr">
        <is>
          <t>TORSBY</t>
        </is>
      </c>
      <c r="F14521" t="inlineStr">
        <is>
          <t>Bergvik skog väst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17946-2024</t>
        </is>
      </c>
      <c r="B14522" s="1" t="n">
        <v>45419</v>
      </c>
      <c r="C14522" s="1" t="n">
        <v>45736</v>
      </c>
      <c r="D14522" t="inlineStr">
        <is>
          <t>VÄRMLANDS LÄN</t>
        </is>
      </c>
      <c r="E14522" t="inlineStr">
        <is>
          <t>KIL</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17970-2024</t>
        </is>
      </c>
      <c r="B14523" s="1" t="n">
        <v>45419</v>
      </c>
      <c r="C14523" s="1" t="n">
        <v>45736</v>
      </c>
      <c r="D14523" t="inlineStr">
        <is>
          <t>VÄRMLANDS LÄN</t>
        </is>
      </c>
      <c r="E14523" t="inlineStr">
        <is>
          <t>SÄFFLE</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17978-2024</t>
        </is>
      </c>
      <c r="B14524" s="1" t="n">
        <v>45419</v>
      </c>
      <c r="C14524" s="1" t="n">
        <v>45736</v>
      </c>
      <c r="D14524" t="inlineStr">
        <is>
          <t>VÄRMLANDS LÄN</t>
        </is>
      </c>
      <c r="E14524" t="inlineStr">
        <is>
          <t>FILIPSTAD</t>
        </is>
      </c>
      <c r="F14524" t="inlineStr">
        <is>
          <t>Bergvik skog väst AB</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17982-2024</t>
        </is>
      </c>
      <c r="B14525" s="1" t="n">
        <v>45419</v>
      </c>
      <c r="C14525" s="1" t="n">
        <v>45736</v>
      </c>
      <c r="D14525" t="inlineStr">
        <is>
          <t>VÄRMLANDS LÄN</t>
        </is>
      </c>
      <c r="E14525" t="inlineStr">
        <is>
          <t>ARVIKA</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17837-2024</t>
        </is>
      </c>
      <c r="B14526" s="1" t="n">
        <v>45419</v>
      </c>
      <c r="C14526" s="1" t="n">
        <v>45736</v>
      </c>
      <c r="D14526" t="inlineStr">
        <is>
          <t>VÄRMLANDS LÄN</t>
        </is>
      </c>
      <c r="E14526" t="inlineStr">
        <is>
          <t>TORSBY</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17879-2024</t>
        </is>
      </c>
      <c r="B14527" s="1" t="n">
        <v>45419</v>
      </c>
      <c r="C14527" s="1" t="n">
        <v>45736</v>
      </c>
      <c r="D14527" t="inlineStr">
        <is>
          <t>VÄRMLANDS LÄN</t>
        </is>
      </c>
      <c r="E14527" t="inlineStr">
        <is>
          <t>TORSBY</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17931-2024</t>
        </is>
      </c>
      <c r="B14528" s="1" t="n">
        <v>45419</v>
      </c>
      <c r="C14528" s="1" t="n">
        <v>45736</v>
      </c>
      <c r="D14528" t="inlineStr">
        <is>
          <t>VÄRMLANDS LÄN</t>
        </is>
      </c>
      <c r="E14528" t="inlineStr">
        <is>
          <t>TORSBY</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17935-2024</t>
        </is>
      </c>
      <c r="B14529" s="1" t="n">
        <v>45419</v>
      </c>
      <c r="C14529" s="1" t="n">
        <v>45736</v>
      </c>
      <c r="D14529" t="inlineStr">
        <is>
          <t>VÄRMLANDS LÄN</t>
        </is>
      </c>
      <c r="E14529" t="inlineStr">
        <is>
          <t>ARVIKA</t>
        </is>
      </c>
      <c r="G14529" t="n">
        <v>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17956-2024</t>
        </is>
      </c>
      <c r="B14530" s="1" t="n">
        <v>45419</v>
      </c>
      <c r="C14530" s="1" t="n">
        <v>45736</v>
      </c>
      <c r="D14530" t="inlineStr">
        <is>
          <t>VÄRMLANDS LÄN</t>
        </is>
      </c>
      <c r="E14530" t="inlineStr">
        <is>
          <t>HAGFORS</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18014-2024</t>
        </is>
      </c>
      <c r="B14531" s="1" t="n">
        <v>45420</v>
      </c>
      <c r="C14531" s="1" t="n">
        <v>45736</v>
      </c>
      <c r="D14531" t="inlineStr">
        <is>
          <t>VÄRMLANDS LÄN</t>
        </is>
      </c>
      <c r="E14531" t="inlineStr">
        <is>
          <t>HAGFORS</t>
        </is>
      </c>
      <c r="F14531" t="inlineStr">
        <is>
          <t>Bergvik skog väst AB</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17916-2024</t>
        </is>
      </c>
      <c r="B14532" s="1" t="n">
        <v>45419</v>
      </c>
      <c r="C14532" s="1" t="n">
        <v>45736</v>
      </c>
      <c r="D14532" t="inlineStr">
        <is>
          <t>VÄRMLANDS LÄN</t>
        </is>
      </c>
      <c r="E14532" t="inlineStr">
        <is>
          <t>SÄFFLE</t>
        </is>
      </c>
      <c r="G14532" t="n">
        <v>0</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17920-2024</t>
        </is>
      </c>
      <c r="B14533" s="1" t="n">
        <v>45419</v>
      </c>
      <c r="C14533" s="1" t="n">
        <v>45736</v>
      </c>
      <c r="D14533" t="inlineStr">
        <is>
          <t>VÄRMLANDS LÄN</t>
        </is>
      </c>
      <c r="E14533" t="inlineStr">
        <is>
          <t>HAGFORS</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17977-2024</t>
        </is>
      </c>
      <c r="B14534" s="1" t="n">
        <v>45419</v>
      </c>
      <c r="C14534" s="1" t="n">
        <v>45736</v>
      </c>
      <c r="D14534" t="inlineStr">
        <is>
          <t>VÄRMLANDS LÄN</t>
        </is>
      </c>
      <c r="E14534" t="inlineStr">
        <is>
          <t>FILIPSTAD</t>
        </is>
      </c>
      <c r="F14534" t="inlineStr">
        <is>
          <t>Bergvik skog väst AB</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17985-2024</t>
        </is>
      </c>
      <c r="B14535" s="1" t="n">
        <v>45419</v>
      </c>
      <c r="C14535" s="1" t="n">
        <v>45736</v>
      </c>
      <c r="D14535" t="inlineStr">
        <is>
          <t>VÄRMLANDS LÄN</t>
        </is>
      </c>
      <c r="E14535" t="inlineStr">
        <is>
          <t>ARVIKA</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17993-2024</t>
        </is>
      </c>
      <c r="B14536" s="1" t="n">
        <v>45420</v>
      </c>
      <c r="C14536" s="1" t="n">
        <v>45736</v>
      </c>
      <c r="D14536" t="inlineStr">
        <is>
          <t>VÄRMLANDS LÄN</t>
        </is>
      </c>
      <c r="E14536" t="inlineStr">
        <is>
          <t>ÅRJÄNG</t>
        </is>
      </c>
      <c r="G14536" t="n">
        <v>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18082-2024</t>
        </is>
      </c>
      <c r="B14537" s="1" t="n">
        <v>45420</v>
      </c>
      <c r="C14537" s="1" t="n">
        <v>45736</v>
      </c>
      <c r="D14537" t="inlineStr">
        <is>
          <t>VÄRMLANDS LÄN</t>
        </is>
      </c>
      <c r="E14537" t="inlineStr">
        <is>
          <t>ARVIKA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18114-2024</t>
        </is>
      </c>
      <c r="B14538" s="1" t="n">
        <v>45420</v>
      </c>
      <c r="C14538" s="1" t="n">
        <v>45736</v>
      </c>
      <c r="D14538" t="inlineStr">
        <is>
          <t>VÄRMLANDS LÄN</t>
        </is>
      </c>
      <c r="E14538" t="inlineStr">
        <is>
          <t>KARLSTAD</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18049-2024</t>
        </is>
      </c>
      <c r="B14539" s="1" t="n">
        <v>45420</v>
      </c>
      <c r="C14539" s="1" t="n">
        <v>45736</v>
      </c>
      <c r="D14539" t="inlineStr">
        <is>
          <t>VÄRMLANDS LÄN</t>
        </is>
      </c>
      <c r="E14539" t="inlineStr">
        <is>
          <t>KIL</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18126-2024</t>
        </is>
      </c>
      <c r="B14540" s="1" t="n">
        <v>45420</v>
      </c>
      <c r="C14540" s="1" t="n">
        <v>45736</v>
      </c>
      <c r="D14540" t="inlineStr">
        <is>
          <t>VÄRMLANDS LÄN</t>
        </is>
      </c>
      <c r="E14540" t="inlineStr">
        <is>
          <t>HAGFORS</t>
        </is>
      </c>
      <c r="F14540" t="inlineStr">
        <is>
          <t>Bergvik skog väst AB</t>
        </is>
      </c>
      <c r="G14540" t="n">
        <v>10.4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18105-2024</t>
        </is>
      </c>
      <c r="B14541" s="1" t="n">
        <v>45420</v>
      </c>
      <c r="C14541" s="1" t="n">
        <v>45736</v>
      </c>
      <c r="D14541" t="inlineStr">
        <is>
          <t>VÄRMLANDS LÄN</t>
        </is>
      </c>
      <c r="E14541" t="inlineStr">
        <is>
          <t>ÅRJÄNG</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18125-2024</t>
        </is>
      </c>
      <c r="B14542" s="1" t="n">
        <v>45420</v>
      </c>
      <c r="C14542" s="1" t="n">
        <v>45736</v>
      </c>
      <c r="D14542" t="inlineStr">
        <is>
          <t>VÄRMLANDS LÄN</t>
        </is>
      </c>
      <c r="E14542" t="inlineStr">
        <is>
          <t>TORSBY</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18145-2024</t>
        </is>
      </c>
      <c r="B14543" s="1" t="n">
        <v>45420</v>
      </c>
      <c r="C14543" s="1" t="n">
        <v>45736</v>
      </c>
      <c r="D14543" t="inlineStr">
        <is>
          <t>VÄRMLANDS LÄN</t>
        </is>
      </c>
      <c r="E14543" t="inlineStr">
        <is>
          <t>SÄFFLE</t>
        </is>
      </c>
      <c r="G14543" t="n">
        <v>45.3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18170-2024</t>
        </is>
      </c>
      <c r="B14544" s="1" t="n">
        <v>45420</v>
      </c>
      <c r="C14544" s="1" t="n">
        <v>45736</v>
      </c>
      <c r="D14544" t="inlineStr">
        <is>
          <t>VÄRMLANDS LÄN</t>
        </is>
      </c>
      <c r="E14544" t="inlineStr">
        <is>
          <t>HAGFORS</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18174-2024</t>
        </is>
      </c>
      <c r="B14545" s="1" t="n">
        <v>45420</v>
      </c>
      <c r="C14545" s="1" t="n">
        <v>45736</v>
      </c>
      <c r="D14545" t="inlineStr">
        <is>
          <t>VÄRMLANDS LÄN</t>
        </is>
      </c>
      <c r="E14545" t="inlineStr">
        <is>
          <t>SÄFFLE</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18210-2024</t>
        </is>
      </c>
      <c r="B14546" s="1" t="n">
        <v>45420</v>
      </c>
      <c r="C14546" s="1" t="n">
        <v>45736</v>
      </c>
      <c r="D14546" t="inlineStr">
        <is>
          <t>VÄRMLANDS LÄN</t>
        </is>
      </c>
      <c r="E14546" t="inlineStr">
        <is>
          <t>FILIPSTAD</t>
        </is>
      </c>
      <c r="F14546" t="inlineStr">
        <is>
          <t>Bergvik skog väst AB</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18088-2024</t>
        </is>
      </c>
      <c r="B14547" s="1" t="n">
        <v>45420</v>
      </c>
      <c r="C14547" s="1" t="n">
        <v>45736</v>
      </c>
      <c r="D14547" t="inlineStr">
        <is>
          <t>VÄRMLANDS LÄN</t>
        </is>
      </c>
      <c r="E14547" t="inlineStr">
        <is>
          <t>HAGFORS</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18100-2024</t>
        </is>
      </c>
      <c r="B14548" s="1" t="n">
        <v>45420</v>
      </c>
      <c r="C14548" s="1" t="n">
        <v>45736</v>
      </c>
      <c r="D14548" t="inlineStr">
        <is>
          <t>VÄRMLANDS LÄN</t>
        </is>
      </c>
      <c r="E14548" t="inlineStr">
        <is>
          <t>SUNNE</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18104-2024</t>
        </is>
      </c>
      <c r="B14549" s="1" t="n">
        <v>45420</v>
      </c>
      <c r="C14549" s="1" t="n">
        <v>45736</v>
      </c>
      <c r="D14549" t="inlineStr">
        <is>
          <t>VÄRMLANDS LÄN</t>
        </is>
      </c>
      <c r="E14549" t="inlineStr">
        <is>
          <t>MUNKFORS</t>
        </is>
      </c>
      <c r="F14549" t="inlineStr">
        <is>
          <t>Bergvik skog väst AB</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18116-2024</t>
        </is>
      </c>
      <c r="B14550" s="1" t="n">
        <v>45420</v>
      </c>
      <c r="C14550" s="1" t="n">
        <v>45736</v>
      </c>
      <c r="D14550" t="inlineStr">
        <is>
          <t>VÄRMLANDS LÄN</t>
        </is>
      </c>
      <c r="E14550" t="inlineStr">
        <is>
          <t>EDA</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18120-2024</t>
        </is>
      </c>
      <c r="B14551" s="1" t="n">
        <v>45420</v>
      </c>
      <c r="C14551" s="1" t="n">
        <v>45736</v>
      </c>
      <c r="D14551" t="inlineStr">
        <is>
          <t>VÄRMLANDS LÄN</t>
        </is>
      </c>
      <c r="E14551" t="inlineStr">
        <is>
          <t>ARVIKA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18132-2024</t>
        </is>
      </c>
      <c r="B14552" s="1" t="n">
        <v>45420</v>
      </c>
      <c r="C14552" s="1" t="n">
        <v>45736</v>
      </c>
      <c r="D14552" t="inlineStr">
        <is>
          <t>VÄRMLANDS LÄN</t>
        </is>
      </c>
      <c r="E14552" t="inlineStr">
        <is>
          <t>MUNKFORS</t>
        </is>
      </c>
      <c r="F14552" t="inlineStr">
        <is>
          <t>Bergvik skog väst AB</t>
        </is>
      </c>
      <c r="G14552" t="n">
        <v>7.3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18213-2024</t>
        </is>
      </c>
      <c r="B14553" s="1" t="n">
        <v>45420</v>
      </c>
      <c r="C14553" s="1" t="n">
        <v>45736</v>
      </c>
      <c r="D14553" t="inlineStr">
        <is>
          <t>VÄRMLANDS LÄN</t>
        </is>
      </c>
      <c r="E14553" t="inlineStr">
        <is>
          <t>HAGFORS</t>
        </is>
      </c>
      <c r="G14553" t="n">
        <v>11.5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18164-2024</t>
        </is>
      </c>
      <c r="B14554" s="1" t="n">
        <v>45420</v>
      </c>
      <c r="C14554" s="1" t="n">
        <v>45736</v>
      </c>
      <c r="D14554" t="inlineStr">
        <is>
          <t>VÄRMLANDS LÄN</t>
        </is>
      </c>
      <c r="E14554" t="inlineStr">
        <is>
          <t>KARLSTAD</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18184-2024</t>
        </is>
      </c>
      <c r="B14555" s="1" t="n">
        <v>45420</v>
      </c>
      <c r="C14555" s="1" t="n">
        <v>45736</v>
      </c>
      <c r="D14555" t="inlineStr">
        <is>
          <t>VÄRMLANDS LÄN</t>
        </is>
      </c>
      <c r="E14555" t="inlineStr">
        <is>
          <t>GRUMS</t>
        </is>
      </c>
      <c r="F14555" t="inlineStr">
        <is>
          <t>Bergvik skog väst AB</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18208-2024</t>
        </is>
      </c>
      <c r="B14556" s="1" t="n">
        <v>45420</v>
      </c>
      <c r="C14556" s="1" t="n">
        <v>45736</v>
      </c>
      <c r="D14556" t="inlineStr">
        <is>
          <t>VÄRMLANDS LÄN</t>
        </is>
      </c>
      <c r="E14556" t="inlineStr">
        <is>
          <t>SUNNE</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18212-2024</t>
        </is>
      </c>
      <c r="B14557" s="1" t="n">
        <v>45420</v>
      </c>
      <c r="C14557" s="1" t="n">
        <v>45736</v>
      </c>
      <c r="D14557" t="inlineStr">
        <is>
          <t>VÄRMLANDS LÄN</t>
        </is>
      </c>
      <c r="E14557" t="inlineStr">
        <is>
          <t>ÅRJÄNG</t>
        </is>
      </c>
      <c r="F14557" t="inlineStr">
        <is>
          <t>Bergvik skog väst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18241-2024</t>
        </is>
      </c>
      <c r="B14558" s="1" t="n">
        <v>45420</v>
      </c>
      <c r="C14558" s="1" t="n">
        <v>45736</v>
      </c>
      <c r="D14558" t="inlineStr">
        <is>
          <t>VÄRMLANDS LÄN</t>
        </is>
      </c>
      <c r="E14558" t="inlineStr">
        <is>
          <t>ÅRJÄNG</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18026-2024</t>
        </is>
      </c>
      <c r="B14559" s="1" t="n">
        <v>45420</v>
      </c>
      <c r="C14559" s="1" t="n">
        <v>45736</v>
      </c>
      <c r="D14559" t="inlineStr">
        <is>
          <t>VÄRMLANDS LÄN</t>
        </is>
      </c>
      <c r="E14559" t="inlineStr">
        <is>
          <t>FORSHAGA</t>
        </is>
      </c>
      <c r="F14559" t="inlineStr">
        <is>
          <t>Bergvik skog väst AB</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18067-2024</t>
        </is>
      </c>
      <c r="B14560" s="1" t="n">
        <v>45420</v>
      </c>
      <c r="C14560" s="1" t="n">
        <v>45736</v>
      </c>
      <c r="D14560" t="inlineStr">
        <is>
          <t>VÄRMLANDS LÄN</t>
        </is>
      </c>
      <c r="E14560" t="inlineStr">
        <is>
          <t>ARVIKA</t>
        </is>
      </c>
      <c r="F14560" t="inlineStr">
        <is>
          <t>Bergvik skog väst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18131-2024</t>
        </is>
      </c>
      <c r="B14561" s="1" t="n">
        <v>45420</v>
      </c>
      <c r="C14561" s="1" t="n">
        <v>45736</v>
      </c>
      <c r="D14561" t="inlineStr">
        <is>
          <t>VÄRMLANDS LÄN</t>
        </is>
      </c>
      <c r="E14561" t="inlineStr">
        <is>
          <t>HAGFORS</t>
        </is>
      </c>
      <c r="F14561" t="inlineStr">
        <is>
          <t>Bergvik skog väst AB</t>
        </is>
      </c>
      <c r="G14561" t="n">
        <v>7.8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18155-2024</t>
        </is>
      </c>
      <c r="B14562" s="1" t="n">
        <v>45420</v>
      </c>
      <c r="C14562" s="1" t="n">
        <v>45736</v>
      </c>
      <c r="D14562" t="inlineStr">
        <is>
          <t>VÄRMLANDS LÄN</t>
        </is>
      </c>
      <c r="E14562" t="inlineStr">
        <is>
          <t>TORSBY</t>
        </is>
      </c>
      <c r="F14562" t="inlineStr">
        <is>
          <t>Bergvik skog väst AB</t>
        </is>
      </c>
      <c r="G14562" t="n">
        <v>9.1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18167-2024</t>
        </is>
      </c>
      <c r="B14563" s="1" t="n">
        <v>45420</v>
      </c>
      <c r="C14563" s="1" t="n">
        <v>45736</v>
      </c>
      <c r="D14563" t="inlineStr">
        <is>
          <t>VÄRMLANDS LÄN</t>
        </is>
      </c>
      <c r="E14563" t="inlineStr">
        <is>
          <t>MUNKFORS</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18253-2024</t>
        </is>
      </c>
      <c r="B14564" s="1" t="n">
        <v>45421</v>
      </c>
      <c r="C14564" s="1" t="n">
        <v>45736</v>
      </c>
      <c r="D14564" t="inlineStr">
        <is>
          <t>VÄRMLANDS LÄN</t>
        </is>
      </c>
      <c r="E14564" t="inlineStr">
        <is>
          <t>ÅRJÄNG</t>
        </is>
      </c>
      <c r="F14564" t="inlineStr">
        <is>
          <t>Bergvik skog väst AB</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18257-2024</t>
        </is>
      </c>
      <c r="B14565" s="1" t="n">
        <v>45421</v>
      </c>
      <c r="C14565" s="1" t="n">
        <v>45736</v>
      </c>
      <c r="D14565" t="inlineStr">
        <is>
          <t>VÄRMLANDS LÄN</t>
        </is>
      </c>
      <c r="E14565" t="inlineStr">
        <is>
          <t>ÅRJÄNG</t>
        </is>
      </c>
      <c r="F14565" t="inlineStr">
        <is>
          <t>Bergvik skog väst AB</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18256-2024</t>
        </is>
      </c>
      <c r="B14566" s="1" t="n">
        <v>45421</v>
      </c>
      <c r="C14566" s="1" t="n">
        <v>45736</v>
      </c>
      <c r="D14566" t="inlineStr">
        <is>
          <t>VÄRMLANDS LÄN</t>
        </is>
      </c>
      <c r="E14566" t="inlineStr">
        <is>
          <t>ÅRJÄNG</t>
        </is>
      </c>
      <c r="F14566" t="inlineStr">
        <is>
          <t>Bergvik skog väst AB</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18277-2024</t>
        </is>
      </c>
      <c r="B14567" s="1" t="n">
        <v>45421</v>
      </c>
      <c r="C14567" s="1" t="n">
        <v>45736</v>
      </c>
      <c r="D14567" t="inlineStr">
        <is>
          <t>VÄRMLANDS LÄN</t>
        </is>
      </c>
      <c r="E14567" t="inlineStr">
        <is>
          <t>SÄFFLE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18339-2024</t>
        </is>
      </c>
      <c r="B14568" s="1" t="n">
        <v>45422</v>
      </c>
      <c r="C14568" s="1" t="n">
        <v>45736</v>
      </c>
      <c r="D14568" t="inlineStr">
        <is>
          <t>VÄRMLANDS LÄN</t>
        </is>
      </c>
      <c r="E14568" t="inlineStr">
        <is>
          <t>TORSBY</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18311-2024</t>
        </is>
      </c>
      <c r="B14569" s="1" t="n">
        <v>45422</v>
      </c>
      <c r="C14569" s="1" t="n">
        <v>45736</v>
      </c>
      <c r="D14569" t="inlineStr">
        <is>
          <t>VÄRMLANDS LÄN</t>
        </is>
      </c>
      <c r="E14569" t="inlineStr">
        <is>
          <t>FORSHAGA</t>
        </is>
      </c>
      <c r="F14569" t="inlineStr">
        <is>
          <t>Bergvik skog väst AB</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18330-2024</t>
        </is>
      </c>
      <c r="B14570" s="1" t="n">
        <v>45422</v>
      </c>
      <c r="C14570" s="1" t="n">
        <v>45736</v>
      </c>
      <c r="D14570" t="inlineStr">
        <is>
          <t>VÄRMLANDS LÄN</t>
        </is>
      </c>
      <c r="E14570" t="inlineStr">
        <is>
          <t>TORSBY</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18308-2024</t>
        </is>
      </c>
      <c r="B14571" s="1" t="n">
        <v>45422</v>
      </c>
      <c r="C14571" s="1" t="n">
        <v>45736</v>
      </c>
      <c r="D14571" t="inlineStr">
        <is>
          <t>VÄRMLANDS LÄN</t>
        </is>
      </c>
      <c r="E14571" t="inlineStr">
        <is>
          <t>TORSBY</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18344-2024</t>
        </is>
      </c>
      <c r="B14572" s="1" t="n">
        <v>45422</v>
      </c>
      <c r="C14572" s="1" t="n">
        <v>45736</v>
      </c>
      <c r="D14572" t="inlineStr">
        <is>
          <t>VÄRMLANDS LÄN</t>
        </is>
      </c>
      <c r="E14572" t="inlineStr">
        <is>
          <t>ARVIKA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18349-2024</t>
        </is>
      </c>
      <c r="B14573" s="1" t="n">
        <v>45422</v>
      </c>
      <c r="C14573" s="1" t="n">
        <v>45736</v>
      </c>
      <c r="D14573" t="inlineStr">
        <is>
          <t>VÄRMLANDS LÄN</t>
        </is>
      </c>
      <c r="E14573" t="inlineStr">
        <is>
          <t>ARVIKA</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18345-2024</t>
        </is>
      </c>
      <c r="B14574" s="1" t="n">
        <v>45422</v>
      </c>
      <c r="C14574" s="1" t="n">
        <v>45736</v>
      </c>
      <c r="D14574" t="inlineStr">
        <is>
          <t>VÄRMLANDS LÄN</t>
        </is>
      </c>
      <c r="E14574" t="inlineStr">
        <is>
          <t>ARVIKA</t>
        </is>
      </c>
      <c r="G14574" t="n">
        <v>11.9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18337-2024</t>
        </is>
      </c>
      <c r="B14575" s="1" t="n">
        <v>45422</v>
      </c>
      <c r="C14575" s="1" t="n">
        <v>45736</v>
      </c>
      <c r="D14575" t="inlineStr">
        <is>
          <t>VÄRMLANDS LÄN</t>
        </is>
      </c>
      <c r="E14575" t="inlineStr">
        <is>
          <t>TORSBY</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18309-2024</t>
        </is>
      </c>
      <c r="B14576" s="1" t="n">
        <v>45422</v>
      </c>
      <c r="C14576" s="1" t="n">
        <v>45736</v>
      </c>
      <c r="D14576" t="inlineStr">
        <is>
          <t>VÄRMLANDS LÄN</t>
        </is>
      </c>
      <c r="E14576" t="inlineStr">
        <is>
          <t>KIL</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18475-2024</t>
        </is>
      </c>
      <c r="B14577" s="1" t="n">
        <v>45424</v>
      </c>
      <c r="C14577" s="1" t="n">
        <v>45736</v>
      </c>
      <c r="D14577" t="inlineStr">
        <is>
          <t>VÄRMLANDS LÄN</t>
        </is>
      </c>
      <c r="E14577" t="inlineStr">
        <is>
          <t>SUNNE</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18419-2024</t>
        </is>
      </c>
      <c r="B14578" s="1" t="n">
        <v>45425</v>
      </c>
      <c r="C14578" s="1" t="n">
        <v>45736</v>
      </c>
      <c r="D14578" t="inlineStr">
        <is>
          <t>VÄRMLANDS LÄN</t>
        </is>
      </c>
      <c r="E14578" t="inlineStr">
        <is>
          <t>SÄFFLE</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18447-2024</t>
        </is>
      </c>
      <c r="B14579" s="1" t="n">
        <v>45425</v>
      </c>
      <c r="C14579" s="1" t="n">
        <v>45736</v>
      </c>
      <c r="D14579" t="inlineStr">
        <is>
          <t>VÄRMLANDS LÄN</t>
        </is>
      </c>
      <c r="E14579" t="inlineStr">
        <is>
          <t>GRUMS</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18467-2024</t>
        </is>
      </c>
      <c r="B14580" s="1" t="n">
        <v>45425</v>
      </c>
      <c r="C14580" s="1" t="n">
        <v>45736</v>
      </c>
      <c r="D14580" t="inlineStr">
        <is>
          <t>VÄRMLANDS LÄN</t>
        </is>
      </c>
      <c r="E14580" t="inlineStr">
        <is>
          <t>ÅRJÄNG</t>
        </is>
      </c>
      <c r="G14580" t="n">
        <v>12.8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18511-2024</t>
        </is>
      </c>
      <c r="B14581" s="1" t="n">
        <v>45425</v>
      </c>
      <c r="C14581" s="1" t="n">
        <v>45736</v>
      </c>
      <c r="D14581" t="inlineStr">
        <is>
          <t>VÄRMLANDS LÄN</t>
        </is>
      </c>
      <c r="E14581" t="inlineStr">
        <is>
          <t>HAGFORS</t>
        </is>
      </c>
      <c r="G14581" t="n">
        <v>4.4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18469-2024</t>
        </is>
      </c>
      <c r="B14582" s="1" t="n">
        <v>45425</v>
      </c>
      <c r="C14582" s="1" t="n">
        <v>45736</v>
      </c>
      <c r="D14582" t="inlineStr">
        <is>
          <t>VÄRMLANDS LÄN</t>
        </is>
      </c>
      <c r="E14582" t="inlineStr">
        <is>
          <t>SÄFFLE</t>
        </is>
      </c>
      <c r="G14582" t="n">
        <v>7.9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18527-2024</t>
        </is>
      </c>
      <c r="B14583" s="1" t="n">
        <v>45425</v>
      </c>
      <c r="C14583" s="1" t="n">
        <v>45736</v>
      </c>
      <c r="D14583" t="inlineStr">
        <is>
          <t>VÄRMLANDS LÄN</t>
        </is>
      </c>
      <c r="E14583" t="inlineStr">
        <is>
          <t>FILIPSTAD</t>
        </is>
      </c>
      <c r="F14583" t="inlineStr">
        <is>
          <t>Bergvik skog väst AB</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18543-2024</t>
        </is>
      </c>
      <c r="B14584" s="1" t="n">
        <v>45425</v>
      </c>
      <c r="C14584" s="1" t="n">
        <v>45736</v>
      </c>
      <c r="D14584" t="inlineStr">
        <is>
          <t>VÄRMLANDS LÄN</t>
        </is>
      </c>
      <c r="E14584" t="inlineStr">
        <is>
          <t>FILIPSTAD</t>
        </is>
      </c>
      <c r="F14584" t="inlineStr">
        <is>
          <t>Bergvik skog väst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18424-2024</t>
        </is>
      </c>
      <c r="B14585" s="1" t="n">
        <v>45425</v>
      </c>
      <c r="C14585" s="1" t="n">
        <v>45736</v>
      </c>
      <c r="D14585" t="inlineStr">
        <is>
          <t>VÄRMLANDS LÄN</t>
        </is>
      </c>
      <c r="E14585" t="inlineStr">
        <is>
          <t>SÄFFLE</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18472-2024</t>
        </is>
      </c>
      <c r="B14586" s="1" t="n">
        <v>45425</v>
      </c>
      <c r="C14586" s="1" t="n">
        <v>45736</v>
      </c>
      <c r="D14586" t="inlineStr">
        <is>
          <t>VÄRMLANDS LÄN</t>
        </is>
      </c>
      <c r="E14586" t="inlineStr">
        <is>
          <t>HAGFORS</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18477-2024</t>
        </is>
      </c>
      <c r="B14587" s="1" t="n">
        <v>45425</v>
      </c>
      <c r="C14587" s="1" t="n">
        <v>45736</v>
      </c>
      <c r="D14587" t="inlineStr">
        <is>
          <t>VÄRMLANDS LÄN</t>
        </is>
      </c>
      <c r="E14587" t="inlineStr">
        <is>
          <t>HAGFORS</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18542-2024</t>
        </is>
      </c>
      <c r="B14588" s="1" t="n">
        <v>45425</v>
      </c>
      <c r="C14588" s="1" t="n">
        <v>45736</v>
      </c>
      <c r="D14588" t="inlineStr">
        <is>
          <t>VÄRMLANDS LÄN</t>
        </is>
      </c>
      <c r="E14588" t="inlineStr">
        <is>
          <t>SUNNE</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18422-2024</t>
        </is>
      </c>
      <c r="B14589" s="1" t="n">
        <v>45425</v>
      </c>
      <c r="C14589" s="1" t="n">
        <v>45736</v>
      </c>
      <c r="D14589" t="inlineStr">
        <is>
          <t>VÄRMLANDS LÄN</t>
        </is>
      </c>
      <c r="E14589" t="inlineStr">
        <is>
          <t>TORSBY</t>
        </is>
      </c>
      <c r="G14589" t="n">
        <v>13.7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18514-2024</t>
        </is>
      </c>
      <c r="B14590" s="1" t="n">
        <v>45425</v>
      </c>
      <c r="C14590" s="1" t="n">
        <v>45736</v>
      </c>
      <c r="D14590" t="inlineStr">
        <is>
          <t>VÄRMLANDS LÄN</t>
        </is>
      </c>
      <c r="E14590" t="inlineStr">
        <is>
          <t>SUNNE</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18557-2024</t>
        </is>
      </c>
      <c r="B14591" s="1" t="n">
        <v>45425</v>
      </c>
      <c r="C14591" s="1" t="n">
        <v>45736</v>
      </c>
      <c r="D14591" t="inlineStr">
        <is>
          <t>VÄRMLANDS LÄN</t>
        </is>
      </c>
      <c r="E14591" t="inlineStr">
        <is>
          <t>ARVIKA</t>
        </is>
      </c>
      <c r="F14591" t="inlineStr">
        <is>
          <t>Bergvik skog väst AB</t>
        </is>
      </c>
      <c r="G14591" t="n">
        <v>11.7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18561-2024</t>
        </is>
      </c>
      <c r="B14592" s="1" t="n">
        <v>45425</v>
      </c>
      <c r="C14592" s="1" t="n">
        <v>45736</v>
      </c>
      <c r="D14592" t="inlineStr">
        <is>
          <t>VÄRMLANDS LÄN</t>
        </is>
      </c>
      <c r="E14592" t="inlineStr">
        <is>
          <t>KRISTINEHAMN</t>
        </is>
      </c>
      <c r="F14592" t="inlineStr">
        <is>
          <t>Naturvårdsverket</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18673-2024</t>
        </is>
      </c>
      <c r="B14593" s="1" t="n">
        <v>45426</v>
      </c>
      <c r="C14593" s="1" t="n">
        <v>45736</v>
      </c>
      <c r="D14593" t="inlineStr">
        <is>
          <t>VÄRMLANDS LÄN</t>
        </is>
      </c>
      <c r="E14593" t="inlineStr">
        <is>
          <t>HAGFORS</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18682-2024</t>
        </is>
      </c>
      <c r="B14594" s="1" t="n">
        <v>45426</v>
      </c>
      <c r="C14594" s="1" t="n">
        <v>45736</v>
      </c>
      <c r="D14594" t="inlineStr">
        <is>
          <t>VÄRMLANDS LÄN</t>
        </is>
      </c>
      <c r="E14594" t="inlineStr">
        <is>
          <t>TORSBY</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18686-2024</t>
        </is>
      </c>
      <c r="B14595" s="1" t="n">
        <v>45426</v>
      </c>
      <c r="C14595" s="1" t="n">
        <v>45736</v>
      </c>
      <c r="D14595" t="inlineStr">
        <is>
          <t>VÄRMLANDS LÄN</t>
        </is>
      </c>
      <c r="E14595" t="inlineStr">
        <is>
          <t>FORSHAGA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18679-2024</t>
        </is>
      </c>
      <c r="B14596" s="1" t="n">
        <v>45426</v>
      </c>
      <c r="C14596" s="1" t="n">
        <v>45736</v>
      </c>
      <c r="D14596" t="inlineStr">
        <is>
          <t>VÄRMLANDS LÄN</t>
        </is>
      </c>
      <c r="E14596" t="inlineStr">
        <is>
          <t>SUNNE</t>
        </is>
      </c>
      <c r="G14596" t="n">
        <v>10.5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18700-2024</t>
        </is>
      </c>
      <c r="B14597" s="1" t="n">
        <v>45426</v>
      </c>
      <c r="C14597" s="1" t="n">
        <v>45736</v>
      </c>
      <c r="D14597" t="inlineStr">
        <is>
          <t>VÄRMLANDS LÄN</t>
        </is>
      </c>
      <c r="E14597" t="inlineStr">
        <is>
          <t>SÄFFLE</t>
        </is>
      </c>
      <c r="G14597" t="n">
        <v>10.8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18740-2024</t>
        </is>
      </c>
      <c r="B14598" s="1" t="n">
        <v>45426</v>
      </c>
      <c r="C14598" s="1" t="n">
        <v>45736</v>
      </c>
      <c r="D14598" t="inlineStr">
        <is>
          <t>VÄRMLANDS LÄN</t>
        </is>
      </c>
      <c r="E14598" t="inlineStr">
        <is>
          <t>SUNNE</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18742-2024</t>
        </is>
      </c>
      <c r="B14599" s="1" t="n">
        <v>45426</v>
      </c>
      <c r="C14599" s="1" t="n">
        <v>45736</v>
      </c>
      <c r="D14599" t="inlineStr">
        <is>
          <t>VÄRMLANDS LÄN</t>
        </is>
      </c>
      <c r="E14599" t="inlineStr">
        <is>
          <t>SUNNE</t>
        </is>
      </c>
      <c r="G14599" t="n">
        <v>13.6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18766-2024</t>
        </is>
      </c>
      <c r="B14600" s="1" t="n">
        <v>45426</v>
      </c>
      <c r="C14600" s="1" t="n">
        <v>45736</v>
      </c>
      <c r="D14600" t="inlineStr">
        <is>
          <t>VÄRMLANDS LÄN</t>
        </is>
      </c>
      <c r="E14600" t="inlineStr">
        <is>
          <t>ARVIKA</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18883-2024</t>
        </is>
      </c>
      <c r="B14601" s="1" t="n">
        <v>45426</v>
      </c>
      <c r="C14601" s="1" t="n">
        <v>45736</v>
      </c>
      <c r="D14601" t="inlineStr">
        <is>
          <t>VÄRMLANDS LÄN</t>
        </is>
      </c>
      <c r="E14601" t="inlineStr">
        <is>
          <t>TORSBY</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18749-2024</t>
        </is>
      </c>
      <c r="B14602" s="1" t="n">
        <v>45426</v>
      </c>
      <c r="C14602" s="1" t="n">
        <v>45736</v>
      </c>
      <c r="D14602" t="inlineStr">
        <is>
          <t>VÄRMLANDS LÄN</t>
        </is>
      </c>
      <c r="E14602" t="inlineStr">
        <is>
          <t>EDA</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18753-2024</t>
        </is>
      </c>
      <c r="B14603" s="1" t="n">
        <v>45426</v>
      </c>
      <c r="C14603" s="1" t="n">
        <v>45736</v>
      </c>
      <c r="D14603" t="inlineStr">
        <is>
          <t>VÄRMLANDS LÄN</t>
        </is>
      </c>
      <c r="E14603" t="inlineStr">
        <is>
          <t>EDA</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18765-2024</t>
        </is>
      </c>
      <c r="B14604" s="1" t="n">
        <v>45426</v>
      </c>
      <c r="C14604" s="1" t="n">
        <v>45736</v>
      </c>
      <c r="D14604" t="inlineStr">
        <is>
          <t>VÄRMLANDS LÄN</t>
        </is>
      </c>
      <c r="E14604" t="inlineStr">
        <is>
          <t>EDA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18793-2024</t>
        </is>
      </c>
      <c r="B14605" s="1" t="n">
        <v>45426</v>
      </c>
      <c r="C14605" s="1" t="n">
        <v>45736</v>
      </c>
      <c r="D14605" t="inlineStr">
        <is>
          <t>VÄRMLANDS LÄN</t>
        </is>
      </c>
      <c r="E14605" t="inlineStr">
        <is>
          <t>KARLSTAD</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18821-2024</t>
        </is>
      </c>
      <c r="B14606" s="1" t="n">
        <v>45426</v>
      </c>
      <c r="C14606" s="1" t="n">
        <v>45736</v>
      </c>
      <c r="D14606" t="inlineStr">
        <is>
          <t>VÄRMLANDS LÄN</t>
        </is>
      </c>
      <c r="E14606" t="inlineStr">
        <is>
          <t>SUNNE</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18834-2024</t>
        </is>
      </c>
      <c r="B14607" s="1" t="n">
        <v>45426</v>
      </c>
      <c r="C14607" s="1" t="n">
        <v>45736</v>
      </c>
      <c r="D14607" t="inlineStr">
        <is>
          <t>VÄRMLANDS LÄN</t>
        </is>
      </c>
      <c r="E14607" t="inlineStr">
        <is>
          <t>ÅRJÄNG</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18736-2024</t>
        </is>
      </c>
      <c r="B14608" s="1" t="n">
        <v>45426</v>
      </c>
      <c r="C14608" s="1" t="n">
        <v>45736</v>
      </c>
      <c r="D14608" t="inlineStr">
        <is>
          <t>VÄRMLANDS LÄN</t>
        </is>
      </c>
      <c r="E14608" t="inlineStr">
        <is>
          <t>SUNNE</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18771-2024</t>
        </is>
      </c>
      <c r="B14609" s="1" t="n">
        <v>45426</v>
      </c>
      <c r="C14609" s="1" t="n">
        <v>45736</v>
      </c>
      <c r="D14609" t="inlineStr">
        <is>
          <t>VÄRMLANDS LÄN</t>
        </is>
      </c>
      <c r="E14609" t="inlineStr">
        <is>
          <t>ARVIKA</t>
        </is>
      </c>
      <c r="G14609" t="n">
        <v>7.1</v>
      </c>
      <c r="H14609" t="n">
        <v>0</v>
      </c>
      <c r="I14609" t="n">
        <v>0</v>
      </c>
      <c r="J14609" t="n">
        <v>0</v>
      </c>
      <c r="K14609" t="n">
        <v>0</v>
      </c>
      <c r="L14609" t="n">
        <v>0</v>
      </c>
      <c r="M14609" t="n">
        <v>0</v>
      </c>
      <c r="N14609" t="n">
        <v>0</v>
      </c>
      <c r="O14609" t="n">
        <v>0</v>
      </c>
      <c r="P14609" t="n">
        <v>0</v>
      </c>
      <c r="Q14609" t="n">
        <v>0</v>
      </c>
      <c r="R14609" s="2" t="inlineStr"/>
      <c r="U14609">
        <f>HYPERLINK("https://klasma.github.io/Logging_1784/knärot/A 18771-2024 karta knärot.png", "A 18771-2024")</f>
        <v/>
      </c>
      <c r="V14609">
        <f>HYPERLINK("https://klasma.github.io/Logging_1784/klagomål/A 18771-2024 FSC-klagomål.docx", "A 18771-2024")</f>
        <v/>
      </c>
      <c r="W14609">
        <f>HYPERLINK("https://klasma.github.io/Logging_1784/klagomålsmail/A 18771-2024 FSC-klagomål mail.docx", "A 18771-2024")</f>
        <v/>
      </c>
      <c r="X14609">
        <f>HYPERLINK("https://klasma.github.io/Logging_1784/tillsyn/A 18771-2024 tillsynsbegäran.docx", "A 18771-2024")</f>
        <v/>
      </c>
      <c r="Y14609">
        <f>HYPERLINK("https://klasma.github.io/Logging_1784/tillsynsmail/A 18771-2024 tillsynsbegäran mail.docx", "A 18771-2024")</f>
        <v/>
      </c>
    </row>
    <row r="14610" ht="15" customHeight="1">
      <c r="A14610" t="inlineStr">
        <is>
          <t>A 18783-2024</t>
        </is>
      </c>
      <c r="B14610" s="1" t="n">
        <v>45426</v>
      </c>
      <c r="C14610" s="1" t="n">
        <v>45736</v>
      </c>
      <c r="D14610" t="inlineStr">
        <is>
          <t>VÄRMLANDS LÄN</t>
        </is>
      </c>
      <c r="E14610" t="inlineStr">
        <is>
          <t>SUNNE</t>
        </is>
      </c>
      <c r="G14610" t="n">
        <v>9.800000000000001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18814-2024</t>
        </is>
      </c>
      <c r="B14611" s="1" t="n">
        <v>45426</v>
      </c>
      <c r="C14611" s="1" t="n">
        <v>45736</v>
      </c>
      <c r="D14611" t="inlineStr">
        <is>
          <t>VÄRMLANDS LÄN</t>
        </is>
      </c>
      <c r="E14611" t="inlineStr">
        <is>
          <t>HAGFORS</t>
        </is>
      </c>
      <c r="G14611" t="n">
        <v>7.5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18758-2024</t>
        </is>
      </c>
      <c r="B14612" s="1" t="n">
        <v>45426</v>
      </c>
      <c r="C14612" s="1" t="n">
        <v>45736</v>
      </c>
      <c r="D14612" t="inlineStr">
        <is>
          <t>VÄRMLANDS LÄN</t>
        </is>
      </c>
      <c r="E14612" t="inlineStr">
        <is>
          <t>EDA</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18799-2024</t>
        </is>
      </c>
      <c r="B14613" s="1" t="n">
        <v>45426</v>
      </c>
      <c r="C14613" s="1" t="n">
        <v>45736</v>
      </c>
      <c r="D14613" t="inlineStr">
        <is>
          <t>VÄRMLANDS LÄN</t>
        </is>
      </c>
      <c r="E14613" t="inlineStr">
        <is>
          <t>SUNNE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18855-2024</t>
        </is>
      </c>
      <c r="B14614" s="1" t="n">
        <v>45426</v>
      </c>
      <c r="C14614" s="1" t="n">
        <v>45736</v>
      </c>
      <c r="D14614" t="inlineStr">
        <is>
          <t>VÄRMLANDS LÄN</t>
        </is>
      </c>
      <c r="E14614" t="inlineStr">
        <is>
          <t>TORSBY</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18890-2024</t>
        </is>
      </c>
      <c r="B14615" s="1" t="n">
        <v>45427</v>
      </c>
      <c r="C14615" s="1" t="n">
        <v>45736</v>
      </c>
      <c r="D14615" t="inlineStr">
        <is>
          <t>VÄRMLANDS LÄN</t>
        </is>
      </c>
      <c r="E14615" t="inlineStr">
        <is>
          <t>TORSBY</t>
        </is>
      </c>
      <c r="G14615" t="n">
        <v>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18894-2024</t>
        </is>
      </c>
      <c r="B14616" s="1" t="n">
        <v>45427</v>
      </c>
      <c r="C14616" s="1" t="n">
        <v>45736</v>
      </c>
      <c r="D14616" t="inlineStr">
        <is>
          <t>VÄRMLANDS LÄN</t>
        </is>
      </c>
      <c r="E14616" t="inlineStr">
        <is>
          <t>HAGFORS</t>
        </is>
      </c>
      <c r="G14616" t="n">
        <v>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18949-2024</t>
        </is>
      </c>
      <c r="B14617" s="1" t="n">
        <v>45427</v>
      </c>
      <c r="C14617" s="1" t="n">
        <v>45736</v>
      </c>
      <c r="D14617" t="inlineStr">
        <is>
          <t>VÄRMLANDS LÄN</t>
        </is>
      </c>
      <c r="E14617" t="inlineStr">
        <is>
          <t>SÄFFLE</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19034-2024</t>
        </is>
      </c>
      <c r="B14618" s="1" t="n">
        <v>45427</v>
      </c>
      <c r="C14618" s="1" t="n">
        <v>45736</v>
      </c>
      <c r="D14618" t="inlineStr">
        <is>
          <t>VÄRMLANDS LÄN</t>
        </is>
      </c>
      <c r="E14618" t="inlineStr">
        <is>
          <t>FILIPSTAD</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18953-2024</t>
        </is>
      </c>
      <c r="B14619" s="1" t="n">
        <v>45427</v>
      </c>
      <c r="C14619" s="1" t="n">
        <v>45736</v>
      </c>
      <c r="D14619" t="inlineStr">
        <is>
          <t>VÄRMLANDS LÄN</t>
        </is>
      </c>
      <c r="E14619" t="inlineStr">
        <is>
          <t>TORSBY</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18925-2024</t>
        </is>
      </c>
      <c r="B14620" s="1" t="n">
        <v>45427</v>
      </c>
      <c r="C14620" s="1" t="n">
        <v>45736</v>
      </c>
      <c r="D14620" t="inlineStr">
        <is>
          <t>VÄRMLANDS LÄN</t>
        </is>
      </c>
      <c r="E14620" t="inlineStr">
        <is>
          <t>SÄFFLE</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18898-2024</t>
        </is>
      </c>
      <c r="B14621" s="1" t="n">
        <v>45427</v>
      </c>
      <c r="C14621" s="1" t="n">
        <v>45736</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19035-2024</t>
        </is>
      </c>
      <c r="B14622" s="1" t="n">
        <v>45427</v>
      </c>
      <c r="C14622" s="1" t="n">
        <v>45736</v>
      </c>
      <c r="D14622" t="inlineStr">
        <is>
          <t>VÄRMLANDS LÄN</t>
        </is>
      </c>
      <c r="E14622" t="inlineStr">
        <is>
          <t>FILIPSTAD</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19027-2024</t>
        </is>
      </c>
      <c r="B14623" s="1" t="n">
        <v>45427</v>
      </c>
      <c r="C14623" s="1" t="n">
        <v>45736</v>
      </c>
      <c r="D14623" t="inlineStr">
        <is>
          <t>VÄRMLANDS LÄN</t>
        </is>
      </c>
      <c r="E14623" t="inlineStr">
        <is>
          <t>ARVIKA</t>
        </is>
      </c>
      <c r="F14623" t="inlineStr">
        <is>
          <t>Bergvik skog väst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19003-2024</t>
        </is>
      </c>
      <c r="B14624" s="1" t="n">
        <v>45427</v>
      </c>
      <c r="C14624" s="1" t="n">
        <v>45736</v>
      </c>
      <c r="D14624" t="inlineStr">
        <is>
          <t>VÄRMLANDS LÄN</t>
        </is>
      </c>
      <c r="E14624" t="inlineStr">
        <is>
          <t>SUNNE</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18999-2024</t>
        </is>
      </c>
      <c r="B14625" s="1" t="n">
        <v>45427</v>
      </c>
      <c r="C14625" s="1" t="n">
        <v>45736</v>
      </c>
      <c r="D14625" t="inlineStr">
        <is>
          <t>VÄRMLANDS LÄN</t>
        </is>
      </c>
      <c r="E14625" t="inlineStr">
        <is>
          <t>FILIPSTAD</t>
        </is>
      </c>
      <c r="F14625" t="inlineStr">
        <is>
          <t>Bergvik skog väst AB</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18930-2024</t>
        </is>
      </c>
      <c r="B14626" s="1" t="n">
        <v>45427</v>
      </c>
      <c r="C14626" s="1" t="n">
        <v>45736</v>
      </c>
      <c r="D14626" t="inlineStr">
        <is>
          <t>VÄRMLANDS LÄN</t>
        </is>
      </c>
      <c r="E14626" t="inlineStr">
        <is>
          <t>ARVIKA</t>
        </is>
      </c>
      <c r="F14626" t="inlineStr">
        <is>
          <t>Bergvik skog väst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19052-2024</t>
        </is>
      </c>
      <c r="B14627" s="1" t="n">
        <v>45427</v>
      </c>
      <c r="C14627" s="1" t="n">
        <v>45736</v>
      </c>
      <c r="D14627" t="inlineStr">
        <is>
          <t>VÄRMLANDS LÄN</t>
        </is>
      </c>
      <c r="E14627" t="inlineStr">
        <is>
          <t>GRUMS</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18959-2024</t>
        </is>
      </c>
      <c r="B14628" s="1" t="n">
        <v>45427</v>
      </c>
      <c r="C14628" s="1" t="n">
        <v>45736</v>
      </c>
      <c r="D14628" t="inlineStr">
        <is>
          <t>VÄRMLANDS LÄN</t>
        </is>
      </c>
      <c r="E14628" t="inlineStr">
        <is>
          <t>TORSBY</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18955-2024</t>
        </is>
      </c>
      <c r="B14629" s="1" t="n">
        <v>45427</v>
      </c>
      <c r="C14629" s="1" t="n">
        <v>45736</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18943-2024</t>
        </is>
      </c>
      <c r="B14630" s="1" t="n">
        <v>45427</v>
      </c>
      <c r="C14630" s="1" t="n">
        <v>45736</v>
      </c>
      <c r="D14630" t="inlineStr">
        <is>
          <t>VÄRMLANDS LÄN</t>
        </is>
      </c>
      <c r="E14630" t="inlineStr">
        <is>
          <t>ARVIKA</t>
        </is>
      </c>
      <c r="F14630" t="inlineStr">
        <is>
          <t>Bergvik skog väst AB</t>
        </is>
      </c>
      <c r="G14630" t="n">
        <v>2.9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18900-2024</t>
        </is>
      </c>
      <c r="B14631" s="1" t="n">
        <v>45427</v>
      </c>
      <c r="C14631" s="1" t="n">
        <v>45736</v>
      </c>
      <c r="D14631" t="inlineStr">
        <is>
          <t>VÄRMLANDS LÄN</t>
        </is>
      </c>
      <c r="E14631" t="inlineStr">
        <is>
          <t>ARVIKA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18984-2024</t>
        </is>
      </c>
      <c r="B14632" s="1" t="n">
        <v>45427</v>
      </c>
      <c r="C14632" s="1" t="n">
        <v>45736</v>
      </c>
      <c r="D14632" t="inlineStr">
        <is>
          <t>VÄRMLANDS LÄN</t>
        </is>
      </c>
      <c r="E14632" t="inlineStr">
        <is>
          <t>FILIPSTAD</t>
        </is>
      </c>
      <c r="F14632" t="inlineStr">
        <is>
          <t>Bergvik skog väst AB</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19053-2024</t>
        </is>
      </c>
      <c r="B14633" s="1" t="n">
        <v>45427</v>
      </c>
      <c r="C14633" s="1" t="n">
        <v>45736</v>
      </c>
      <c r="D14633" t="inlineStr">
        <is>
          <t>VÄRMLANDS LÄN</t>
        </is>
      </c>
      <c r="E14633" t="inlineStr">
        <is>
          <t>GRUMS</t>
        </is>
      </c>
      <c r="G14633" t="n">
        <v>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18948-2024</t>
        </is>
      </c>
      <c r="B14634" s="1" t="n">
        <v>45427</v>
      </c>
      <c r="C14634" s="1" t="n">
        <v>45736</v>
      </c>
      <c r="D14634" t="inlineStr">
        <is>
          <t>VÄRMLANDS LÄN</t>
        </is>
      </c>
      <c r="E14634" t="inlineStr">
        <is>
          <t>KIL</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18897-2024</t>
        </is>
      </c>
      <c r="B14635" s="1" t="n">
        <v>45427</v>
      </c>
      <c r="C14635" s="1" t="n">
        <v>45736</v>
      </c>
      <c r="D14635" t="inlineStr">
        <is>
          <t>VÄRMLANDS LÄN</t>
        </is>
      </c>
      <c r="E14635" t="inlineStr">
        <is>
          <t>TORSBY</t>
        </is>
      </c>
      <c r="F14635" t="inlineStr">
        <is>
          <t>Övriga statliga verk och myndigheter</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19029-2024</t>
        </is>
      </c>
      <c r="B14636" s="1" t="n">
        <v>45427</v>
      </c>
      <c r="C14636" s="1" t="n">
        <v>45736</v>
      </c>
      <c r="D14636" t="inlineStr">
        <is>
          <t>VÄRMLANDS LÄN</t>
        </is>
      </c>
      <c r="E14636" t="inlineStr">
        <is>
          <t>TORSBY</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18972-2024</t>
        </is>
      </c>
      <c r="B14637" s="1" t="n">
        <v>45427</v>
      </c>
      <c r="C14637" s="1" t="n">
        <v>45736</v>
      </c>
      <c r="D14637" t="inlineStr">
        <is>
          <t>VÄRMLANDS LÄN</t>
        </is>
      </c>
      <c r="E14637" t="inlineStr">
        <is>
          <t>ARVIKA</t>
        </is>
      </c>
      <c r="F14637" t="inlineStr">
        <is>
          <t>Bergvik skog väst AB</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19136-2024</t>
        </is>
      </c>
      <c r="B14638" s="1" t="n">
        <v>45428</v>
      </c>
      <c r="C14638" s="1" t="n">
        <v>45736</v>
      </c>
      <c r="D14638" t="inlineStr">
        <is>
          <t>VÄRMLANDS LÄN</t>
        </is>
      </c>
      <c r="E14638" t="inlineStr">
        <is>
          <t>TORSBY</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19140-2024</t>
        </is>
      </c>
      <c r="B14639" s="1" t="n">
        <v>45428</v>
      </c>
      <c r="C14639" s="1" t="n">
        <v>45736</v>
      </c>
      <c r="D14639" t="inlineStr">
        <is>
          <t>VÄRMLANDS LÄN</t>
        </is>
      </c>
      <c r="E14639" t="inlineStr">
        <is>
          <t>SÄFFLE</t>
        </is>
      </c>
      <c r="F14639" t="inlineStr">
        <is>
          <t>Bergvik skog väst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19109-2024</t>
        </is>
      </c>
      <c r="B14640" s="1" t="n">
        <v>45428</v>
      </c>
      <c r="C14640" s="1" t="n">
        <v>45736</v>
      </c>
      <c r="D14640" t="inlineStr">
        <is>
          <t>VÄRMLANDS LÄN</t>
        </is>
      </c>
      <c r="E14640" t="inlineStr">
        <is>
          <t>ARVIKA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19193-2024</t>
        </is>
      </c>
      <c r="B14641" s="1" t="n">
        <v>45428</v>
      </c>
      <c r="C14641" s="1" t="n">
        <v>45736</v>
      </c>
      <c r="D14641" t="inlineStr">
        <is>
          <t>VÄRMLANDS LÄN</t>
        </is>
      </c>
      <c r="E14641" t="inlineStr">
        <is>
          <t>SÄFFLE</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19246-2024</t>
        </is>
      </c>
      <c r="B14642" s="1" t="n">
        <v>45428</v>
      </c>
      <c r="C14642" s="1" t="n">
        <v>45736</v>
      </c>
      <c r="D14642" t="inlineStr">
        <is>
          <t>VÄRMLANDS LÄN</t>
        </is>
      </c>
      <c r="E14642" t="inlineStr">
        <is>
          <t>ÅRJÄNG</t>
        </is>
      </c>
      <c r="F14642" t="inlineStr">
        <is>
          <t>Bergvik skog väst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19286-2024</t>
        </is>
      </c>
      <c r="B14643" s="1" t="n">
        <v>45428</v>
      </c>
      <c r="C14643" s="1" t="n">
        <v>45736</v>
      </c>
      <c r="D14643" t="inlineStr">
        <is>
          <t>VÄRMLANDS LÄN</t>
        </is>
      </c>
      <c r="E14643" t="inlineStr">
        <is>
          <t>ARVIKA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19099-2024</t>
        </is>
      </c>
      <c r="B14644" s="1" t="n">
        <v>45428</v>
      </c>
      <c r="C14644" s="1" t="n">
        <v>45736</v>
      </c>
      <c r="D14644" t="inlineStr">
        <is>
          <t>VÄRMLANDS LÄN</t>
        </is>
      </c>
      <c r="E14644" t="inlineStr">
        <is>
          <t>STORFORS</t>
        </is>
      </c>
      <c r="F14644" t="inlineStr">
        <is>
          <t>Kyrkan</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19107-2024</t>
        </is>
      </c>
      <c r="B14645" s="1" t="n">
        <v>45428</v>
      </c>
      <c r="C14645" s="1" t="n">
        <v>45736</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19125-2024</t>
        </is>
      </c>
      <c r="B14646" s="1" t="n">
        <v>45428</v>
      </c>
      <c r="C14646" s="1" t="n">
        <v>45736</v>
      </c>
      <c r="D14646" t="inlineStr">
        <is>
          <t>VÄRMLANDS LÄN</t>
        </is>
      </c>
      <c r="E14646" t="inlineStr">
        <is>
          <t>HAGFORS</t>
        </is>
      </c>
      <c r="F14646" t="inlineStr">
        <is>
          <t>Bergvik skog väst AB</t>
        </is>
      </c>
      <c r="G14646" t="n">
        <v>19.5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19159-2024</t>
        </is>
      </c>
      <c r="B14647" s="1" t="n">
        <v>45428</v>
      </c>
      <c r="C14647" s="1" t="n">
        <v>45736</v>
      </c>
      <c r="D14647" t="inlineStr">
        <is>
          <t>VÄRMLANDS LÄN</t>
        </is>
      </c>
      <c r="E14647" t="inlineStr">
        <is>
          <t>FILIPSTAD</t>
        </is>
      </c>
      <c r="F14647" t="inlineStr">
        <is>
          <t>Bergvik skog väst AB</t>
        </is>
      </c>
      <c r="G14647" t="n">
        <v>8.4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19166-2024</t>
        </is>
      </c>
      <c r="B14648" s="1" t="n">
        <v>45428</v>
      </c>
      <c r="C14648" s="1" t="n">
        <v>45736</v>
      </c>
      <c r="D14648" t="inlineStr">
        <is>
          <t>VÄRMLANDS LÄN</t>
        </is>
      </c>
      <c r="E14648" t="inlineStr">
        <is>
          <t>SÄFFLE</t>
        </is>
      </c>
      <c r="F14648" t="inlineStr">
        <is>
          <t>Bergvik skog väst AB</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19175-2024</t>
        </is>
      </c>
      <c r="B14649" s="1" t="n">
        <v>45428</v>
      </c>
      <c r="C14649" s="1" t="n">
        <v>45736</v>
      </c>
      <c r="D14649" t="inlineStr">
        <is>
          <t>VÄRMLANDS LÄN</t>
        </is>
      </c>
      <c r="E14649" t="inlineStr">
        <is>
          <t>SUNNE</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19183-2024</t>
        </is>
      </c>
      <c r="B14650" s="1" t="n">
        <v>45428</v>
      </c>
      <c r="C14650" s="1" t="n">
        <v>45736</v>
      </c>
      <c r="D14650" t="inlineStr">
        <is>
          <t>VÄRMLANDS LÄN</t>
        </is>
      </c>
      <c r="E14650" t="inlineStr">
        <is>
          <t>SUNNE</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19245-2024</t>
        </is>
      </c>
      <c r="B14651" s="1" t="n">
        <v>45428</v>
      </c>
      <c r="C14651" s="1" t="n">
        <v>45736</v>
      </c>
      <c r="D14651" t="inlineStr">
        <is>
          <t>VÄRMLANDS LÄN</t>
        </is>
      </c>
      <c r="E14651" t="inlineStr">
        <is>
          <t>ÅRJÄNG</t>
        </is>
      </c>
      <c r="F14651" t="inlineStr">
        <is>
          <t>Bergvik skog väst AB</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19257-2024</t>
        </is>
      </c>
      <c r="B14652" s="1" t="n">
        <v>45428</v>
      </c>
      <c r="C14652" s="1" t="n">
        <v>45736</v>
      </c>
      <c r="D14652" t="inlineStr">
        <is>
          <t>VÄRMLANDS LÄN</t>
        </is>
      </c>
      <c r="E14652" t="inlineStr">
        <is>
          <t>ARVIKA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19161-2024</t>
        </is>
      </c>
      <c r="B14653" s="1" t="n">
        <v>45428</v>
      </c>
      <c r="C14653" s="1" t="n">
        <v>45736</v>
      </c>
      <c r="D14653" t="inlineStr">
        <is>
          <t>VÄRMLANDS LÄN</t>
        </is>
      </c>
      <c r="E14653" t="inlineStr">
        <is>
          <t>SÄFFLE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19173-2024</t>
        </is>
      </c>
      <c r="B14654" s="1" t="n">
        <v>45428</v>
      </c>
      <c r="C14654" s="1" t="n">
        <v>45736</v>
      </c>
      <c r="D14654" t="inlineStr">
        <is>
          <t>VÄRMLANDS LÄN</t>
        </is>
      </c>
      <c r="E14654" t="inlineStr">
        <is>
          <t>SUNNE</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19226-2024</t>
        </is>
      </c>
      <c r="B14655" s="1" t="n">
        <v>45428</v>
      </c>
      <c r="C14655" s="1" t="n">
        <v>45736</v>
      </c>
      <c r="D14655" t="inlineStr">
        <is>
          <t>VÄRMLANDS LÄN</t>
        </is>
      </c>
      <c r="E14655" t="inlineStr">
        <is>
          <t>HAGFORS</t>
        </is>
      </c>
      <c r="F14655" t="inlineStr">
        <is>
          <t>Bergvik skog väst AB</t>
        </is>
      </c>
      <c r="G14655" t="n">
        <v>22.8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19251-2024</t>
        </is>
      </c>
      <c r="B14656" s="1" t="n">
        <v>45428</v>
      </c>
      <c r="C14656" s="1" t="n">
        <v>45736</v>
      </c>
      <c r="D14656" t="inlineStr">
        <is>
          <t>VÄRMLANDS LÄN</t>
        </is>
      </c>
      <c r="E14656" t="inlineStr">
        <is>
          <t>TORSBY</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19215-2024</t>
        </is>
      </c>
      <c r="B14657" s="1" t="n">
        <v>45428</v>
      </c>
      <c r="C14657" s="1" t="n">
        <v>45736</v>
      </c>
      <c r="D14657" t="inlineStr">
        <is>
          <t>VÄRMLANDS LÄN</t>
        </is>
      </c>
      <c r="E14657" t="inlineStr">
        <is>
          <t>TORSBY</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19260-2024</t>
        </is>
      </c>
      <c r="B14658" s="1" t="n">
        <v>45428</v>
      </c>
      <c r="C14658" s="1" t="n">
        <v>45736</v>
      </c>
      <c r="D14658" t="inlineStr">
        <is>
          <t>VÄRMLANDS LÄN</t>
        </is>
      </c>
      <c r="E14658" t="inlineStr">
        <is>
          <t>ARVIKA</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19320-2024</t>
        </is>
      </c>
      <c r="B14659" s="1" t="n">
        <v>45428</v>
      </c>
      <c r="C14659" s="1" t="n">
        <v>45736</v>
      </c>
      <c r="D14659" t="inlineStr">
        <is>
          <t>VÄRMLANDS LÄN</t>
        </is>
      </c>
      <c r="E14659" t="inlineStr">
        <is>
          <t>ARVIKA</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19321-2024</t>
        </is>
      </c>
      <c r="B14660" s="1" t="n">
        <v>45428</v>
      </c>
      <c r="C14660" s="1" t="n">
        <v>45736</v>
      </c>
      <c r="D14660" t="inlineStr">
        <is>
          <t>VÄRMLANDS LÄN</t>
        </is>
      </c>
      <c r="E14660" t="inlineStr">
        <is>
          <t>ARVIKA</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19385-2024</t>
        </is>
      </c>
      <c r="B14661" s="1" t="n">
        <v>45428</v>
      </c>
      <c r="C14661" s="1" t="n">
        <v>45736</v>
      </c>
      <c r="D14661" t="inlineStr">
        <is>
          <t>VÄRMLANDS LÄN</t>
        </is>
      </c>
      <c r="E14661" t="inlineStr">
        <is>
          <t>SÄFFLE</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19365-2024</t>
        </is>
      </c>
      <c r="B14662" s="1" t="n">
        <v>45429</v>
      </c>
      <c r="C14662" s="1" t="n">
        <v>45736</v>
      </c>
      <c r="D14662" t="inlineStr">
        <is>
          <t>VÄRMLANDS LÄN</t>
        </is>
      </c>
      <c r="E14662" t="inlineStr">
        <is>
          <t>MUNKFORS</t>
        </is>
      </c>
      <c r="F14662" t="inlineStr">
        <is>
          <t>Bergvik skog väst AB</t>
        </is>
      </c>
      <c r="G14662" t="n">
        <v>12.2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19369-2024</t>
        </is>
      </c>
      <c r="B14663" s="1" t="n">
        <v>45429</v>
      </c>
      <c r="C14663" s="1" t="n">
        <v>45736</v>
      </c>
      <c r="D14663" t="inlineStr">
        <is>
          <t>VÄRMLANDS LÄN</t>
        </is>
      </c>
      <c r="E14663" t="inlineStr">
        <is>
          <t>ARVIKA</t>
        </is>
      </c>
      <c r="F14663" t="inlineStr">
        <is>
          <t>Bergvik skog väst AB</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19427-2024</t>
        </is>
      </c>
      <c r="B14664" s="1" t="n">
        <v>45429</v>
      </c>
      <c r="C14664" s="1" t="n">
        <v>45736</v>
      </c>
      <c r="D14664" t="inlineStr">
        <is>
          <t>VÄRMLANDS LÄN</t>
        </is>
      </c>
      <c r="E14664" t="inlineStr">
        <is>
          <t>ARVIKA</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19447-2024</t>
        </is>
      </c>
      <c r="B14665" s="1" t="n">
        <v>45429</v>
      </c>
      <c r="C14665" s="1" t="n">
        <v>45736</v>
      </c>
      <c r="D14665" t="inlineStr">
        <is>
          <t>VÄRMLANDS LÄN</t>
        </is>
      </c>
      <c r="E14665" t="inlineStr">
        <is>
          <t>KRISTINEHAMN</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19475-2024</t>
        </is>
      </c>
      <c r="B14666" s="1" t="n">
        <v>45429</v>
      </c>
      <c r="C14666" s="1" t="n">
        <v>45736</v>
      </c>
      <c r="D14666" t="inlineStr">
        <is>
          <t>VÄRMLANDS LÄN</t>
        </is>
      </c>
      <c r="E14666" t="inlineStr">
        <is>
          <t>EDA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19487-2024</t>
        </is>
      </c>
      <c r="B14667" s="1" t="n">
        <v>45429</v>
      </c>
      <c r="C14667" s="1" t="n">
        <v>45736</v>
      </c>
      <c r="D14667" t="inlineStr">
        <is>
          <t>VÄRMLANDS LÄN</t>
        </is>
      </c>
      <c r="E14667" t="inlineStr">
        <is>
          <t>SUNNE</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19381-2024</t>
        </is>
      </c>
      <c r="B14668" s="1" t="n">
        <v>45429</v>
      </c>
      <c r="C14668" s="1" t="n">
        <v>45736</v>
      </c>
      <c r="D14668" t="inlineStr">
        <is>
          <t>VÄRMLANDS LÄN</t>
        </is>
      </c>
      <c r="E14668" t="inlineStr">
        <is>
          <t>MUNKFORS</t>
        </is>
      </c>
      <c r="F14668" t="inlineStr">
        <is>
          <t>Bergvik skog väst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19424-2024</t>
        </is>
      </c>
      <c r="B14669" s="1" t="n">
        <v>45429</v>
      </c>
      <c r="C14669" s="1" t="n">
        <v>45736</v>
      </c>
      <c r="D14669" t="inlineStr">
        <is>
          <t>VÄRMLANDS LÄN</t>
        </is>
      </c>
      <c r="E14669" t="inlineStr">
        <is>
          <t>ARVIKA</t>
        </is>
      </c>
      <c r="F14669" t="inlineStr">
        <is>
          <t>Bergvik skog väst AB</t>
        </is>
      </c>
      <c r="G14669" t="n">
        <v>8.5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19425-2024</t>
        </is>
      </c>
      <c r="B14670" s="1" t="n">
        <v>45429</v>
      </c>
      <c r="C14670" s="1" t="n">
        <v>45736</v>
      </c>
      <c r="D14670" t="inlineStr">
        <is>
          <t>VÄRMLANDS LÄN</t>
        </is>
      </c>
      <c r="E14670" t="inlineStr">
        <is>
          <t>ARVIKA</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19465-2024</t>
        </is>
      </c>
      <c r="B14671" s="1" t="n">
        <v>45429</v>
      </c>
      <c r="C14671" s="1" t="n">
        <v>45736</v>
      </c>
      <c r="D14671" t="inlineStr">
        <is>
          <t>VÄRMLANDS LÄN</t>
        </is>
      </c>
      <c r="E14671" t="inlineStr">
        <is>
          <t>SUNNE</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19480-2024</t>
        </is>
      </c>
      <c r="B14672" s="1" t="n">
        <v>45429</v>
      </c>
      <c r="C14672" s="1" t="n">
        <v>45736</v>
      </c>
      <c r="D14672" t="inlineStr">
        <is>
          <t>VÄRMLANDS LÄN</t>
        </is>
      </c>
      <c r="E14672" t="inlineStr">
        <is>
          <t>FORSHAGA</t>
        </is>
      </c>
      <c r="F14672" t="inlineStr">
        <is>
          <t>Bergvik skog väst AB</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19496-2024</t>
        </is>
      </c>
      <c r="B14673" s="1" t="n">
        <v>45429</v>
      </c>
      <c r="C14673" s="1" t="n">
        <v>45736</v>
      </c>
      <c r="D14673" t="inlineStr">
        <is>
          <t>VÄRMLANDS LÄN</t>
        </is>
      </c>
      <c r="E14673" t="inlineStr">
        <is>
          <t>FORSHAGA</t>
        </is>
      </c>
      <c r="F14673" t="inlineStr">
        <is>
          <t>Bergvik skog väst AB</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19410-2024</t>
        </is>
      </c>
      <c r="B14674" s="1" t="n">
        <v>45429</v>
      </c>
      <c r="C14674" s="1" t="n">
        <v>45736</v>
      </c>
      <c r="D14674" t="inlineStr">
        <is>
          <t>VÄRMLANDS LÄN</t>
        </is>
      </c>
      <c r="E14674" t="inlineStr">
        <is>
          <t>ÅRJÄNG</t>
        </is>
      </c>
      <c r="G14674" t="n">
        <v>7.9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19482-2024</t>
        </is>
      </c>
      <c r="B14675" s="1" t="n">
        <v>45429</v>
      </c>
      <c r="C14675" s="1" t="n">
        <v>45736</v>
      </c>
      <c r="D14675" t="inlineStr">
        <is>
          <t>VÄRMLANDS LÄN</t>
        </is>
      </c>
      <c r="E14675" t="inlineStr">
        <is>
          <t>ARVIKA</t>
        </is>
      </c>
      <c r="F14675" t="inlineStr">
        <is>
          <t>Bergvik skog väst AB</t>
        </is>
      </c>
      <c r="G14675" t="n">
        <v>16.3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19516-2024</t>
        </is>
      </c>
      <c r="B14676" s="1" t="n">
        <v>45429</v>
      </c>
      <c r="C14676" s="1" t="n">
        <v>45736</v>
      </c>
      <c r="D14676" t="inlineStr">
        <is>
          <t>VÄRMLANDS LÄN</t>
        </is>
      </c>
      <c r="E14676" t="inlineStr">
        <is>
          <t>ÅRJÄNG</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19524-2024</t>
        </is>
      </c>
      <c r="B14677" s="1" t="n">
        <v>45429</v>
      </c>
      <c r="C14677" s="1" t="n">
        <v>45736</v>
      </c>
      <c r="D14677" t="inlineStr">
        <is>
          <t>VÄRMLANDS LÄN</t>
        </is>
      </c>
      <c r="E14677" t="inlineStr">
        <is>
          <t>GRUMS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19540-2024</t>
        </is>
      </c>
      <c r="B14678" s="1" t="n">
        <v>45429</v>
      </c>
      <c r="C14678" s="1" t="n">
        <v>45736</v>
      </c>
      <c r="D14678" t="inlineStr">
        <is>
          <t>VÄRMLANDS LÄN</t>
        </is>
      </c>
      <c r="E14678" t="inlineStr">
        <is>
          <t>KIL</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19554-2024</t>
        </is>
      </c>
      <c r="B14679" s="1" t="n">
        <v>45429</v>
      </c>
      <c r="C14679" s="1" t="n">
        <v>45736</v>
      </c>
      <c r="D14679" t="inlineStr">
        <is>
          <t>VÄRMLANDS LÄN</t>
        </is>
      </c>
      <c r="E14679" t="inlineStr">
        <is>
          <t>HAGFORS</t>
        </is>
      </c>
      <c r="F14679" t="inlineStr">
        <is>
          <t>Bergvik skog väst AB</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19511-2024</t>
        </is>
      </c>
      <c r="B14680" s="1" t="n">
        <v>45429</v>
      </c>
      <c r="C14680" s="1" t="n">
        <v>45736</v>
      </c>
      <c r="D14680" t="inlineStr">
        <is>
          <t>VÄRMLANDS LÄN</t>
        </is>
      </c>
      <c r="E14680" t="inlineStr">
        <is>
          <t>ÅRJÄNG</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19538-2024</t>
        </is>
      </c>
      <c r="B14681" s="1" t="n">
        <v>45429</v>
      </c>
      <c r="C14681" s="1" t="n">
        <v>45736</v>
      </c>
      <c r="D14681" t="inlineStr">
        <is>
          <t>VÄRMLANDS LÄN</t>
        </is>
      </c>
      <c r="E14681" t="inlineStr">
        <is>
          <t>SUNNE</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19593-2024</t>
        </is>
      </c>
      <c r="B14682" s="1" t="n">
        <v>45430</v>
      </c>
      <c r="C14682" s="1" t="n">
        <v>45736</v>
      </c>
      <c r="D14682" t="inlineStr">
        <is>
          <t>VÄRMLANDS LÄN</t>
        </is>
      </c>
      <c r="E14682" t="inlineStr">
        <is>
          <t>SÄFFLE</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19665-2024</t>
        </is>
      </c>
      <c r="B14683" s="1" t="n">
        <v>45432</v>
      </c>
      <c r="C14683" s="1" t="n">
        <v>45736</v>
      </c>
      <c r="D14683" t="inlineStr">
        <is>
          <t>VÄRMLANDS LÄN</t>
        </is>
      </c>
      <c r="E14683" t="inlineStr">
        <is>
          <t>TORSBY</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19681-2024</t>
        </is>
      </c>
      <c r="B14684" s="1" t="n">
        <v>45432</v>
      </c>
      <c r="C14684" s="1" t="n">
        <v>45736</v>
      </c>
      <c r="D14684" t="inlineStr">
        <is>
          <t>VÄRMLANDS LÄN</t>
        </is>
      </c>
      <c r="E14684" t="inlineStr">
        <is>
          <t>EDA</t>
        </is>
      </c>
      <c r="G14684" t="n">
        <v>8.699999999999999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19685-2024</t>
        </is>
      </c>
      <c r="B14685" s="1" t="n">
        <v>45432</v>
      </c>
      <c r="C14685" s="1" t="n">
        <v>45736</v>
      </c>
      <c r="D14685" t="inlineStr">
        <is>
          <t>VÄRMLANDS LÄN</t>
        </is>
      </c>
      <c r="E14685" t="inlineStr">
        <is>
          <t>EDA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19694-2024</t>
        </is>
      </c>
      <c r="B14686" s="1" t="n">
        <v>45432</v>
      </c>
      <c r="C14686" s="1" t="n">
        <v>45736</v>
      </c>
      <c r="D14686" t="inlineStr">
        <is>
          <t>VÄRMLANDS LÄN</t>
        </is>
      </c>
      <c r="E14686" t="inlineStr">
        <is>
          <t>SÄFFLE</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19711-2024</t>
        </is>
      </c>
      <c r="B14687" s="1" t="n">
        <v>45432</v>
      </c>
      <c r="C14687" s="1" t="n">
        <v>45736</v>
      </c>
      <c r="D14687" t="inlineStr">
        <is>
          <t>VÄRMLANDS LÄN</t>
        </is>
      </c>
      <c r="E14687" t="inlineStr">
        <is>
          <t>HAGFORS</t>
        </is>
      </c>
      <c r="F14687" t="inlineStr">
        <is>
          <t>Bergvik skog väst AB</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19715-2024</t>
        </is>
      </c>
      <c r="B14688" s="1" t="n">
        <v>45432</v>
      </c>
      <c r="C14688" s="1" t="n">
        <v>45736</v>
      </c>
      <c r="D14688" t="inlineStr">
        <is>
          <t>VÄRMLANDS LÄN</t>
        </is>
      </c>
      <c r="E14688" t="inlineStr">
        <is>
          <t>SUNNE</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19753-2024</t>
        </is>
      </c>
      <c r="B14689" s="1" t="n">
        <v>45432</v>
      </c>
      <c r="C14689" s="1" t="n">
        <v>45736</v>
      </c>
      <c r="D14689" t="inlineStr">
        <is>
          <t>VÄRMLANDS LÄN</t>
        </is>
      </c>
      <c r="E14689" t="inlineStr">
        <is>
          <t>GRUMS</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19761-2024</t>
        </is>
      </c>
      <c r="B14690" s="1" t="n">
        <v>45432</v>
      </c>
      <c r="C14690" s="1" t="n">
        <v>45736</v>
      </c>
      <c r="D14690" t="inlineStr">
        <is>
          <t>VÄRMLANDS LÄN</t>
        </is>
      </c>
      <c r="E14690" t="inlineStr">
        <is>
          <t>HAGFORS</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19654-2024</t>
        </is>
      </c>
      <c r="B14691" s="1" t="n">
        <v>45432</v>
      </c>
      <c r="C14691" s="1" t="n">
        <v>45736</v>
      </c>
      <c r="D14691" t="inlineStr">
        <is>
          <t>VÄRMLANDS LÄN</t>
        </is>
      </c>
      <c r="E14691" t="inlineStr">
        <is>
          <t>HAGFORS</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19627-2024</t>
        </is>
      </c>
      <c r="B14692" s="1" t="n">
        <v>45432</v>
      </c>
      <c r="C14692" s="1" t="n">
        <v>45736</v>
      </c>
      <c r="D14692" t="inlineStr">
        <is>
          <t>VÄRMLANDS LÄN</t>
        </is>
      </c>
      <c r="E14692" t="inlineStr">
        <is>
          <t>ARVIKA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19668-2024</t>
        </is>
      </c>
      <c r="B14693" s="1" t="n">
        <v>45432</v>
      </c>
      <c r="C14693" s="1" t="n">
        <v>45736</v>
      </c>
      <c r="D14693" t="inlineStr">
        <is>
          <t>VÄRMLANDS LÄN</t>
        </is>
      </c>
      <c r="E14693" t="inlineStr">
        <is>
          <t>SUNNE</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19804-2024</t>
        </is>
      </c>
      <c r="B14694" s="1" t="n">
        <v>45432</v>
      </c>
      <c r="C14694" s="1" t="n">
        <v>45736</v>
      </c>
      <c r="D14694" t="inlineStr">
        <is>
          <t>VÄRMLANDS LÄN</t>
        </is>
      </c>
      <c r="E14694" t="inlineStr">
        <is>
          <t>SÄFFLE</t>
        </is>
      </c>
      <c r="F14694" t="inlineStr">
        <is>
          <t>Bergvik skog väst AB</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19844-2024</t>
        </is>
      </c>
      <c r="B14695" s="1" t="n">
        <v>45432</v>
      </c>
      <c r="C14695" s="1" t="n">
        <v>45736</v>
      </c>
      <c r="D14695" t="inlineStr">
        <is>
          <t>VÄRMLANDS LÄN</t>
        </is>
      </c>
      <c r="E14695" t="inlineStr">
        <is>
          <t>KARLSTAD</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19692-2024</t>
        </is>
      </c>
      <c r="B14696" s="1" t="n">
        <v>45432</v>
      </c>
      <c r="C14696" s="1" t="n">
        <v>45736</v>
      </c>
      <c r="D14696" t="inlineStr">
        <is>
          <t>VÄRMLANDS LÄN</t>
        </is>
      </c>
      <c r="E14696" t="inlineStr">
        <is>
          <t>SÄFFLE</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19802-2024</t>
        </is>
      </c>
      <c r="B14697" s="1" t="n">
        <v>45432</v>
      </c>
      <c r="C14697" s="1" t="n">
        <v>45736</v>
      </c>
      <c r="D14697" t="inlineStr">
        <is>
          <t>VÄRMLANDS LÄN</t>
        </is>
      </c>
      <c r="E14697" t="inlineStr">
        <is>
          <t>GRUMS</t>
        </is>
      </c>
      <c r="F14697" t="inlineStr">
        <is>
          <t>Bergvik skog väst AB</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19859-2024</t>
        </is>
      </c>
      <c r="B14698" s="1" t="n">
        <v>45433</v>
      </c>
      <c r="C14698" s="1" t="n">
        <v>45736</v>
      </c>
      <c r="D14698" t="inlineStr">
        <is>
          <t>VÄRMLANDS LÄN</t>
        </is>
      </c>
      <c r="E14698" t="inlineStr">
        <is>
          <t>ÅRJÄNG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19885-2024</t>
        </is>
      </c>
      <c r="B14699" s="1" t="n">
        <v>45433</v>
      </c>
      <c r="C14699" s="1" t="n">
        <v>45736</v>
      </c>
      <c r="D14699" t="inlineStr">
        <is>
          <t>VÄRMLANDS LÄN</t>
        </is>
      </c>
      <c r="E14699" t="inlineStr">
        <is>
          <t>ÅRJÄNG</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19882-2024</t>
        </is>
      </c>
      <c r="B14700" s="1" t="n">
        <v>45433</v>
      </c>
      <c r="C14700" s="1" t="n">
        <v>45736</v>
      </c>
      <c r="D14700" t="inlineStr">
        <is>
          <t>VÄRMLANDS LÄN</t>
        </is>
      </c>
      <c r="E14700" t="inlineStr">
        <is>
          <t>ÅRJÄNG</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19886-2024</t>
        </is>
      </c>
      <c r="B14701" s="1" t="n">
        <v>45433</v>
      </c>
      <c r="C14701" s="1" t="n">
        <v>45736</v>
      </c>
      <c r="D14701" t="inlineStr">
        <is>
          <t>VÄRMLANDS LÄN</t>
        </is>
      </c>
      <c r="E14701" t="inlineStr">
        <is>
          <t>ÅRJÄNG</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19890-2024</t>
        </is>
      </c>
      <c r="B14702" s="1" t="n">
        <v>45433</v>
      </c>
      <c r="C14702" s="1" t="n">
        <v>45736</v>
      </c>
      <c r="D14702" t="inlineStr">
        <is>
          <t>VÄRMLANDS LÄN</t>
        </is>
      </c>
      <c r="E14702" t="inlineStr">
        <is>
          <t>ARVIKA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19894-2024</t>
        </is>
      </c>
      <c r="B14703" s="1" t="n">
        <v>45433</v>
      </c>
      <c r="C14703" s="1" t="n">
        <v>45736</v>
      </c>
      <c r="D14703" t="inlineStr">
        <is>
          <t>VÄRMLANDS LÄN</t>
        </is>
      </c>
      <c r="E14703" t="inlineStr">
        <is>
          <t>HAGFORS</t>
        </is>
      </c>
      <c r="F14703" t="inlineStr">
        <is>
          <t>Bergvik skog väst AB</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19902-2024</t>
        </is>
      </c>
      <c r="B14704" s="1" t="n">
        <v>45433</v>
      </c>
      <c r="C14704" s="1" t="n">
        <v>45736</v>
      </c>
      <c r="D14704" t="inlineStr">
        <is>
          <t>VÄRMLANDS LÄN</t>
        </is>
      </c>
      <c r="E14704" t="inlineStr">
        <is>
          <t>SUNNE</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19887-2024</t>
        </is>
      </c>
      <c r="B14705" s="1" t="n">
        <v>45433</v>
      </c>
      <c r="C14705" s="1" t="n">
        <v>45736</v>
      </c>
      <c r="D14705" t="inlineStr">
        <is>
          <t>VÄRMLANDS LÄN</t>
        </is>
      </c>
      <c r="E14705" t="inlineStr">
        <is>
          <t>TORSBY</t>
        </is>
      </c>
      <c r="G14705" t="n">
        <v>10.1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19899-2024</t>
        </is>
      </c>
      <c r="B14706" s="1" t="n">
        <v>45433</v>
      </c>
      <c r="C14706" s="1" t="n">
        <v>45736</v>
      </c>
      <c r="D14706" t="inlineStr">
        <is>
          <t>VÄRMLANDS LÄN</t>
        </is>
      </c>
      <c r="E14706" t="inlineStr">
        <is>
          <t>EDA</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19901-2024</t>
        </is>
      </c>
      <c r="B14707" s="1" t="n">
        <v>45433</v>
      </c>
      <c r="C14707" s="1" t="n">
        <v>45736</v>
      </c>
      <c r="D14707" t="inlineStr">
        <is>
          <t>VÄRMLANDS LÄN</t>
        </is>
      </c>
      <c r="E14707" t="inlineStr">
        <is>
          <t>ÅRJÄNG</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19913-2024</t>
        </is>
      </c>
      <c r="B14708" s="1" t="n">
        <v>45433</v>
      </c>
      <c r="C14708" s="1" t="n">
        <v>45736</v>
      </c>
      <c r="D14708" t="inlineStr">
        <is>
          <t>VÄRMLANDS LÄN</t>
        </is>
      </c>
      <c r="E14708" t="inlineStr">
        <is>
          <t>ARVIKA</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19918-2024</t>
        </is>
      </c>
      <c r="B14709" s="1" t="n">
        <v>45433</v>
      </c>
      <c r="C14709" s="1" t="n">
        <v>45736</v>
      </c>
      <c r="D14709" t="inlineStr">
        <is>
          <t>VÄRMLANDS LÄN</t>
        </is>
      </c>
      <c r="E14709" t="inlineStr">
        <is>
          <t>ARVIKA</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19922-2024</t>
        </is>
      </c>
      <c r="B14710" s="1" t="n">
        <v>45433</v>
      </c>
      <c r="C14710" s="1" t="n">
        <v>45736</v>
      </c>
      <c r="D14710" t="inlineStr">
        <is>
          <t>VÄRMLANDS LÄN</t>
        </is>
      </c>
      <c r="E14710" t="inlineStr">
        <is>
          <t>ARVIKA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19930-2024</t>
        </is>
      </c>
      <c r="B14711" s="1" t="n">
        <v>45433</v>
      </c>
      <c r="C14711" s="1" t="n">
        <v>45736</v>
      </c>
      <c r="D14711" t="inlineStr">
        <is>
          <t>VÄRMLANDS LÄN</t>
        </is>
      </c>
      <c r="E14711" t="inlineStr">
        <is>
          <t>ARVIKA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19934-2024</t>
        </is>
      </c>
      <c r="B14712" s="1" t="n">
        <v>45433</v>
      </c>
      <c r="C14712" s="1" t="n">
        <v>45736</v>
      </c>
      <c r="D14712" t="inlineStr">
        <is>
          <t>VÄRMLANDS LÄN</t>
        </is>
      </c>
      <c r="E14712" t="inlineStr">
        <is>
          <t>EDA</t>
        </is>
      </c>
      <c r="G14712" t="n">
        <v>6.7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19920-2024</t>
        </is>
      </c>
      <c r="B14713" s="1" t="n">
        <v>45433</v>
      </c>
      <c r="C14713" s="1" t="n">
        <v>45736</v>
      </c>
      <c r="D14713" t="inlineStr">
        <is>
          <t>VÄRMLANDS LÄN</t>
        </is>
      </c>
      <c r="E14713" t="inlineStr">
        <is>
          <t>ÅRJÄNG</t>
        </is>
      </c>
      <c r="F14713" t="inlineStr">
        <is>
          <t>Bergvik skog väst AB</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19924-2024</t>
        </is>
      </c>
      <c r="B14714" s="1" t="n">
        <v>45433</v>
      </c>
      <c r="C14714" s="1" t="n">
        <v>45736</v>
      </c>
      <c r="D14714" t="inlineStr">
        <is>
          <t>VÄRMLANDS LÄN</t>
        </is>
      </c>
      <c r="E14714" t="inlineStr">
        <is>
          <t>ARVIKA</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19928-2024</t>
        </is>
      </c>
      <c r="B14715" s="1" t="n">
        <v>45433</v>
      </c>
      <c r="C14715" s="1" t="n">
        <v>45736</v>
      </c>
      <c r="D14715" t="inlineStr">
        <is>
          <t>VÄRMLANDS LÄN</t>
        </is>
      </c>
      <c r="E14715" t="inlineStr">
        <is>
          <t>ARVIKA</t>
        </is>
      </c>
      <c r="F14715" t="inlineStr">
        <is>
          <t>Bergvik skog väst AB</t>
        </is>
      </c>
      <c r="G14715" t="n">
        <v>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19932-2024</t>
        </is>
      </c>
      <c r="B14716" s="1" t="n">
        <v>45433</v>
      </c>
      <c r="C14716" s="1" t="n">
        <v>45736</v>
      </c>
      <c r="D14716" t="inlineStr">
        <is>
          <t>VÄRMLANDS LÄN</t>
        </is>
      </c>
      <c r="E14716" t="inlineStr">
        <is>
          <t>ARVIKA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19941-2024</t>
        </is>
      </c>
      <c r="B14717" s="1" t="n">
        <v>45433</v>
      </c>
      <c r="C14717" s="1" t="n">
        <v>45736</v>
      </c>
      <c r="D14717" t="inlineStr">
        <is>
          <t>VÄRMLANDS LÄN</t>
        </is>
      </c>
      <c r="E14717" t="inlineStr">
        <is>
          <t>ARVIKA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19954-2024</t>
        </is>
      </c>
      <c r="B14718" s="1" t="n">
        <v>45433</v>
      </c>
      <c r="C14718" s="1" t="n">
        <v>45736</v>
      </c>
      <c r="D14718" t="inlineStr">
        <is>
          <t>VÄRMLANDS LÄN</t>
        </is>
      </c>
      <c r="E14718" t="inlineStr">
        <is>
          <t>SUNNE</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19944-2024</t>
        </is>
      </c>
      <c r="B14719" s="1" t="n">
        <v>45433</v>
      </c>
      <c r="C14719" s="1" t="n">
        <v>45736</v>
      </c>
      <c r="D14719" t="inlineStr">
        <is>
          <t>VÄRMLANDS LÄN</t>
        </is>
      </c>
      <c r="E14719" t="inlineStr">
        <is>
          <t>ARVIKA</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19952-2024</t>
        </is>
      </c>
      <c r="B14720" s="1" t="n">
        <v>45433</v>
      </c>
      <c r="C14720" s="1" t="n">
        <v>45736</v>
      </c>
      <c r="D14720" t="inlineStr">
        <is>
          <t>VÄRMLANDS LÄN</t>
        </is>
      </c>
      <c r="E14720" t="inlineStr">
        <is>
          <t>SÄFFLE</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19956-2024</t>
        </is>
      </c>
      <c r="B14721" s="1" t="n">
        <v>45433</v>
      </c>
      <c r="C14721" s="1" t="n">
        <v>45736</v>
      </c>
      <c r="D14721" t="inlineStr">
        <is>
          <t>VÄRMLANDS LÄN</t>
        </is>
      </c>
      <c r="E14721" t="inlineStr">
        <is>
          <t>SÄFFLE</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20034-2024</t>
        </is>
      </c>
      <c r="B14722" s="1" t="n">
        <v>45434</v>
      </c>
      <c r="C14722" s="1" t="n">
        <v>45736</v>
      </c>
      <c r="D14722" t="inlineStr">
        <is>
          <t>VÄRMLANDS LÄN</t>
        </is>
      </c>
      <c r="E14722" t="inlineStr">
        <is>
          <t>ARVIKA</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20103-2024</t>
        </is>
      </c>
      <c r="B14723" s="1" t="n">
        <v>45434</v>
      </c>
      <c r="C14723" s="1" t="n">
        <v>45736</v>
      </c>
      <c r="D14723" t="inlineStr">
        <is>
          <t>VÄRMLANDS LÄN</t>
        </is>
      </c>
      <c r="E14723" t="inlineStr">
        <is>
          <t>HAGFORS</t>
        </is>
      </c>
      <c r="F14723" t="inlineStr">
        <is>
          <t>Bergvik skog väst AB</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20027-2024</t>
        </is>
      </c>
      <c r="B14724" s="1" t="n">
        <v>45434</v>
      </c>
      <c r="C14724" s="1" t="n">
        <v>45736</v>
      </c>
      <c r="D14724" t="inlineStr">
        <is>
          <t>VÄRMLANDS LÄN</t>
        </is>
      </c>
      <c r="E14724" t="inlineStr">
        <is>
          <t>FORSHAGA</t>
        </is>
      </c>
      <c r="F14724" t="inlineStr">
        <is>
          <t>Bergvik skog väst AB</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20052-2024</t>
        </is>
      </c>
      <c r="B14725" s="1" t="n">
        <v>45434</v>
      </c>
      <c r="C14725" s="1" t="n">
        <v>45736</v>
      </c>
      <c r="D14725" t="inlineStr">
        <is>
          <t>VÄRMLANDS LÄN</t>
        </is>
      </c>
      <c r="E14725" t="inlineStr">
        <is>
          <t>EDA</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20116-2024</t>
        </is>
      </c>
      <c r="B14726" s="1" t="n">
        <v>45434</v>
      </c>
      <c r="C14726" s="1" t="n">
        <v>45736</v>
      </c>
      <c r="D14726" t="inlineStr">
        <is>
          <t>VÄRMLANDS LÄN</t>
        </is>
      </c>
      <c r="E14726" t="inlineStr">
        <is>
          <t>HAGFORS</t>
        </is>
      </c>
      <c r="F14726" t="inlineStr">
        <is>
          <t>Bergvik skog väst AB</t>
        </is>
      </c>
      <c r="G14726" t="n">
        <v>9.699999999999999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20140-2024</t>
        </is>
      </c>
      <c r="B14727" s="1" t="n">
        <v>45434</v>
      </c>
      <c r="C14727" s="1" t="n">
        <v>45736</v>
      </c>
      <c r="D14727" t="inlineStr">
        <is>
          <t>VÄRMLANDS LÄN</t>
        </is>
      </c>
      <c r="E14727" t="inlineStr">
        <is>
          <t>KARLSTAD</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20029-2024</t>
        </is>
      </c>
      <c r="B14728" s="1" t="n">
        <v>45434</v>
      </c>
      <c r="C14728" s="1" t="n">
        <v>45736</v>
      </c>
      <c r="D14728" t="inlineStr">
        <is>
          <t>VÄRMLANDS LÄN</t>
        </is>
      </c>
      <c r="E14728" t="inlineStr">
        <is>
          <t>ARVIKA</t>
        </is>
      </c>
      <c r="G14728" t="n">
        <v>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20058-2024</t>
        </is>
      </c>
      <c r="B14729" s="1" t="n">
        <v>45434</v>
      </c>
      <c r="C14729" s="1" t="n">
        <v>45736</v>
      </c>
      <c r="D14729" t="inlineStr">
        <is>
          <t>VÄRMLANDS LÄN</t>
        </is>
      </c>
      <c r="E14729" t="inlineStr">
        <is>
          <t>SUNNE</t>
        </is>
      </c>
      <c r="G14729" t="n">
        <v>9.5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20062-2024</t>
        </is>
      </c>
      <c r="B14730" s="1" t="n">
        <v>45434</v>
      </c>
      <c r="C14730" s="1" t="n">
        <v>45736</v>
      </c>
      <c r="D14730" t="inlineStr">
        <is>
          <t>VÄRMLANDS LÄN</t>
        </is>
      </c>
      <c r="E14730" t="inlineStr">
        <is>
          <t>HAGFORS</t>
        </is>
      </c>
      <c r="F14730" t="inlineStr">
        <is>
          <t>Bergvik skog väst AB</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20070-2024</t>
        </is>
      </c>
      <c r="B14731" s="1" t="n">
        <v>45434</v>
      </c>
      <c r="C14731" s="1" t="n">
        <v>45736</v>
      </c>
      <c r="D14731" t="inlineStr">
        <is>
          <t>VÄRMLANDS LÄN</t>
        </is>
      </c>
      <c r="E14731" t="inlineStr">
        <is>
          <t>HAGFORS</t>
        </is>
      </c>
      <c r="F14731" t="inlineStr">
        <is>
          <t>Bergvik skog väst AB</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20102-2024</t>
        </is>
      </c>
      <c r="B14732" s="1" t="n">
        <v>45434</v>
      </c>
      <c r="C14732" s="1" t="n">
        <v>45736</v>
      </c>
      <c r="D14732" t="inlineStr">
        <is>
          <t>VÄRMLANDS LÄN</t>
        </is>
      </c>
      <c r="E14732" t="inlineStr">
        <is>
          <t>SUNNE</t>
        </is>
      </c>
      <c r="G14732" t="n">
        <v>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20106-2024</t>
        </is>
      </c>
      <c r="B14733" s="1" t="n">
        <v>45434</v>
      </c>
      <c r="C14733" s="1" t="n">
        <v>45736</v>
      </c>
      <c r="D14733" t="inlineStr">
        <is>
          <t>VÄRMLANDS LÄN</t>
        </is>
      </c>
      <c r="E14733" t="inlineStr">
        <is>
          <t>SUNNE</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20138-2024</t>
        </is>
      </c>
      <c r="B14734" s="1" t="n">
        <v>45434</v>
      </c>
      <c r="C14734" s="1" t="n">
        <v>45736</v>
      </c>
      <c r="D14734" t="inlineStr">
        <is>
          <t>VÄRMLANDS LÄN</t>
        </is>
      </c>
      <c r="E14734" t="inlineStr">
        <is>
          <t>FORSHAGA</t>
        </is>
      </c>
      <c r="F14734" t="inlineStr">
        <is>
          <t>Bergvik skog väst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20053-2024</t>
        </is>
      </c>
      <c r="B14735" s="1" t="n">
        <v>45434</v>
      </c>
      <c r="C14735" s="1" t="n">
        <v>45736</v>
      </c>
      <c r="D14735" t="inlineStr">
        <is>
          <t>VÄRMLANDS LÄN</t>
        </is>
      </c>
      <c r="E14735" t="inlineStr">
        <is>
          <t>SUNNE</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20057-2024</t>
        </is>
      </c>
      <c r="B14736" s="1" t="n">
        <v>45434</v>
      </c>
      <c r="C14736" s="1" t="n">
        <v>45736</v>
      </c>
      <c r="D14736" t="inlineStr">
        <is>
          <t>VÄRMLANDS LÄN</t>
        </is>
      </c>
      <c r="E14736" t="inlineStr">
        <is>
          <t>SUNNE</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20061-2024</t>
        </is>
      </c>
      <c r="B14737" s="1" t="n">
        <v>45434</v>
      </c>
      <c r="C14737" s="1" t="n">
        <v>45736</v>
      </c>
      <c r="D14737" t="inlineStr">
        <is>
          <t>VÄRMLANDS LÄN</t>
        </is>
      </c>
      <c r="E14737" t="inlineStr">
        <is>
          <t>SUNNE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20065-2024</t>
        </is>
      </c>
      <c r="B14738" s="1" t="n">
        <v>45434</v>
      </c>
      <c r="C14738" s="1" t="n">
        <v>45736</v>
      </c>
      <c r="D14738" t="inlineStr">
        <is>
          <t>VÄRMLANDS LÄN</t>
        </is>
      </c>
      <c r="E14738" t="inlineStr">
        <is>
          <t>HAGFORS</t>
        </is>
      </c>
      <c r="F14738" t="inlineStr">
        <is>
          <t>Bergvik skog väst AB</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20097-2024</t>
        </is>
      </c>
      <c r="B14739" s="1" t="n">
        <v>45434</v>
      </c>
      <c r="C14739" s="1" t="n">
        <v>45736</v>
      </c>
      <c r="D14739" t="inlineStr">
        <is>
          <t>VÄRMLANDS LÄN</t>
        </is>
      </c>
      <c r="E14739" t="inlineStr">
        <is>
          <t>SUNNE</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20133-2024</t>
        </is>
      </c>
      <c r="B14740" s="1" t="n">
        <v>45434</v>
      </c>
      <c r="C14740" s="1" t="n">
        <v>45736</v>
      </c>
      <c r="D14740" t="inlineStr">
        <is>
          <t>VÄRMLANDS LÄN</t>
        </is>
      </c>
      <c r="E14740" t="inlineStr">
        <is>
          <t>FORSHAGA</t>
        </is>
      </c>
      <c r="F14740" t="inlineStr">
        <is>
          <t>Bergvik skog väst AB</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20161-2024</t>
        </is>
      </c>
      <c r="B14741" s="1" t="n">
        <v>45434</v>
      </c>
      <c r="C14741" s="1" t="n">
        <v>45736</v>
      </c>
      <c r="D14741" t="inlineStr">
        <is>
          <t>VÄRMLANDS LÄN</t>
        </is>
      </c>
      <c r="E14741" t="inlineStr">
        <is>
          <t>EDA</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20198-2024</t>
        </is>
      </c>
      <c r="B14742" s="1" t="n">
        <v>45434</v>
      </c>
      <c r="C14742" s="1" t="n">
        <v>45736</v>
      </c>
      <c r="D14742" t="inlineStr">
        <is>
          <t>VÄRMLANDS LÄN</t>
        </is>
      </c>
      <c r="E14742" t="inlineStr">
        <is>
          <t>HAGFORS</t>
        </is>
      </c>
      <c r="F14742" t="inlineStr">
        <is>
          <t>Bergvik skog väst AB</t>
        </is>
      </c>
      <c r="G14742" t="n">
        <v>4.3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20238-2024</t>
        </is>
      </c>
      <c r="B14743" s="1" t="n">
        <v>45434</v>
      </c>
      <c r="C14743" s="1" t="n">
        <v>45736</v>
      </c>
      <c r="D14743" t="inlineStr">
        <is>
          <t>VÄRMLANDS LÄN</t>
        </is>
      </c>
      <c r="E14743" t="inlineStr">
        <is>
          <t>GRUMS</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20197-2024</t>
        </is>
      </c>
      <c r="B14744" s="1" t="n">
        <v>45434</v>
      </c>
      <c r="C14744" s="1" t="n">
        <v>45736</v>
      </c>
      <c r="D14744" t="inlineStr">
        <is>
          <t>VÄRMLANDS LÄN</t>
        </is>
      </c>
      <c r="E14744" t="inlineStr">
        <is>
          <t>SÄFFLE</t>
        </is>
      </c>
      <c r="G14744" t="n">
        <v>11.5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20217-2024</t>
        </is>
      </c>
      <c r="B14745" s="1" t="n">
        <v>45434</v>
      </c>
      <c r="C14745" s="1" t="n">
        <v>45736</v>
      </c>
      <c r="D14745" t="inlineStr">
        <is>
          <t>VÄRMLANDS LÄN</t>
        </is>
      </c>
      <c r="E14745" t="inlineStr">
        <is>
          <t>HAGFORS</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20195-2024</t>
        </is>
      </c>
      <c r="B14746" s="1" t="n">
        <v>45434</v>
      </c>
      <c r="C14746" s="1" t="n">
        <v>45736</v>
      </c>
      <c r="D14746" t="inlineStr">
        <is>
          <t>VÄRMLANDS LÄN</t>
        </is>
      </c>
      <c r="E14746" t="inlineStr">
        <is>
          <t>EDA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20203-2024</t>
        </is>
      </c>
      <c r="B14747" s="1" t="n">
        <v>45434</v>
      </c>
      <c r="C14747" s="1" t="n">
        <v>45736</v>
      </c>
      <c r="D14747" t="inlineStr">
        <is>
          <t>VÄRMLANDS LÄN</t>
        </is>
      </c>
      <c r="E14747" t="inlineStr">
        <is>
          <t>HAGFORS</t>
        </is>
      </c>
      <c r="F14747" t="inlineStr">
        <is>
          <t>Bergvik skog väst AB</t>
        </is>
      </c>
      <c r="G14747" t="n">
        <v>4.8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20200-2024</t>
        </is>
      </c>
      <c r="B14748" s="1" t="n">
        <v>45434</v>
      </c>
      <c r="C14748" s="1" t="n">
        <v>45736</v>
      </c>
      <c r="D14748" t="inlineStr">
        <is>
          <t>VÄRMLANDS LÄN</t>
        </is>
      </c>
      <c r="E14748" t="inlineStr">
        <is>
          <t>FILIPSTAD</t>
        </is>
      </c>
      <c r="F14748" t="inlineStr">
        <is>
          <t>Bergvik skog väst AB</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20148-2024</t>
        </is>
      </c>
      <c r="B14749" s="1" t="n">
        <v>45434</v>
      </c>
      <c r="C14749" s="1" t="n">
        <v>45736</v>
      </c>
      <c r="D14749" t="inlineStr">
        <is>
          <t>VÄRMLANDS LÄN</t>
        </is>
      </c>
      <c r="E14749" t="inlineStr">
        <is>
          <t>SUNNE</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20344-2024</t>
        </is>
      </c>
      <c r="B14750" s="1" t="n">
        <v>45435</v>
      </c>
      <c r="C14750" s="1" t="n">
        <v>45736</v>
      </c>
      <c r="D14750" t="inlineStr">
        <is>
          <t>VÄRMLANDS LÄN</t>
        </is>
      </c>
      <c r="E14750" t="inlineStr">
        <is>
          <t>FILIPSTAD</t>
        </is>
      </c>
      <c r="F14750" t="inlineStr">
        <is>
          <t>Bergvik skog väst AB</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20364-2024</t>
        </is>
      </c>
      <c r="B14751" s="1" t="n">
        <v>45435</v>
      </c>
      <c r="C14751" s="1" t="n">
        <v>45736</v>
      </c>
      <c r="D14751" t="inlineStr">
        <is>
          <t>VÄRMLANDS LÄN</t>
        </is>
      </c>
      <c r="E14751" t="inlineStr">
        <is>
          <t>KARLSTAD</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20404-2024</t>
        </is>
      </c>
      <c r="B14752" s="1" t="n">
        <v>45435</v>
      </c>
      <c r="C14752" s="1" t="n">
        <v>45736</v>
      </c>
      <c r="D14752" t="inlineStr">
        <is>
          <t>VÄRMLANDS LÄN</t>
        </is>
      </c>
      <c r="E14752" t="inlineStr">
        <is>
          <t>KIL</t>
        </is>
      </c>
      <c r="F14752" t="inlineStr">
        <is>
          <t>Bergvik skog väst AB</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20296-2024</t>
        </is>
      </c>
      <c r="B14753" s="1" t="n">
        <v>45435</v>
      </c>
      <c r="C14753" s="1" t="n">
        <v>45736</v>
      </c>
      <c r="D14753" t="inlineStr">
        <is>
          <t>VÄRMLANDS LÄN</t>
        </is>
      </c>
      <c r="E14753" t="inlineStr">
        <is>
          <t>GRUMS</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20383-2024</t>
        </is>
      </c>
      <c r="B14754" s="1" t="n">
        <v>45435</v>
      </c>
      <c r="C14754" s="1" t="n">
        <v>45736</v>
      </c>
      <c r="D14754" t="inlineStr">
        <is>
          <t>VÄRMLANDS LÄN</t>
        </is>
      </c>
      <c r="E14754" t="inlineStr">
        <is>
          <t>FILIPSTAD</t>
        </is>
      </c>
      <c r="F14754" t="inlineStr">
        <is>
          <t>Bergvik skog väst AB</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20369-2024</t>
        </is>
      </c>
      <c r="B14755" s="1" t="n">
        <v>45435</v>
      </c>
      <c r="C14755" s="1" t="n">
        <v>45736</v>
      </c>
      <c r="D14755" t="inlineStr">
        <is>
          <t>VÄRMLANDS LÄN</t>
        </is>
      </c>
      <c r="E14755" t="inlineStr">
        <is>
          <t>GRUMS</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20385-2024</t>
        </is>
      </c>
      <c r="B14756" s="1" t="n">
        <v>45435</v>
      </c>
      <c r="C14756" s="1" t="n">
        <v>45736</v>
      </c>
      <c r="D14756" t="inlineStr">
        <is>
          <t>VÄRMLANDS LÄN</t>
        </is>
      </c>
      <c r="E14756" t="inlineStr">
        <is>
          <t>FILIPSTAD</t>
        </is>
      </c>
      <c r="F14756" t="inlineStr">
        <is>
          <t>Bergvik skog väst AB</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20401-2024</t>
        </is>
      </c>
      <c r="B14757" s="1" t="n">
        <v>45435</v>
      </c>
      <c r="C14757" s="1" t="n">
        <v>45736</v>
      </c>
      <c r="D14757" t="inlineStr">
        <is>
          <t>VÄRMLANDS LÄN</t>
        </is>
      </c>
      <c r="E14757" t="inlineStr">
        <is>
          <t>ARVIKA</t>
        </is>
      </c>
      <c r="F14757" t="inlineStr">
        <is>
          <t>Bergvik skog väst AB</t>
        </is>
      </c>
      <c r="G14757" t="n">
        <v>13.1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20387-2024</t>
        </is>
      </c>
      <c r="B14758" s="1" t="n">
        <v>45435</v>
      </c>
      <c r="C14758" s="1" t="n">
        <v>45736</v>
      </c>
      <c r="D14758" t="inlineStr">
        <is>
          <t>VÄRMLANDS LÄN</t>
        </is>
      </c>
      <c r="E14758" t="inlineStr">
        <is>
          <t>FILIPSTAD</t>
        </is>
      </c>
      <c r="F14758" t="inlineStr">
        <is>
          <t>Bergvik skog väst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20449-2024</t>
        </is>
      </c>
      <c r="B14759" s="1" t="n">
        <v>45435</v>
      </c>
      <c r="C14759" s="1" t="n">
        <v>45736</v>
      </c>
      <c r="D14759" t="inlineStr">
        <is>
          <t>VÄRMLANDS LÄN</t>
        </is>
      </c>
      <c r="E14759" t="inlineStr">
        <is>
          <t>EDA</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20469-2024</t>
        </is>
      </c>
      <c r="B14760" s="1" t="n">
        <v>45435</v>
      </c>
      <c r="C14760" s="1" t="n">
        <v>45736</v>
      </c>
      <c r="D14760" t="inlineStr">
        <is>
          <t>VÄRMLANDS LÄN</t>
        </is>
      </c>
      <c r="E14760" t="inlineStr">
        <is>
          <t>ARVIKA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20422-2024</t>
        </is>
      </c>
      <c r="B14761" s="1" t="n">
        <v>45435</v>
      </c>
      <c r="C14761" s="1" t="n">
        <v>45736</v>
      </c>
      <c r="D14761" t="inlineStr">
        <is>
          <t>VÄRMLANDS LÄN</t>
        </is>
      </c>
      <c r="E14761" t="inlineStr">
        <is>
          <t>ARVIKA</t>
        </is>
      </c>
      <c r="F14761" t="inlineStr">
        <is>
          <t>Bergvik skog väst AB</t>
        </is>
      </c>
      <c r="G14761" t="n">
        <v>10.3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20342-2024</t>
        </is>
      </c>
      <c r="B14762" s="1" t="n">
        <v>45435</v>
      </c>
      <c r="C14762" s="1" t="n">
        <v>45736</v>
      </c>
      <c r="D14762" t="inlineStr">
        <is>
          <t>VÄRMLANDS LÄN</t>
        </is>
      </c>
      <c r="E14762" t="inlineStr">
        <is>
          <t>FILIPSTAD</t>
        </is>
      </c>
      <c r="F14762" t="inlineStr">
        <is>
          <t>Bergvik skog väst AB</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20440-2024</t>
        </is>
      </c>
      <c r="B14763" s="1" t="n">
        <v>45435</v>
      </c>
      <c r="C14763" s="1" t="n">
        <v>45736</v>
      </c>
      <c r="D14763" t="inlineStr">
        <is>
          <t>VÄRMLANDS LÄN</t>
        </is>
      </c>
      <c r="E14763" t="inlineStr">
        <is>
          <t>TORSBY</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20444-2024</t>
        </is>
      </c>
      <c r="B14764" s="1" t="n">
        <v>45435</v>
      </c>
      <c r="C14764" s="1" t="n">
        <v>45736</v>
      </c>
      <c r="D14764" t="inlineStr">
        <is>
          <t>VÄRMLANDS LÄN</t>
        </is>
      </c>
      <c r="E14764" t="inlineStr">
        <is>
          <t>HAGFORS</t>
        </is>
      </c>
      <c r="F14764" t="inlineStr">
        <is>
          <t>Bergvik skog väst AB</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20472-2024</t>
        </is>
      </c>
      <c r="B14765" s="1" t="n">
        <v>45435</v>
      </c>
      <c r="C14765" s="1" t="n">
        <v>45736</v>
      </c>
      <c r="D14765" t="inlineStr">
        <is>
          <t>VÄRMLANDS LÄN</t>
        </is>
      </c>
      <c r="E14765" t="inlineStr">
        <is>
          <t>TORSBY</t>
        </is>
      </c>
      <c r="F14765" t="inlineStr">
        <is>
          <t>Bergvik skog väst AB</t>
        </is>
      </c>
      <c r="G14765" t="n">
        <v>46.1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20476-2024</t>
        </is>
      </c>
      <c r="B14766" s="1" t="n">
        <v>45435</v>
      </c>
      <c r="C14766" s="1" t="n">
        <v>45736</v>
      </c>
      <c r="D14766" t="inlineStr">
        <is>
          <t>VÄRMLANDS LÄN</t>
        </is>
      </c>
      <c r="E14766" t="inlineStr">
        <is>
          <t>KIL</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20435-2024</t>
        </is>
      </c>
      <c r="B14767" s="1" t="n">
        <v>45435</v>
      </c>
      <c r="C14767" s="1" t="n">
        <v>45736</v>
      </c>
      <c r="D14767" t="inlineStr">
        <is>
          <t>VÄRMLANDS LÄN</t>
        </is>
      </c>
      <c r="E14767" t="inlineStr">
        <is>
          <t>SUNNE</t>
        </is>
      </c>
      <c r="G14767" t="n">
        <v>11.9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20447-2024</t>
        </is>
      </c>
      <c r="B14768" s="1" t="n">
        <v>45435</v>
      </c>
      <c r="C14768" s="1" t="n">
        <v>45736</v>
      </c>
      <c r="D14768" t="inlineStr">
        <is>
          <t>VÄRMLANDS LÄN</t>
        </is>
      </c>
      <c r="E14768" t="inlineStr">
        <is>
          <t>HAGFORS</t>
        </is>
      </c>
      <c r="F14768" t="inlineStr">
        <is>
          <t>Bergvik skog väst AB</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20463-2024</t>
        </is>
      </c>
      <c r="B14769" s="1" t="n">
        <v>45435</v>
      </c>
      <c r="C14769" s="1" t="n">
        <v>45736</v>
      </c>
      <c r="D14769" t="inlineStr">
        <is>
          <t>VÄRMLANDS LÄN</t>
        </is>
      </c>
      <c r="E14769" t="inlineStr">
        <is>
          <t>ÅRJÄNG</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20467-2024</t>
        </is>
      </c>
      <c r="B14770" s="1" t="n">
        <v>45435</v>
      </c>
      <c r="C14770" s="1" t="n">
        <v>45736</v>
      </c>
      <c r="D14770" t="inlineStr">
        <is>
          <t>VÄRMLANDS LÄN</t>
        </is>
      </c>
      <c r="E14770" t="inlineStr">
        <is>
          <t>ARVIKA</t>
        </is>
      </c>
      <c r="F14770" t="inlineStr">
        <is>
          <t>Bergvik skog väst AB</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20471-2024</t>
        </is>
      </c>
      <c r="B14771" s="1" t="n">
        <v>45435</v>
      </c>
      <c r="C14771" s="1" t="n">
        <v>45736</v>
      </c>
      <c r="D14771" t="inlineStr">
        <is>
          <t>VÄRMLANDS LÄN</t>
        </is>
      </c>
      <c r="E14771" t="inlineStr">
        <is>
          <t>EDA</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20495-2024</t>
        </is>
      </c>
      <c r="B14772" s="1" t="n">
        <v>45435</v>
      </c>
      <c r="C14772" s="1" t="n">
        <v>45736</v>
      </c>
      <c r="D14772" t="inlineStr">
        <is>
          <t>VÄRMLANDS LÄN</t>
        </is>
      </c>
      <c r="E14772" t="inlineStr">
        <is>
          <t>EDA</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20294-2024</t>
        </is>
      </c>
      <c r="B14773" s="1" t="n">
        <v>45435</v>
      </c>
      <c r="C14773" s="1" t="n">
        <v>45736</v>
      </c>
      <c r="D14773" t="inlineStr">
        <is>
          <t>VÄRMLANDS LÄN</t>
        </is>
      </c>
      <c r="E14773" t="inlineStr">
        <is>
          <t>GRUMS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20645-2024</t>
        </is>
      </c>
      <c r="B14774" s="1" t="n">
        <v>45436</v>
      </c>
      <c r="C14774" s="1" t="n">
        <v>45736</v>
      </c>
      <c r="D14774" t="inlineStr">
        <is>
          <t>VÄRMLANDS LÄN</t>
        </is>
      </c>
      <c r="E14774" t="inlineStr">
        <is>
          <t>TORSBY</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20662-2024</t>
        </is>
      </c>
      <c r="B14775" s="1" t="n">
        <v>45436</v>
      </c>
      <c r="C14775" s="1" t="n">
        <v>45736</v>
      </c>
      <c r="D14775" t="inlineStr">
        <is>
          <t>VÄRMLANDS LÄN</t>
        </is>
      </c>
      <c r="E14775" t="inlineStr">
        <is>
          <t>HAGFORS</t>
        </is>
      </c>
      <c r="F14775" t="inlineStr">
        <is>
          <t>Bergvik skog väst AB</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20725-2024</t>
        </is>
      </c>
      <c r="B14776" s="1" t="n">
        <v>45436</v>
      </c>
      <c r="C14776" s="1" t="n">
        <v>45736</v>
      </c>
      <c r="D14776" t="inlineStr">
        <is>
          <t>VÄRMLANDS LÄN</t>
        </is>
      </c>
      <c r="E14776" t="inlineStr">
        <is>
          <t>TORSBY</t>
        </is>
      </c>
      <c r="F14776" t="inlineStr">
        <is>
          <t>Bergvik skog väst AB</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20745-2024</t>
        </is>
      </c>
      <c r="B14777" s="1" t="n">
        <v>45436</v>
      </c>
      <c r="C14777" s="1" t="n">
        <v>45736</v>
      </c>
      <c r="D14777" t="inlineStr">
        <is>
          <t>VÄRMLANDS LÄN</t>
        </is>
      </c>
      <c r="E14777" t="inlineStr">
        <is>
          <t>KIL</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20586-2024</t>
        </is>
      </c>
      <c r="B14778" s="1" t="n">
        <v>45436</v>
      </c>
      <c r="C14778" s="1" t="n">
        <v>45736</v>
      </c>
      <c r="D14778" t="inlineStr">
        <is>
          <t>VÄRMLANDS LÄN</t>
        </is>
      </c>
      <c r="E14778" t="inlineStr">
        <is>
          <t>SUNNE</t>
        </is>
      </c>
      <c r="G14778" t="n">
        <v>5.9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20608-2024</t>
        </is>
      </c>
      <c r="B14779" s="1" t="n">
        <v>45436</v>
      </c>
      <c r="C14779" s="1" t="n">
        <v>45736</v>
      </c>
      <c r="D14779" t="inlineStr">
        <is>
          <t>VÄRMLANDS LÄN</t>
        </is>
      </c>
      <c r="E14779" t="inlineStr">
        <is>
          <t>HAGFORS</t>
        </is>
      </c>
      <c r="F14779" t="inlineStr">
        <is>
          <t>Bergvik skog väst AB</t>
        </is>
      </c>
      <c r="G14779" t="n">
        <v>13.6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20657-2024</t>
        </is>
      </c>
      <c r="B14780" s="1" t="n">
        <v>45436</v>
      </c>
      <c r="C14780" s="1" t="n">
        <v>45736</v>
      </c>
      <c r="D14780" t="inlineStr">
        <is>
          <t>VÄRMLANDS LÄN</t>
        </is>
      </c>
      <c r="E14780" t="inlineStr">
        <is>
          <t>FILIPSTAD</t>
        </is>
      </c>
      <c r="F14780" t="inlineStr">
        <is>
          <t>Bergvik skog väst AB</t>
        </is>
      </c>
      <c r="G14780" t="n">
        <v>9.1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20661-2024</t>
        </is>
      </c>
      <c r="B14781" s="1" t="n">
        <v>45436</v>
      </c>
      <c r="C14781" s="1" t="n">
        <v>45736</v>
      </c>
      <c r="D14781" t="inlineStr">
        <is>
          <t>VÄRMLANDS LÄN</t>
        </is>
      </c>
      <c r="E14781" t="inlineStr">
        <is>
          <t>FILIPSTAD</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20696-2024</t>
        </is>
      </c>
      <c r="B14782" s="1" t="n">
        <v>45436</v>
      </c>
      <c r="C14782" s="1" t="n">
        <v>45736</v>
      </c>
      <c r="D14782" t="inlineStr">
        <is>
          <t>VÄRMLANDS LÄN</t>
        </is>
      </c>
      <c r="E14782" t="inlineStr">
        <is>
          <t>HAGFORS</t>
        </is>
      </c>
      <c r="F14782" t="inlineStr">
        <is>
          <t>Bergvik skog väst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20743-2024</t>
        </is>
      </c>
      <c r="B14783" s="1" t="n">
        <v>45436</v>
      </c>
      <c r="C14783" s="1" t="n">
        <v>45736</v>
      </c>
      <c r="D14783" t="inlineStr">
        <is>
          <t>VÄRMLANDS LÄN</t>
        </is>
      </c>
      <c r="E14783" t="inlineStr">
        <is>
          <t>KIL</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20633-2024</t>
        </is>
      </c>
      <c r="B14784" s="1" t="n">
        <v>45436</v>
      </c>
      <c r="C14784" s="1" t="n">
        <v>45736</v>
      </c>
      <c r="D14784" t="inlineStr">
        <is>
          <t>VÄRMLANDS LÄN</t>
        </is>
      </c>
      <c r="E14784" t="inlineStr">
        <is>
          <t>TORSBY</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20597-2024</t>
        </is>
      </c>
      <c r="B14785" s="1" t="n">
        <v>45436</v>
      </c>
      <c r="C14785" s="1" t="n">
        <v>45736</v>
      </c>
      <c r="D14785" t="inlineStr">
        <is>
          <t>VÄRMLANDS LÄN</t>
        </is>
      </c>
      <c r="E14785" t="inlineStr">
        <is>
          <t>SUNNE</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20663-2024</t>
        </is>
      </c>
      <c r="B14786" s="1" t="n">
        <v>45436</v>
      </c>
      <c r="C14786" s="1" t="n">
        <v>45736</v>
      </c>
      <c r="D14786" t="inlineStr">
        <is>
          <t>VÄRMLANDS LÄN</t>
        </is>
      </c>
      <c r="E14786" t="inlineStr">
        <is>
          <t>FILIPSTAD</t>
        </is>
      </c>
      <c r="F14786" t="inlineStr">
        <is>
          <t>Bergvik skog väst AB</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20537-2024</t>
        </is>
      </c>
      <c r="B14787" s="1" t="n">
        <v>45436</v>
      </c>
      <c r="C14787" s="1" t="n">
        <v>45736</v>
      </c>
      <c r="D14787" t="inlineStr">
        <is>
          <t>VÄRMLANDS LÄN</t>
        </is>
      </c>
      <c r="E14787" t="inlineStr">
        <is>
          <t>TORSBY</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20615-2024</t>
        </is>
      </c>
      <c r="B14788" s="1" t="n">
        <v>45436</v>
      </c>
      <c r="C14788" s="1" t="n">
        <v>45736</v>
      </c>
      <c r="D14788" t="inlineStr">
        <is>
          <t>VÄRMLANDS LÄN</t>
        </is>
      </c>
      <c r="E14788" t="inlineStr">
        <is>
          <t>SUNNE</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20627-2024</t>
        </is>
      </c>
      <c r="B14789" s="1" t="n">
        <v>45436</v>
      </c>
      <c r="C14789" s="1" t="n">
        <v>45736</v>
      </c>
      <c r="D14789" t="inlineStr">
        <is>
          <t>VÄRMLANDS LÄN</t>
        </is>
      </c>
      <c r="E14789" t="inlineStr">
        <is>
          <t>HAGFORS</t>
        </is>
      </c>
      <c r="F14789" t="inlineStr">
        <is>
          <t>Bergvik skog väst AB</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20647-2024</t>
        </is>
      </c>
      <c r="B14790" s="1" t="n">
        <v>45436</v>
      </c>
      <c r="C14790" s="1" t="n">
        <v>45736</v>
      </c>
      <c r="D14790" t="inlineStr">
        <is>
          <t>VÄRMLANDS LÄN</t>
        </is>
      </c>
      <c r="E14790" t="inlineStr">
        <is>
          <t>TORSBY</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20672-2024</t>
        </is>
      </c>
      <c r="B14791" s="1" t="n">
        <v>45436</v>
      </c>
      <c r="C14791" s="1" t="n">
        <v>45736</v>
      </c>
      <c r="D14791" t="inlineStr">
        <is>
          <t>VÄRMLANDS LÄN</t>
        </is>
      </c>
      <c r="E14791" t="inlineStr">
        <is>
          <t>SÄFFLE</t>
        </is>
      </c>
      <c r="F14791" t="inlineStr">
        <is>
          <t>Kyrkan</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20682-2024</t>
        </is>
      </c>
      <c r="B14792" s="1" t="n">
        <v>45436</v>
      </c>
      <c r="C14792" s="1" t="n">
        <v>45736</v>
      </c>
      <c r="D14792" t="inlineStr">
        <is>
          <t>VÄRMLANDS LÄN</t>
        </is>
      </c>
      <c r="E14792" t="inlineStr">
        <is>
          <t>HAGFORS</t>
        </is>
      </c>
      <c r="F14792" t="inlineStr">
        <is>
          <t>Bergvik skog väst AB</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20686-2024</t>
        </is>
      </c>
      <c r="B14793" s="1" t="n">
        <v>45436</v>
      </c>
      <c r="C14793" s="1" t="n">
        <v>45736</v>
      </c>
      <c r="D14793" t="inlineStr">
        <is>
          <t>VÄRMLANDS LÄN</t>
        </is>
      </c>
      <c r="E14793" t="inlineStr">
        <is>
          <t>FILIPSTAD</t>
        </is>
      </c>
      <c r="F14793" t="inlineStr">
        <is>
          <t>Bergvik skog väst AB</t>
        </is>
      </c>
      <c r="G14793" t="n">
        <v>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20793-2024</t>
        </is>
      </c>
      <c r="B14794" s="1" t="n">
        <v>45438</v>
      </c>
      <c r="C14794" s="1" t="n">
        <v>45736</v>
      </c>
      <c r="D14794" t="inlineStr">
        <is>
          <t>VÄRMLANDS LÄN</t>
        </is>
      </c>
      <c r="E14794" t="inlineStr">
        <is>
          <t>ARVIKA</t>
        </is>
      </c>
      <c r="F14794" t="inlineStr">
        <is>
          <t>Bergvik skog väst AB</t>
        </is>
      </c>
      <c r="G14794" t="n">
        <v>9.800000000000001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20869-2024</t>
        </is>
      </c>
      <c r="B14795" s="1" t="n">
        <v>45439</v>
      </c>
      <c r="C14795" s="1" t="n">
        <v>45736</v>
      </c>
      <c r="D14795" t="inlineStr">
        <is>
          <t>VÄRMLANDS LÄN</t>
        </is>
      </c>
      <c r="E14795" t="inlineStr">
        <is>
          <t>HAGFORS</t>
        </is>
      </c>
      <c r="F14795" t="inlineStr">
        <is>
          <t>Bergvik skog väst AB</t>
        </is>
      </c>
      <c r="G14795" t="n">
        <v>7.3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20910-2024</t>
        </is>
      </c>
      <c r="B14796" s="1" t="n">
        <v>45439</v>
      </c>
      <c r="C14796" s="1" t="n">
        <v>45736</v>
      </c>
      <c r="D14796" t="inlineStr">
        <is>
          <t>VÄRMLANDS LÄN</t>
        </is>
      </c>
      <c r="E14796" t="inlineStr">
        <is>
          <t>SUNNE</t>
        </is>
      </c>
      <c r="F14796" t="inlineStr">
        <is>
          <t>Bergvik skog väst AB</t>
        </is>
      </c>
      <c r="G14796" t="n">
        <v>6.6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20905-2024</t>
        </is>
      </c>
      <c r="B14797" s="1" t="n">
        <v>45439</v>
      </c>
      <c r="C14797" s="1" t="n">
        <v>45736</v>
      </c>
      <c r="D14797" t="inlineStr">
        <is>
          <t>VÄRMLANDS LÄN</t>
        </is>
      </c>
      <c r="E14797" t="inlineStr">
        <is>
          <t>EDA</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20888-2024</t>
        </is>
      </c>
      <c r="B14798" s="1" t="n">
        <v>45439</v>
      </c>
      <c r="C14798" s="1" t="n">
        <v>45736</v>
      </c>
      <c r="D14798" t="inlineStr">
        <is>
          <t>VÄRMLANDS LÄN</t>
        </is>
      </c>
      <c r="E14798" t="inlineStr">
        <is>
          <t>GRUMS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20884-2024</t>
        </is>
      </c>
      <c r="B14799" s="1" t="n">
        <v>45439</v>
      </c>
      <c r="C14799" s="1" t="n">
        <v>45736</v>
      </c>
      <c r="D14799" t="inlineStr">
        <is>
          <t>VÄRMLANDS LÄN</t>
        </is>
      </c>
      <c r="E14799" t="inlineStr">
        <is>
          <t>ARVIKA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20880-2024</t>
        </is>
      </c>
      <c r="B14800" s="1" t="n">
        <v>45439</v>
      </c>
      <c r="C14800" s="1" t="n">
        <v>45736</v>
      </c>
      <c r="D14800" t="inlineStr">
        <is>
          <t>VÄRMLANDS LÄN</t>
        </is>
      </c>
      <c r="E14800" t="inlineStr">
        <is>
          <t>FORSHAGA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20872-2024</t>
        </is>
      </c>
      <c r="B14801" s="1" t="n">
        <v>45439</v>
      </c>
      <c r="C14801" s="1" t="n">
        <v>45736</v>
      </c>
      <c r="D14801" t="inlineStr">
        <is>
          <t>VÄRMLANDS LÄN</t>
        </is>
      </c>
      <c r="E14801" t="inlineStr">
        <is>
          <t>TORSBY</t>
        </is>
      </c>
      <c r="G14801" t="n">
        <v>7.4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20844-2024</t>
        </is>
      </c>
      <c r="B14802" s="1" t="n">
        <v>45439</v>
      </c>
      <c r="C14802" s="1" t="n">
        <v>45736</v>
      </c>
      <c r="D14802" t="inlineStr">
        <is>
          <t>VÄRMLANDS LÄN</t>
        </is>
      </c>
      <c r="E14802" t="inlineStr">
        <is>
          <t>FILIPSTAD</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21013-2024</t>
        </is>
      </c>
      <c r="B14803" s="1" t="n">
        <v>45439</v>
      </c>
      <c r="C14803" s="1" t="n">
        <v>45736</v>
      </c>
      <c r="D14803" t="inlineStr">
        <is>
          <t>VÄRMLANDS LÄN</t>
        </is>
      </c>
      <c r="E14803" t="inlineStr">
        <is>
          <t>TORSBY</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21025-2024</t>
        </is>
      </c>
      <c r="B14804" s="1" t="n">
        <v>45439</v>
      </c>
      <c r="C14804" s="1" t="n">
        <v>45736</v>
      </c>
      <c r="D14804" t="inlineStr">
        <is>
          <t>VÄRMLANDS LÄN</t>
        </is>
      </c>
      <c r="E14804" t="inlineStr">
        <is>
          <t>ARVIKA</t>
        </is>
      </c>
      <c r="G14804" t="n">
        <v>7.1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21047-2024</t>
        </is>
      </c>
      <c r="B14805" s="1" t="n">
        <v>45439</v>
      </c>
      <c r="C14805" s="1" t="n">
        <v>45736</v>
      </c>
      <c r="D14805" t="inlineStr">
        <is>
          <t>VÄRMLANDS LÄN</t>
        </is>
      </c>
      <c r="E14805" t="inlineStr">
        <is>
          <t>ARVIKA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21051-2024</t>
        </is>
      </c>
      <c r="B14806" s="1" t="n">
        <v>45439</v>
      </c>
      <c r="C14806" s="1" t="n">
        <v>45736</v>
      </c>
      <c r="D14806" t="inlineStr">
        <is>
          <t>VÄRMLANDS LÄN</t>
        </is>
      </c>
      <c r="E14806" t="inlineStr">
        <is>
          <t>ARVIKA</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21065-2024</t>
        </is>
      </c>
      <c r="B14807" s="1" t="n">
        <v>45439</v>
      </c>
      <c r="C14807" s="1" t="n">
        <v>45736</v>
      </c>
      <c r="D14807" t="inlineStr">
        <is>
          <t>VÄRMLANDS LÄN</t>
        </is>
      </c>
      <c r="E14807" t="inlineStr">
        <is>
          <t>HAGFORS</t>
        </is>
      </c>
      <c r="F14807" t="inlineStr">
        <is>
          <t>Bergvik skog väst AB</t>
        </is>
      </c>
      <c r="G14807" t="n">
        <v>6.2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21074-2024</t>
        </is>
      </c>
      <c r="B14808" s="1" t="n">
        <v>45439</v>
      </c>
      <c r="C14808" s="1" t="n">
        <v>45736</v>
      </c>
      <c r="D14808" t="inlineStr">
        <is>
          <t>VÄRMLANDS LÄN</t>
        </is>
      </c>
      <c r="E14808" t="inlineStr">
        <is>
          <t>SÄFFLE</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21044-2024</t>
        </is>
      </c>
      <c r="B14809" s="1" t="n">
        <v>45439</v>
      </c>
      <c r="C14809" s="1" t="n">
        <v>45736</v>
      </c>
      <c r="D14809" t="inlineStr">
        <is>
          <t>VÄRMLANDS LÄN</t>
        </is>
      </c>
      <c r="E14809" t="inlineStr">
        <is>
          <t>FORSHAGA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20988-2024</t>
        </is>
      </c>
      <c r="B14810" s="1" t="n">
        <v>45439</v>
      </c>
      <c r="C14810" s="1" t="n">
        <v>45736</v>
      </c>
      <c r="D14810" t="inlineStr">
        <is>
          <t>VÄRMLANDS LÄN</t>
        </is>
      </c>
      <c r="E14810" t="inlineStr">
        <is>
          <t>FORSHAGA</t>
        </is>
      </c>
      <c r="G14810" t="n">
        <v>8.699999999999999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20963-2024</t>
        </is>
      </c>
      <c r="B14811" s="1" t="n">
        <v>45439</v>
      </c>
      <c r="C14811" s="1" t="n">
        <v>45736</v>
      </c>
      <c r="D14811" t="inlineStr">
        <is>
          <t>VÄRMLANDS LÄN</t>
        </is>
      </c>
      <c r="E14811" t="inlineStr">
        <is>
          <t>ÅRJÄNG</t>
        </is>
      </c>
      <c r="F14811" t="inlineStr">
        <is>
          <t>Bergvik skog väst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20943-2024</t>
        </is>
      </c>
      <c r="B14812" s="1" t="n">
        <v>45439</v>
      </c>
      <c r="C14812" s="1" t="n">
        <v>45736</v>
      </c>
      <c r="D14812" t="inlineStr">
        <is>
          <t>VÄRMLANDS LÄN</t>
        </is>
      </c>
      <c r="E14812" t="inlineStr">
        <is>
          <t>SUNNE</t>
        </is>
      </c>
      <c r="F14812" t="inlineStr">
        <is>
          <t>Bergvik skog väst AB</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21007-2024</t>
        </is>
      </c>
      <c r="B14813" s="1" t="n">
        <v>45439</v>
      </c>
      <c r="C14813" s="1" t="n">
        <v>45736</v>
      </c>
      <c r="D14813" t="inlineStr">
        <is>
          <t>VÄRMLANDS LÄN</t>
        </is>
      </c>
      <c r="E14813" t="inlineStr">
        <is>
          <t>ARVIKA</t>
        </is>
      </c>
      <c r="F14813" t="inlineStr">
        <is>
          <t>Bergvik skog väst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20982-2024</t>
        </is>
      </c>
      <c r="B14814" s="1" t="n">
        <v>45439</v>
      </c>
      <c r="C14814" s="1" t="n">
        <v>45736</v>
      </c>
      <c r="D14814" t="inlineStr">
        <is>
          <t>VÄRMLANDS LÄN</t>
        </is>
      </c>
      <c r="E14814" t="inlineStr">
        <is>
          <t>TORSBY</t>
        </is>
      </c>
      <c r="F14814" t="inlineStr">
        <is>
          <t>Bergvik skog väst AB</t>
        </is>
      </c>
      <c r="G14814" t="n">
        <v>10.2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20978-2024</t>
        </is>
      </c>
      <c r="B14815" s="1" t="n">
        <v>45439</v>
      </c>
      <c r="C14815" s="1" t="n">
        <v>45736</v>
      </c>
      <c r="D14815" t="inlineStr">
        <is>
          <t>VÄRMLANDS LÄN</t>
        </is>
      </c>
      <c r="E14815" t="inlineStr">
        <is>
          <t>EDA</t>
        </is>
      </c>
      <c r="F14815" t="inlineStr">
        <is>
          <t>Kyrkan</t>
        </is>
      </c>
      <c r="G14815" t="n">
        <v>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20965-2024</t>
        </is>
      </c>
      <c r="B14816" s="1" t="n">
        <v>45439</v>
      </c>
      <c r="C14816" s="1" t="n">
        <v>45736</v>
      </c>
      <c r="D14816" t="inlineStr">
        <is>
          <t>VÄRMLANDS LÄN</t>
        </is>
      </c>
      <c r="E14816" t="inlineStr">
        <is>
          <t>ÅRJÄNG</t>
        </is>
      </c>
      <c r="F14816" t="inlineStr">
        <is>
          <t>Bergvik skog väst AB</t>
        </is>
      </c>
      <c r="G14816" t="n">
        <v>5.3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20957-2024</t>
        </is>
      </c>
      <c r="B14817" s="1" t="n">
        <v>45439</v>
      </c>
      <c r="C14817" s="1" t="n">
        <v>45736</v>
      </c>
      <c r="D14817" t="inlineStr">
        <is>
          <t>VÄRMLANDS LÄN</t>
        </is>
      </c>
      <c r="E14817" t="inlineStr">
        <is>
          <t>FILIPSTAD</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20953-2024</t>
        </is>
      </c>
      <c r="B14818" s="1" t="n">
        <v>45439</v>
      </c>
      <c r="C14818" s="1" t="n">
        <v>45736</v>
      </c>
      <c r="D14818" t="inlineStr">
        <is>
          <t>VÄRMLANDS LÄN</t>
        </is>
      </c>
      <c r="E14818" t="inlineStr">
        <is>
          <t>ARVIKA</t>
        </is>
      </c>
      <c r="F14818" t="inlineStr">
        <is>
          <t>Bergvik skog väst AB</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20949-2024</t>
        </is>
      </c>
      <c r="B14819" s="1" t="n">
        <v>45439</v>
      </c>
      <c r="C14819" s="1" t="n">
        <v>45736</v>
      </c>
      <c r="D14819" t="inlineStr">
        <is>
          <t>VÄRMLANDS LÄN</t>
        </is>
      </c>
      <c r="E14819" t="inlineStr">
        <is>
          <t>FILIPSTAD</t>
        </is>
      </c>
      <c r="F14819" t="inlineStr">
        <is>
          <t>Bergvik skog väst AB</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20933-2024</t>
        </is>
      </c>
      <c r="B14820" s="1" t="n">
        <v>45439</v>
      </c>
      <c r="C14820" s="1" t="n">
        <v>45736</v>
      </c>
      <c r="D14820" t="inlineStr">
        <is>
          <t>VÄRMLANDS LÄN</t>
        </is>
      </c>
      <c r="E14820" t="inlineStr">
        <is>
          <t>FORSHAGA</t>
        </is>
      </c>
      <c r="G14820" t="n">
        <v>11.3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20875-2024</t>
        </is>
      </c>
      <c r="B14821" s="1" t="n">
        <v>45439</v>
      </c>
      <c r="C14821" s="1" t="n">
        <v>45736</v>
      </c>
      <c r="D14821" t="inlineStr">
        <is>
          <t>VÄRMLANDS LÄN</t>
        </is>
      </c>
      <c r="E14821" t="inlineStr">
        <is>
          <t>FILIPSTAD</t>
        </is>
      </c>
      <c r="F14821" t="inlineStr">
        <is>
          <t>Bergvik skog väst AB</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20855-2024</t>
        </is>
      </c>
      <c r="B14822" s="1" t="n">
        <v>45439</v>
      </c>
      <c r="C14822" s="1" t="n">
        <v>45736</v>
      </c>
      <c r="D14822" t="inlineStr">
        <is>
          <t>VÄRMLANDS LÄN</t>
        </is>
      </c>
      <c r="E14822" t="inlineStr">
        <is>
          <t>KRISTINEHAMN</t>
        </is>
      </c>
      <c r="F14822" t="inlineStr">
        <is>
          <t>Sveaskog</t>
        </is>
      </c>
      <c r="G14822" t="n">
        <v>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21042-2024</t>
        </is>
      </c>
      <c r="B14823" s="1" t="n">
        <v>45439</v>
      </c>
      <c r="C14823" s="1" t="n">
        <v>45736</v>
      </c>
      <c r="D14823" t="inlineStr">
        <is>
          <t>VÄRMLANDS LÄN</t>
        </is>
      </c>
      <c r="E14823" t="inlineStr">
        <is>
          <t>ARVIKA</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21038-2024</t>
        </is>
      </c>
      <c r="B14824" s="1" t="n">
        <v>45439</v>
      </c>
      <c r="C14824" s="1" t="n">
        <v>45736</v>
      </c>
      <c r="D14824" t="inlineStr">
        <is>
          <t>VÄRMLANDS LÄN</t>
        </is>
      </c>
      <c r="E14824" t="inlineStr">
        <is>
          <t>ARVIKA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21010-2024</t>
        </is>
      </c>
      <c r="B14825" s="1" t="n">
        <v>45439</v>
      </c>
      <c r="C14825" s="1" t="n">
        <v>45736</v>
      </c>
      <c r="D14825" t="inlineStr">
        <is>
          <t>VÄRMLANDS LÄN</t>
        </is>
      </c>
      <c r="E14825" t="inlineStr">
        <is>
          <t>SUNNE</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20985-2024</t>
        </is>
      </c>
      <c r="B14826" s="1" t="n">
        <v>45439</v>
      </c>
      <c r="C14826" s="1" t="n">
        <v>45736</v>
      </c>
      <c r="D14826" t="inlineStr">
        <is>
          <t>VÄRMLANDS LÄN</t>
        </is>
      </c>
      <c r="E14826" t="inlineStr">
        <is>
          <t>TORSBY</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20972-2024</t>
        </is>
      </c>
      <c r="B14827" s="1" t="n">
        <v>45439</v>
      </c>
      <c r="C14827" s="1" t="n">
        <v>45736</v>
      </c>
      <c r="D14827" t="inlineStr">
        <is>
          <t>VÄRMLANDS LÄN</t>
        </is>
      </c>
      <c r="E14827" t="inlineStr">
        <is>
          <t>ÅRJÄNG</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20968-2024</t>
        </is>
      </c>
      <c r="B14828" s="1" t="n">
        <v>45439</v>
      </c>
      <c r="C14828" s="1" t="n">
        <v>45736</v>
      </c>
      <c r="D14828" t="inlineStr">
        <is>
          <t>VÄRMLANDS LÄN</t>
        </is>
      </c>
      <c r="E14828" t="inlineStr">
        <is>
          <t>TORSBY</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20928-2024</t>
        </is>
      </c>
      <c r="B14829" s="1" t="n">
        <v>45439</v>
      </c>
      <c r="C14829" s="1" t="n">
        <v>45736</v>
      </c>
      <c r="D14829" t="inlineStr">
        <is>
          <t>VÄRMLANDS LÄN</t>
        </is>
      </c>
      <c r="E14829" t="inlineStr">
        <is>
          <t>FORSHAGA</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21075-2024</t>
        </is>
      </c>
      <c r="B14830" s="1" t="n">
        <v>45440</v>
      </c>
      <c r="C14830" s="1" t="n">
        <v>45736</v>
      </c>
      <c r="D14830" t="inlineStr">
        <is>
          <t>VÄRMLANDS LÄN</t>
        </is>
      </c>
      <c r="E14830" t="inlineStr">
        <is>
          <t>SÄFFLE</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20886-2024</t>
        </is>
      </c>
      <c r="B14831" s="1" t="n">
        <v>45439</v>
      </c>
      <c r="C14831" s="1" t="n">
        <v>45736</v>
      </c>
      <c r="D14831" t="inlineStr">
        <is>
          <t>VÄRMLANDS LÄN</t>
        </is>
      </c>
      <c r="E14831" t="inlineStr">
        <is>
          <t>GRUMS</t>
        </is>
      </c>
      <c r="G14831" t="n">
        <v>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20991-2024</t>
        </is>
      </c>
      <c r="B14832" s="1" t="n">
        <v>45439</v>
      </c>
      <c r="C14832" s="1" t="n">
        <v>45736</v>
      </c>
      <c r="D14832" t="inlineStr">
        <is>
          <t>VÄRMLANDS LÄN</t>
        </is>
      </c>
      <c r="E14832" t="inlineStr">
        <is>
          <t>FORSHAGA</t>
        </is>
      </c>
      <c r="F14832" t="inlineStr">
        <is>
          <t>Bergvik skog väst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20966-2024</t>
        </is>
      </c>
      <c r="B14833" s="1" t="n">
        <v>45439</v>
      </c>
      <c r="C14833" s="1" t="n">
        <v>45736</v>
      </c>
      <c r="D14833" t="inlineStr">
        <is>
          <t>VÄRMLANDS LÄN</t>
        </is>
      </c>
      <c r="E14833" t="inlineStr">
        <is>
          <t>FILIPSTAD</t>
        </is>
      </c>
      <c r="F14833" t="inlineStr">
        <is>
          <t>Bergvik skog väst AB</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20950-2024</t>
        </is>
      </c>
      <c r="B14834" s="1" t="n">
        <v>45439</v>
      </c>
      <c r="C14834" s="1" t="n">
        <v>45736</v>
      </c>
      <c r="D14834" t="inlineStr">
        <is>
          <t>VÄRMLANDS LÄN</t>
        </is>
      </c>
      <c r="E14834" t="inlineStr">
        <is>
          <t>SÄFFLE</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20918-2024</t>
        </is>
      </c>
      <c r="B14835" s="1" t="n">
        <v>45439</v>
      </c>
      <c r="C14835" s="1" t="n">
        <v>45736</v>
      </c>
      <c r="D14835" t="inlineStr">
        <is>
          <t>VÄRMLANDS LÄN</t>
        </is>
      </c>
      <c r="E14835" t="inlineStr">
        <is>
          <t>ARVIKA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20862-2024</t>
        </is>
      </c>
      <c r="B14836" s="1" t="n">
        <v>45439</v>
      </c>
      <c r="C14836" s="1" t="n">
        <v>45736</v>
      </c>
      <c r="D14836" t="inlineStr">
        <is>
          <t>VÄRMLANDS LÄN</t>
        </is>
      </c>
      <c r="E14836" t="inlineStr">
        <is>
          <t>FORSHAGA</t>
        </is>
      </c>
      <c r="G14836" t="n">
        <v>9.199999999999999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21153-2024</t>
        </is>
      </c>
      <c r="B14837" s="1" t="n">
        <v>45440</v>
      </c>
      <c r="C14837" s="1" t="n">
        <v>45736</v>
      </c>
      <c r="D14837" t="inlineStr">
        <is>
          <t>VÄRMLANDS LÄN</t>
        </is>
      </c>
      <c r="E14837" t="inlineStr">
        <is>
          <t>SUNNE</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21155-2024</t>
        </is>
      </c>
      <c r="B14838" s="1" t="n">
        <v>45440</v>
      </c>
      <c r="C14838" s="1" t="n">
        <v>45736</v>
      </c>
      <c r="D14838" t="inlineStr">
        <is>
          <t>VÄRMLANDS LÄN</t>
        </is>
      </c>
      <c r="E14838" t="inlineStr">
        <is>
          <t>ÅRJÄNG</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21208-2024</t>
        </is>
      </c>
      <c r="B14839" s="1" t="n">
        <v>45440</v>
      </c>
      <c r="C14839" s="1" t="n">
        <v>45736</v>
      </c>
      <c r="D14839" t="inlineStr">
        <is>
          <t>VÄRMLANDS LÄN</t>
        </is>
      </c>
      <c r="E14839" t="inlineStr">
        <is>
          <t>SUNNE</t>
        </is>
      </c>
      <c r="F14839" t="inlineStr">
        <is>
          <t>Bergvik skog väst AB</t>
        </is>
      </c>
      <c r="G14839" t="n">
        <v>12.1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21233-2024</t>
        </is>
      </c>
      <c r="B14840" s="1" t="n">
        <v>45440</v>
      </c>
      <c r="C14840" s="1" t="n">
        <v>45736</v>
      </c>
      <c r="D14840" t="inlineStr">
        <is>
          <t>VÄRMLANDS LÄN</t>
        </is>
      </c>
      <c r="E14840" t="inlineStr">
        <is>
          <t>ARVIKA</t>
        </is>
      </c>
      <c r="F14840" t="inlineStr">
        <is>
          <t>Bergvik skog väst AB</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21237-2024</t>
        </is>
      </c>
      <c r="B14841" s="1" t="n">
        <v>45440</v>
      </c>
      <c r="C14841" s="1" t="n">
        <v>45736</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21257-2024</t>
        </is>
      </c>
      <c r="B14842" s="1" t="n">
        <v>45440</v>
      </c>
      <c r="C14842" s="1" t="n">
        <v>45736</v>
      </c>
      <c r="D14842" t="inlineStr">
        <is>
          <t>VÄRMLANDS LÄN</t>
        </is>
      </c>
      <c r="E14842" t="inlineStr">
        <is>
          <t>SUNNE</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21248-2024</t>
        </is>
      </c>
      <c r="B14843" s="1" t="n">
        <v>45440</v>
      </c>
      <c r="C14843" s="1" t="n">
        <v>45736</v>
      </c>
      <c r="D14843" t="inlineStr">
        <is>
          <t>VÄRMLANDS LÄN</t>
        </is>
      </c>
      <c r="E14843" t="inlineStr">
        <is>
          <t>ARVIKA</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21252-2024</t>
        </is>
      </c>
      <c r="B14844" s="1" t="n">
        <v>45440</v>
      </c>
      <c r="C14844" s="1" t="n">
        <v>45736</v>
      </c>
      <c r="D14844" t="inlineStr">
        <is>
          <t>VÄRMLANDS LÄN</t>
        </is>
      </c>
      <c r="E14844" t="inlineStr">
        <is>
          <t>ARVIKA</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21260-2024</t>
        </is>
      </c>
      <c r="B14845" s="1" t="n">
        <v>45440</v>
      </c>
      <c r="C14845" s="1" t="n">
        <v>45736</v>
      </c>
      <c r="D14845" t="inlineStr">
        <is>
          <t>VÄRMLANDS LÄN</t>
        </is>
      </c>
      <c r="E14845" t="inlineStr">
        <is>
          <t>EDA</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21223-2024</t>
        </is>
      </c>
      <c r="B14846" s="1" t="n">
        <v>45440</v>
      </c>
      <c r="C14846" s="1" t="n">
        <v>45736</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21251-2024</t>
        </is>
      </c>
      <c r="B14847" s="1" t="n">
        <v>45440</v>
      </c>
      <c r="C14847" s="1" t="n">
        <v>45736</v>
      </c>
      <c r="D14847" t="inlineStr">
        <is>
          <t>VÄRMLANDS LÄN</t>
        </is>
      </c>
      <c r="E14847" t="inlineStr">
        <is>
          <t>SUNNE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21311-2024</t>
        </is>
      </c>
      <c r="B14848" s="1" t="n">
        <v>45440</v>
      </c>
      <c r="C14848" s="1" t="n">
        <v>45736</v>
      </c>
      <c r="D14848" t="inlineStr">
        <is>
          <t>VÄRMLANDS LÄN</t>
        </is>
      </c>
      <c r="E14848" t="inlineStr">
        <is>
          <t>GRUMS</t>
        </is>
      </c>
      <c r="F14848" t="inlineStr">
        <is>
          <t>Bergvik skog väst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21280-2024</t>
        </is>
      </c>
      <c r="B14849" s="1" t="n">
        <v>45440</v>
      </c>
      <c r="C14849" s="1" t="n">
        <v>45736</v>
      </c>
      <c r="D14849" t="inlineStr">
        <is>
          <t>VÄRMLANDS LÄN</t>
        </is>
      </c>
      <c r="E14849" t="inlineStr">
        <is>
          <t>TORSBY</t>
        </is>
      </c>
      <c r="G14849" t="n">
        <v>10.1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21297-2024</t>
        </is>
      </c>
      <c r="B14850" s="1" t="n">
        <v>45440</v>
      </c>
      <c r="C14850" s="1" t="n">
        <v>45736</v>
      </c>
      <c r="D14850" t="inlineStr">
        <is>
          <t>VÄRMLANDS LÄN</t>
        </is>
      </c>
      <c r="E14850" t="inlineStr">
        <is>
          <t>TORSBY</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21308-2024</t>
        </is>
      </c>
      <c r="B14851" s="1" t="n">
        <v>45440</v>
      </c>
      <c r="C14851" s="1" t="n">
        <v>45736</v>
      </c>
      <c r="D14851" t="inlineStr">
        <is>
          <t>VÄRMLANDS LÄN</t>
        </is>
      </c>
      <c r="E14851" t="inlineStr">
        <is>
          <t>TORSBY</t>
        </is>
      </c>
      <c r="G14851" t="n">
        <v>18.9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21396-2024</t>
        </is>
      </c>
      <c r="B14852" s="1" t="n">
        <v>45441</v>
      </c>
      <c r="C14852" s="1" t="n">
        <v>45736</v>
      </c>
      <c r="D14852" t="inlineStr">
        <is>
          <t>VÄRMLANDS LÄN</t>
        </is>
      </c>
      <c r="E14852" t="inlineStr">
        <is>
          <t>SÄFFLE</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21518-2024</t>
        </is>
      </c>
      <c r="B14853" s="1" t="n">
        <v>45441</v>
      </c>
      <c r="C14853" s="1" t="n">
        <v>45736</v>
      </c>
      <c r="D14853" t="inlineStr">
        <is>
          <t>VÄRMLANDS LÄN</t>
        </is>
      </c>
      <c r="E14853" t="inlineStr">
        <is>
          <t>TORSBY</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21409-2024</t>
        </is>
      </c>
      <c r="B14854" s="1" t="n">
        <v>45441</v>
      </c>
      <c r="C14854" s="1" t="n">
        <v>45736</v>
      </c>
      <c r="D14854" t="inlineStr">
        <is>
          <t>VÄRMLANDS LÄN</t>
        </is>
      </c>
      <c r="E14854" t="inlineStr">
        <is>
          <t>SUNNE</t>
        </is>
      </c>
      <c r="F14854" t="inlineStr">
        <is>
          <t>Bergvik skog väst AB</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21402-2024</t>
        </is>
      </c>
      <c r="B14855" s="1" t="n">
        <v>45441</v>
      </c>
      <c r="C14855" s="1" t="n">
        <v>45736</v>
      </c>
      <c r="D14855" t="inlineStr">
        <is>
          <t>VÄRMLANDS LÄN</t>
        </is>
      </c>
      <c r="E14855" t="inlineStr">
        <is>
          <t>GRUMS</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21451-2024</t>
        </is>
      </c>
      <c r="B14856" s="1" t="n">
        <v>45441</v>
      </c>
      <c r="C14856" s="1" t="n">
        <v>45736</v>
      </c>
      <c r="D14856" t="inlineStr">
        <is>
          <t>VÄRMLANDS LÄN</t>
        </is>
      </c>
      <c r="E14856" t="inlineStr">
        <is>
          <t>HAGFORS</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21528-2024</t>
        </is>
      </c>
      <c r="B14857" s="1" t="n">
        <v>45441</v>
      </c>
      <c r="C14857" s="1" t="n">
        <v>45736</v>
      </c>
      <c r="D14857" t="inlineStr">
        <is>
          <t>VÄRMLANDS LÄN</t>
        </is>
      </c>
      <c r="E14857" t="inlineStr">
        <is>
          <t>GRUMS</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21542-2024</t>
        </is>
      </c>
      <c r="B14858" s="1" t="n">
        <v>45441</v>
      </c>
      <c r="C14858" s="1" t="n">
        <v>45736</v>
      </c>
      <c r="D14858" t="inlineStr">
        <is>
          <t>VÄRMLANDS LÄN</t>
        </is>
      </c>
      <c r="E14858" t="inlineStr">
        <is>
          <t>TORSBY</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21519-2024</t>
        </is>
      </c>
      <c r="B14859" s="1" t="n">
        <v>45441</v>
      </c>
      <c r="C14859" s="1" t="n">
        <v>45736</v>
      </c>
      <c r="D14859" t="inlineStr">
        <is>
          <t>VÄRMLANDS LÄN</t>
        </is>
      </c>
      <c r="E14859" t="inlineStr">
        <is>
          <t>ÅRJÄNG</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21580-2024</t>
        </is>
      </c>
      <c r="B14860" s="1" t="n">
        <v>45441</v>
      </c>
      <c r="C14860" s="1" t="n">
        <v>45736</v>
      </c>
      <c r="D14860" t="inlineStr">
        <is>
          <t>VÄRMLANDS LÄN</t>
        </is>
      </c>
      <c r="E14860" t="inlineStr">
        <is>
          <t>TORSBY</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21513-2024</t>
        </is>
      </c>
      <c r="B14861" s="1" t="n">
        <v>45441</v>
      </c>
      <c r="C14861" s="1" t="n">
        <v>45736</v>
      </c>
      <c r="D14861" t="inlineStr">
        <is>
          <t>VÄRMLANDS LÄN</t>
        </is>
      </c>
      <c r="E14861" t="inlineStr">
        <is>
          <t>ÅRJÄNG</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21586-2024</t>
        </is>
      </c>
      <c r="B14862" s="1" t="n">
        <v>45441</v>
      </c>
      <c r="C14862" s="1" t="n">
        <v>45736</v>
      </c>
      <c r="D14862" t="inlineStr">
        <is>
          <t>VÄRMLANDS LÄN</t>
        </is>
      </c>
      <c r="E14862" t="inlineStr">
        <is>
          <t>TORSBY</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21581-2024</t>
        </is>
      </c>
      <c r="B14863" s="1" t="n">
        <v>45441</v>
      </c>
      <c r="C14863" s="1" t="n">
        <v>45736</v>
      </c>
      <c r="D14863" t="inlineStr">
        <is>
          <t>VÄRMLANDS LÄN</t>
        </is>
      </c>
      <c r="E14863" t="inlineStr">
        <is>
          <t>TORSBY</t>
        </is>
      </c>
      <c r="G14863" t="n">
        <v>5.5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21585-2024</t>
        </is>
      </c>
      <c r="B14864" s="1" t="n">
        <v>45441</v>
      </c>
      <c r="C14864" s="1" t="n">
        <v>45736</v>
      </c>
      <c r="D14864" t="inlineStr">
        <is>
          <t>VÄRMLANDS LÄN</t>
        </is>
      </c>
      <c r="E14864" t="inlineStr">
        <is>
          <t>TORSBY</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21498-2024</t>
        </is>
      </c>
      <c r="B14865" s="1" t="n">
        <v>45441</v>
      </c>
      <c r="C14865" s="1" t="n">
        <v>45736</v>
      </c>
      <c r="D14865" t="inlineStr">
        <is>
          <t>VÄRMLANDS LÄN</t>
        </is>
      </c>
      <c r="E14865" t="inlineStr">
        <is>
          <t>SUNNE</t>
        </is>
      </c>
      <c r="F14865" t="inlineStr">
        <is>
          <t>Bergvik skog väst AB</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21577-2024</t>
        </is>
      </c>
      <c r="B14866" s="1" t="n">
        <v>45441</v>
      </c>
      <c r="C14866" s="1" t="n">
        <v>45736</v>
      </c>
      <c r="D14866" t="inlineStr">
        <is>
          <t>VÄRMLANDS LÄN</t>
        </is>
      </c>
      <c r="E14866" t="inlineStr">
        <is>
          <t>SUNNE</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21587-2024</t>
        </is>
      </c>
      <c r="B14867" s="1" t="n">
        <v>45441</v>
      </c>
      <c r="C14867" s="1" t="n">
        <v>45736</v>
      </c>
      <c r="D14867" t="inlineStr">
        <is>
          <t>VÄRMLANDS LÄN</t>
        </is>
      </c>
      <c r="E14867" t="inlineStr">
        <is>
          <t>TORSBY</t>
        </is>
      </c>
      <c r="G14867" t="n">
        <v>4.8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21457-2024</t>
        </is>
      </c>
      <c r="B14868" s="1" t="n">
        <v>45441</v>
      </c>
      <c r="C14868" s="1" t="n">
        <v>45736</v>
      </c>
      <c r="D14868" t="inlineStr">
        <is>
          <t>VÄRMLANDS LÄN</t>
        </is>
      </c>
      <c r="E14868" t="inlineStr">
        <is>
          <t>HAGFORS</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21416-2024</t>
        </is>
      </c>
      <c r="B14869" s="1" t="n">
        <v>45441</v>
      </c>
      <c r="C14869" s="1" t="n">
        <v>45736</v>
      </c>
      <c r="D14869" t="inlineStr">
        <is>
          <t>VÄRMLANDS LÄN</t>
        </is>
      </c>
      <c r="E14869" t="inlineStr">
        <is>
          <t>SUNNE</t>
        </is>
      </c>
      <c r="F14869" t="inlineStr">
        <is>
          <t>Bergvik skog väst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21439-2024</t>
        </is>
      </c>
      <c r="B14870" s="1" t="n">
        <v>45441</v>
      </c>
      <c r="C14870" s="1" t="n">
        <v>45736</v>
      </c>
      <c r="D14870" t="inlineStr">
        <is>
          <t>VÄRMLANDS LÄN</t>
        </is>
      </c>
      <c r="E14870" t="inlineStr">
        <is>
          <t>ÅRJÄNG</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21391-2024</t>
        </is>
      </c>
      <c r="B14871" s="1" t="n">
        <v>45441</v>
      </c>
      <c r="C14871" s="1" t="n">
        <v>45736</v>
      </c>
      <c r="D14871" t="inlineStr">
        <is>
          <t>VÄRMLANDS LÄN</t>
        </is>
      </c>
      <c r="E14871" t="inlineStr">
        <is>
          <t>EDA</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21638-2024</t>
        </is>
      </c>
      <c r="B14872" s="1" t="n">
        <v>45442</v>
      </c>
      <c r="C14872" s="1" t="n">
        <v>45736</v>
      </c>
      <c r="D14872" t="inlineStr">
        <is>
          <t>VÄRMLANDS LÄN</t>
        </is>
      </c>
      <c r="E14872" t="inlineStr">
        <is>
          <t>GRUMS</t>
        </is>
      </c>
      <c r="G14872" t="n">
        <v>7.7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21681-2024</t>
        </is>
      </c>
      <c r="B14873" s="1" t="n">
        <v>45442</v>
      </c>
      <c r="C14873" s="1" t="n">
        <v>45736</v>
      </c>
      <c r="D14873" t="inlineStr">
        <is>
          <t>VÄRMLANDS LÄN</t>
        </is>
      </c>
      <c r="E14873" t="inlineStr">
        <is>
          <t>SUNNE</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21702-2024</t>
        </is>
      </c>
      <c r="B14874" s="1" t="n">
        <v>45442</v>
      </c>
      <c r="C14874" s="1" t="n">
        <v>45736</v>
      </c>
      <c r="D14874" t="inlineStr">
        <is>
          <t>VÄRMLANDS LÄN</t>
        </is>
      </c>
      <c r="E14874" t="inlineStr">
        <is>
          <t>KRISTINEHAMN</t>
        </is>
      </c>
      <c r="G14874" t="n">
        <v>14.9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21688-2024</t>
        </is>
      </c>
      <c r="B14875" s="1" t="n">
        <v>45442</v>
      </c>
      <c r="C14875" s="1" t="n">
        <v>45736</v>
      </c>
      <c r="D14875" t="inlineStr">
        <is>
          <t>VÄRMLANDS LÄN</t>
        </is>
      </c>
      <c r="E14875" t="inlineStr">
        <is>
          <t>KRISTINEHAMN</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21745-2024</t>
        </is>
      </c>
      <c r="B14876" s="1" t="n">
        <v>45442</v>
      </c>
      <c r="C14876" s="1" t="n">
        <v>45736</v>
      </c>
      <c r="D14876" t="inlineStr">
        <is>
          <t>VÄRMLANDS LÄN</t>
        </is>
      </c>
      <c r="E14876" t="inlineStr">
        <is>
          <t>FORSHAGA</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21757-2024</t>
        </is>
      </c>
      <c r="B14877" s="1" t="n">
        <v>45442</v>
      </c>
      <c r="C14877" s="1" t="n">
        <v>45736</v>
      </c>
      <c r="D14877" t="inlineStr">
        <is>
          <t>VÄRMLANDS LÄN</t>
        </is>
      </c>
      <c r="E14877" t="inlineStr">
        <is>
          <t>TORSBY</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21825-2024</t>
        </is>
      </c>
      <c r="B14878" s="1" t="n">
        <v>45442</v>
      </c>
      <c r="C14878" s="1" t="n">
        <v>45736</v>
      </c>
      <c r="D14878" t="inlineStr">
        <is>
          <t>VÄRMLANDS LÄN</t>
        </is>
      </c>
      <c r="E14878" t="inlineStr">
        <is>
          <t>TORSBY</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21829-2024</t>
        </is>
      </c>
      <c r="B14879" s="1" t="n">
        <v>45442</v>
      </c>
      <c r="C14879" s="1" t="n">
        <v>45736</v>
      </c>
      <c r="D14879" t="inlineStr">
        <is>
          <t>VÄRMLANDS LÄN</t>
        </is>
      </c>
      <c r="E14879" t="inlineStr">
        <is>
          <t>TORSBY</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21625-2024</t>
        </is>
      </c>
      <c r="B14880" s="1" t="n">
        <v>45442</v>
      </c>
      <c r="C14880" s="1" t="n">
        <v>45736</v>
      </c>
      <c r="D14880" t="inlineStr">
        <is>
          <t>VÄRMLANDS LÄN</t>
        </is>
      </c>
      <c r="E14880" t="inlineStr">
        <is>
          <t>HAGFORS</t>
        </is>
      </c>
      <c r="F14880" t="inlineStr">
        <is>
          <t>Bergvik skog väst AB</t>
        </is>
      </c>
      <c r="G14880" t="n">
        <v>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21744-2024</t>
        </is>
      </c>
      <c r="B14881" s="1" t="n">
        <v>45442</v>
      </c>
      <c r="C14881" s="1" t="n">
        <v>45736</v>
      </c>
      <c r="D14881" t="inlineStr">
        <is>
          <t>VÄRMLANDS LÄN</t>
        </is>
      </c>
      <c r="E14881" t="inlineStr">
        <is>
          <t>TORSBY</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21828-2024</t>
        </is>
      </c>
      <c r="B14882" s="1" t="n">
        <v>45442</v>
      </c>
      <c r="C14882" s="1" t="n">
        <v>45736</v>
      </c>
      <c r="D14882" t="inlineStr">
        <is>
          <t>VÄRMLANDS LÄN</t>
        </is>
      </c>
      <c r="E14882" t="inlineStr">
        <is>
          <t>TORSBY</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21830-2024</t>
        </is>
      </c>
      <c r="B14883" s="1" t="n">
        <v>45442</v>
      </c>
      <c r="C14883" s="1" t="n">
        <v>45736</v>
      </c>
      <c r="D14883" t="inlineStr">
        <is>
          <t>VÄRMLANDS LÄN</t>
        </is>
      </c>
      <c r="E14883" t="inlineStr">
        <is>
          <t>SUNNE</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21706-2024</t>
        </is>
      </c>
      <c r="B14884" s="1" t="n">
        <v>45442</v>
      </c>
      <c r="C14884" s="1" t="n">
        <v>45736</v>
      </c>
      <c r="D14884" t="inlineStr">
        <is>
          <t>VÄRMLANDS LÄN</t>
        </is>
      </c>
      <c r="E14884" t="inlineStr">
        <is>
          <t>ÅRJÄNG</t>
        </is>
      </c>
      <c r="G14884" t="n">
        <v>10.4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21680-2024</t>
        </is>
      </c>
      <c r="B14885" s="1" t="n">
        <v>45442</v>
      </c>
      <c r="C14885" s="1" t="n">
        <v>45736</v>
      </c>
      <c r="D14885" t="inlineStr">
        <is>
          <t>VÄRMLANDS LÄN</t>
        </is>
      </c>
      <c r="E14885" t="inlineStr">
        <is>
          <t>SÄFFLE</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21694-2024</t>
        </is>
      </c>
      <c r="B14886" s="1" t="n">
        <v>45442</v>
      </c>
      <c r="C14886" s="1" t="n">
        <v>45736</v>
      </c>
      <c r="D14886" t="inlineStr">
        <is>
          <t>VÄRMLANDS LÄN</t>
        </is>
      </c>
      <c r="E14886" t="inlineStr">
        <is>
          <t>KRISTINEHAMN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21632-2024</t>
        </is>
      </c>
      <c r="B14887" s="1" t="n">
        <v>45442</v>
      </c>
      <c r="C14887" s="1" t="n">
        <v>45736</v>
      </c>
      <c r="D14887" t="inlineStr">
        <is>
          <t>VÄRMLANDS LÄN</t>
        </is>
      </c>
      <c r="E14887" t="inlineStr">
        <is>
          <t>SUNNE</t>
        </is>
      </c>
      <c r="F14887" t="inlineStr">
        <is>
          <t>Bergvik skog väst AB</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21627-2024</t>
        </is>
      </c>
      <c r="B14888" s="1" t="n">
        <v>45442</v>
      </c>
      <c r="C14888" s="1" t="n">
        <v>45736</v>
      </c>
      <c r="D14888" t="inlineStr">
        <is>
          <t>VÄRMLANDS LÄN</t>
        </is>
      </c>
      <c r="E14888" t="inlineStr">
        <is>
          <t>EDA</t>
        </is>
      </c>
      <c r="G14888" t="n">
        <v>8.1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21631-2024</t>
        </is>
      </c>
      <c r="B14889" s="1" t="n">
        <v>45442</v>
      </c>
      <c r="C14889" s="1" t="n">
        <v>45736</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21703-2024</t>
        </is>
      </c>
      <c r="B14890" s="1" t="n">
        <v>45442</v>
      </c>
      <c r="C14890" s="1" t="n">
        <v>45736</v>
      </c>
      <c r="D14890" t="inlineStr">
        <is>
          <t>VÄRMLANDS LÄN</t>
        </is>
      </c>
      <c r="E14890" t="inlineStr">
        <is>
          <t>HAGFORS</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21715-2024</t>
        </is>
      </c>
      <c r="B14891" s="1" t="n">
        <v>45442</v>
      </c>
      <c r="C14891" s="1" t="n">
        <v>45736</v>
      </c>
      <c r="D14891" t="inlineStr">
        <is>
          <t>VÄRMLANDS LÄN</t>
        </is>
      </c>
      <c r="E14891" t="inlineStr">
        <is>
          <t>FILIPSTAD</t>
        </is>
      </c>
      <c r="F14891" t="inlineStr">
        <is>
          <t>Bergvik skog väst AB</t>
        </is>
      </c>
      <c r="G14891" t="n">
        <v>6.5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22038-2024</t>
        </is>
      </c>
      <c r="B14892" s="1" t="n">
        <v>45443</v>
      </c>
      <c r="C14892" s="1" t="n">
        <v>45736</v>
      </c>
      <c r="D14892" t="inlineStr">
        <is>
          <t>VÄRMLANDS LÄN</t>
        </is>
      </c>
      <c r="E14892" t="inlineStr">
        <is>
          <t>HAGFORS</t>
        </is>
      </c>
      <c r="F14892" t="inlineStr">
        <is>
          <t>Bergvik skog väst AB</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21930-2024</t>
        </is>
      </c>
      <c r="B14893" s="1" t="n">
        <v>45443</v>
      </c>
      <c r="C14893" s="1" t="n">
        <v>45736</v>
      </c>
      <c r="D14893" t="inlineStr">
        <is>
          <t>VÄRMLANDS LÄN</t>
        </is>
      </c>
      <c r="E14893" t="inlineStr">
        <is>
          <t>TORSBY</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21942-2024</t>
        </is>
      </c>
      <c r="B14894" s="1" t="n">
        <v>45443</v>
      </c>
      <c r="C14894" s="1" t="n">
        <v>45736</v>
      </c>
      <c r="D14894" t="inlineStr">
        <is>
          <t>VÄRMLANDS LÄN</t>
        </is>
      </c>
      <c r="E14894" t="inlineStr">
        <is>
          <t>STORFORS</t>
        </is>
      </c>
      <c r="G14894" t="n">
        <v>4.3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21955-2024</t>
        </is>
      </c>
      <c r="B14895" s="1" t="n">
        <v>45443</v>
      </c>
      <c r="C14895" s="1" t="n">
        <v>45736</v>
      </c>
      <c r="D14895" t="inlineStr">
        <is>
          <t>VÄRMLANDS LÄN</t>
        </is>
      </c>
      <c r="E14895" t="inlineStr">
        <is>
          <t>KRISTINEHAMN</t>
        </is>
      </c>
      <c r="F14895" t="inlineStr">
        <is>
          <t>Sveaskog</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21975-2024</t>
        </is>
      </c>
      <c r="B14896" s="1" t="n">
        <v>45443</v>
      </c>
      <c r="C14896" s="1" t="n">
        <v>45736</v>
      </c>
      <c r="D14896" t="inlineStr">
        <is>
          <t>VÄRMLANDS LÄN</t>
        </is>
      </c>
      <c r="E14896" t="inlineStr">
        <is>
          <t>ARVIKA</t>
        </is>
      </c>
      <c r="F14896" t="inlineStr">
        <is>
          <t>Bergvik skog väst AB</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22051-2024</t>
        </is>
      </c>
      <c r="B14897" s="1" t="n">
        <v>45443</v>
      </c>
      <c r="C14897" s="1" t="n">
        <v>45736</v>
      </c>
      <c r="D14897" t="inlineStr">
        <is>
          <t>VÄRMLANDS LÄN</t>
        </is>
      </c>
      <c r="E14897" t="inlineStr">
        <is>
          <t>EDA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21866-2024</t>
        </is>
      </c>
      <c r="B14898" s="1" t="n">
        <v>45443</v>
      </c>
      <c r="C14898" s="1" t="n">
        <v>45736</v>
      </c>
      <c r="D14898" t="inlineStr">
        <is>
          <t>VÄRMLANDS LÄN</t>
        </is>
      </c>
      <c r="E14898" t="inlineStr">
        <is>
          <t>ARVIKA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21870-2024</t>
        </is>
      </c>
      <c r="B14899" s="1" t="n">
        <v>45443</v>
      </c>
      <c r="C14899" s="1" t="n">
        <v>45736</v>
      </c>
      <c r="D14899" t="inlineStr">
        <is>
          <t>VÄRMLANDS LÄN</t>
        </is>
      </c>
      <c r="E14899" t="inlineStr">
        <is>
          <t>ARVIKA</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21957-2024</t>
        </is>
      </c>
      <c r="B14900" s="1" t="n">
        <v>45443</v>
      </c>
      <c r="C14900" s="1" t="n">
        <v>45736</v>
      </c>
      <c r="D14900" t="inlineStr">
        <is>
          <t>VÄRMLANDS LÄN</t>
        </is>
      </c>
      <c r="E14900" t="inlineStr">
        <is>
          <t>KRISTINEHAMN</t>
        </is>
      </c>
      <c r="F14900" t="inlineStr">
        <is>
          <t>Sveaskog</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22062-2024</t>
        </is>
      </c>
      <c r="B14901" s="1" t="n">
        <v>45443</v>
      </c>
      <c r="C14901" s="1" t="n">
        <v>45736</v>
      </c>
      <c r="D14901" t="inlineStr">
        <is>
          <t>VÄRMLANDS LÄN</t>
        </is>
      </c>
      <c r="E14901" t="inlineStr">
        <is>
          <t>EDA</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22083-2024</t>
        </is>
      </c>
      <c r="B14902" s="1" t="n">
        <v>45443</v>
      </c>
      <c r="C14902" s="1" t="n">
        <v>45736</v>
      </c>
      <c r="D14902" t="inlineStr">
        <is>
          <t>VÄRMLANDS LÄN</t>
        </is>
      </c>
      <c r="E14902" t="inlineStr">
        <is>
          <t>EDA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22085-2024</t>
        </is>
      </c>
      <c r="B14903" s="1" t="n">
        <v>45443</v>
      </c>
      <c r="C14903" s="1" t="n">
        <v>45736</v>
      </c>
      <c r="D14903" t="inlineStr">
        <is>
          <t>VÄRMLANDS LÄN</t>
        </is>
      </c>
      <c r="E14903" t="inlineStr">
        <is>
          <t>ÅRJÄNG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22073-2024</t>
        </is>
      </c>
      <c r="B14904" s="1" t="n">
        <v>45443</v>
      </c>
      <c r="C14904" s="1" t="n">
        <v>45736</v>
      </c>
      <c r="D14904" t="inlineStr">
        <is>
          <t>VÄRMLANDS LÄN</t>
        </is>
      </c>
      <c r="E14904" t="inlineStr">
        <is>
          <t>KRISTINEHAMN</t>
        </is>
      </c>
      <c r="G14904" t="n">
        <v>13.4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21873-2024</t>
        </is>
      </c>
      <c r="B14905" s="1" t="n">
        <v>45443</v>
      </c>
      <c r="C14905" s="1" t="n">
        <v>45736</v>
      </c>
      <c r="D14905" t="inlineStr">
        <is>
          <t>VÄRMLANDS LÄN</t>
        </is>
      </c>
      <c r="E14905" t="inlineStr">
        <is>
          <t>HAGFORS</t>
        </is>
      </c>
      <c r="F14905" t="inlineStr">
        <is>
          <t>Bergvik skog väst AB</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21877-2024</t>
        </is>
      </c>
      <c r="B14906" s="1" t="n">
        <v>45443</v>
      </c>
      <c r="C14906" s="1" t="n">
        <v>45736</v>
      </c>
      <c r="D14906" t="inlineStr">
        <is>
          <t>VÄRMLANDS LÄN</t>
        </is>
      </c>
      <c r="E14906" t="inlineStr">
        <is>
          <t>HAGFORS</t>
        </is>
      </c>
      <c r="F14906" t="inlineStr">
        <is>
          <t>Bergvik skog väst AB</t>
        </is>
      </c>
      <c r="G14906" t="n">
        <v>9.6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21956-2024</t>
        </is>
      </c>
      <c r="B14907" s="1" t="n">
        <v>45443</v>
      </c>
      <c r="C14907" s="1" t="n">
        <v>45736</v>
      </c>
      <c r="D14907" t="inlineStr">
        <is>
          <t>VÄRMLANDS LÄN</t>
        </is>
      </c>
      <c r="E14907" t="inlineStr">
        <is>
          <t>KRISTINEHAMN</t>
        </is>
      </c>
      <c r="F14907" t="inlineStr">
        <is>
          <t>Sveaskog</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21867-2024</t>
        </is>
      </c>
      <c r="B14908" s="1" t="n">
        <v>45443</v>
      </c>
      <c r="C14908" s="1" t="n">
        <v>45736</v>
      </c>
      <c r="D14908" t="inlineStr">
        <is>
          <t>VÄRMLANDS LÄN</t>
        </is>
      </c>
      <c r="E14908" t="inlineStr">
        <is>
          <t>HAGFORS</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22156-2024</t>
        </is>
      </c>
      <c r="B14909" s="1" t="n">
        <v>45445</v>
      </c>
      <c r="C14909" s="1" t="n">
        <v>45736</v>
      </c>
      <c r="D14909" t="inlineStr">
        <is>
          <t>VÄRMLANDS LÄN</t>
        </is>
      </c>
      <c r="E14909" t="inlineStr">
        <is>
          <t>ÅRJÄNG</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22196-2024</t>
        </is>
      </c>
      <c r="B14910" s="1" t="n">
        <v>45446</v>
      </c>
      <c r="C14910" s="1" t="n">
        <v>45736</v>
      </c>
      <c r="D14910" t="inlineStr">
        <is>
          <t>VÄRMLANDS LÄN</t>
        </is>
      </c>
      <c r="E14910" t="inlineStr">
        <is>
          <t>KARLSTAD</t>
        </is>
      </c>
      <c r="F14910" t="inlineStr">
        <is>
          <t>Bergvik skog väst AB</t>
        </is>
      </c>
      <c r="G14910" t="n">
        <v>9.300000000000001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22193-2024</t>
        </is>
      </c>
      <c r="B14911" s="1" t="n">
        <v>45446</v>
      </c>
      <c r="C14911" s="1" t="n">
        <v>45736</v>
      </c>
      <c r="D14911" t="inlineStr">
        <is>
          <t>VÄRMLANDS LÄN</t>
        </is>
      </c>
      <c r="E14911" t="inlineStr">
        <is>
          <t>KARLSTAD</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22332-2024</t>
        </is>
      </c>
      <c r="B14912" s="1" t="n">
        <v>45446</v>
      </c>
      <c r="C14912" s="1" t="n">
        <v>45736</v>
      </c>
      <c r="D14912" t="inlineStr">
        <is>
          <t>VÄRMLANDS LÄN</t>
        </is>
      </c>
      <c r="E14912" t="inlineStr">
        <is>
          <t>HAGFORS</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22362-2024</t>
        </is>
      </c>
      <c r="B14913" s="1" t="n">
        <v>45446</v>
      </c>
      <c r="C14913" s="1" t="n">
        <v>45736</v>
      </c>
      <c r="D14913" t="inlineStr">
        <is>
          <t>VÄRMLANDS LÄN</t>
        </is>
      </c>
      <c r="E14913" t="inlineStr">
        <is>
          <t>FORSHAGA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22407-2024</t>
        </is>
      </c>
      <c r="B14914" s="1" t="n">
        <v>45446</v>
      </c>
      <c r="C14914" s="1" t="n">
        <v>45736</v>
      </c>
      <c r="D14914" t="inlineStr">
        <is>
          <t>VÄRMLANDS LÄN</t>
        </is>
      </c>
      <c r="E14914" t="inlineStr">
        <is>
          <t>FORSHAGA</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22216-2024</t>
        </is>
      </c>
      <c r="B14915" s="1" t="n">
        <v>45446</v>
      </c>
      <c r="C14915" s="1" t="n">
        <v>45736</v>
      </c>
      <c r="D14915" t="inlineStr">
        <is>
          <t>VÄRMLANDS LÄN</t>
        </is>
      </c>
      <c r="E14915" t="inlineStr">
        <is>
          <t>TORSBY</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22225-2024</t>
        </is>
      </c>
      <c r="B14916" s="1" t="n">
        <v>45446</v>
      </c>
      <c r="C14916" s="1" t="n">
        <v>45736</v>
      </c>
      <c r="D14916" t="inlineStr">
        <is>
          <t>VÄRMLANDS LÄN</t>
        </is>
      </c>
      <c r="E14916" t="inlineStr">
        <is>
          <t>MUNKFORS</t>
        </is>
      </c>
      <c r="F14916" t="inlineStr">
        <is>
          <t>Bergvik skog väst AB</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22483-2024</t>
        </is>
      </c>
      <c r="B14917" s="1" t="n">
        <v>45446</v>
      </c>
      <c r="C14917" s="1" t="n">
        <v>45736</v>
      </c>
      <c r="D14917" t="inlineStr">
        <is>
          <t>VÄRMLANDS LÄN</t>
        </is>
      </c>
      <c r="E14917" t="inlineStr">
        <is>
          <t>TORSBY</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22274-2024</t>
        </is>
      </c>
      <c r="B14918" s="1" t="n">
        <v>45446</v>
      </c>
      <c r="C14918" s="1" t="n">
        <v>45736</v>
      </c>
      <c r="D14918" t="inlineStr">
        <is>
          <t>VÄRMLANDS LÄN</t>
        </is>
      </c>
      <c r="E14918" t="inlineStr">
        <is>
          <t>ÅRJÄNG</t>
        </is>
      </c>
      <c r="G14918" t="n">
        <v>8.6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22262-2024</t>
        </is>
      </c>
      <c r="B14919" s="1" t="n">
        <v>45446</v>
      </c>
      <c r="C14919" s="1" t="n">
        <v>45736</v>
      </c>
      <c r="D14919" t="inlineStr">
        <is>
          <t>VÄRMLANDS LÄN</t>
        </is>
      </c>
      <c r="E14919" t="inlineStr">
        <is>
          <t>ARVIKA</t>
        </is>
      </c>
      <c r="F14919" t="inlineStr">
        <is>
          <t>Bergvik skog väst AB</t>
        </is>
      </c>
      <c r="G14919" t="n">
        <v>25.5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22210-2024</t>
        </is>
      </c>
      <c r="B14920" s="1" t="n">
        <v>45446</v>
      </c>
      <c r="C14920" s="1" t="n">
        <v>45736</v>
      </c>
      <c r="D14920" t="inlineStr">
        <is>
          <t>VÄRMLANDS LÄN</t>
        </is>
      </c>
      <c r="E14920" t="inlineStr">
        <is>
          <t>KARLSTAD</t>
        </is>
      </c>
      <c r="F14920" t="inlineStr">
        <is>
          <t>Bergvik skog väst AB</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22421-2024</t>
        </is>
      </c>
      <c r="B14921" s="1" t="n">
        <v>45446</v>
      </c>
      <c r="C14921" s="1" t="n">
        <v>45736</v>
      </c>
      <c r="D14921" t="inlineStr">
        <is>
          <t>VÄRMLANDS LÄN</t>
        </is>
      </c>
      <c r="E14921" t="inlineStr">
        <is>
          <t>TORSBY</t>
        </is>
      </c>
      <c r="G14921" t="n">
        <v>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22200-2024</t>
        </is>
      </c>
      <c r="B14922" s="1" t="n">
        <v>45446</v>
      </c>
      <c r="C14922" s="1" t="n">
        <v>45736</v>
      </c>
      <c r="D14922" t="inlineStr">
        <is>
          <t>VÄRMLANDS LÄN</t>
        </is>
      </c>
      <c r="E14922" t="inlineStr">
        <is>
          <t>KARLSTAD</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22180-2024</t>
        </is>
      </c>
      <c r="B14923" s="1" t="n">
        <v>45446</v>
      </c>
      <c r="C14923" s="1" t="n">
        <v>45736</v>
      </c>
      <c r="D14923" t="inlineStr">
        <is>
          <t>VÄRMLANDS LÄN</t>
        </is>
      </c>
      <c r="E14923" t="inlineStr">
        <is>
          <t>HAGFORS</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22426-2024</t>
        </is>
      </c>
      <c r="B14924" s="1" t="n">
        <v>45446</v>
      </c>
      <c r="C14924" s="1" t="n">
        <v>45736</v>
      </c>
      <c r="D14924" t="inlineStr">
        <is>
          <t>VÄRMLANDS LÄN</t>
        </is>
      </c>
      <c r="E14924" t="inlineStr">
        <is>
          <t>TORSBY</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22658-2024</t>
        </is>
      </c>
      <c r="B14925" s="1" t="n">
        <v>45447</v>
      </c>
      <c r="C14925" s="1" t="n">
        <v>45736</v>
      </c>
      <c r="D14925" t="inlineStr">
        <is>
          <t>VÄRMLANDS LÄN</t>
        </is>
      </c>
      <c r="E14925" t="inlineStr">
        <is>
          <t>KRISTINEHAMN</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22637-2024</t>
        </is>
      </c>
      <c r="B14926" s="1" t="n">
        <v>45447</v>
      </c>
      <c r="C14926" s="1" t="n">
        <v>45736</v>
      </c>
      <c r="D14926" t="inlineStr">
        <is>
          <t>VÄRMLANDS LÄN</t>
        </is>
      </c>
      <c r="E14926" t="inlineStr">
        <is>
          <t>KRISTINEHAMN</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22616-2024</t>
        </is>
      </c>
      <c r="B14927" s="1" t="n">
        <v>45447</v>
      </c>
      <c r="C14927" s="1" t="n">
        <v>45736</v>
      </c>
      <c r="D14927" t="inlineStr">
        <is>
          <t>VÄRMLANDS LÄN</t>
        </is>
      </c>
      <c r="E14927" t="inlineStr">
        <is>
          <t>EDA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22582-2024</t>
        </is>
      </c>
      <c r="B14928" s="1" t="n">
        <v>45447</v>
      </c>
      <c r="C14928" s="1" t="n">
        <v>45736</v>
      </c>
      <c r="D14928" t="inlineStr">
        <is>
          <t>VÄRMLANDS LÄN</t>
        </is>
      </c>
      <c r="E14928" t="inlineStr">
        <is>
          <t>FORSHAGA</t>
        </is>
      </c>
      <c r="F14928" t="inlineStr">
        <is>
          <t>Bergvik skog väst AB</t>
        </is>
      </c>
      <c r="G14928" t="n">
        <v>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22578-2024</t>
        </is>
      </c>
      <c r="B14929" s="1" t="n">
        <v>45447</v>
      </c>
      <c r="C14929" s="1" t="n">
        <v>45736</v>
      </c>
      <c r="D14929" t="inlineStr">
        <is>
          <t>VÄRMLANDS LÄN</t>
        </is>
      </c>
      <c r="E14929" t="inlineStr">
        <is>
          <t>FILIPSTAD</t>
        </is>
      </c>
      <c r="F14929" t="inlineStr">
        <is>
          <t>Bergvik skog väst AB</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22562-2024</t>
        </is>
      </c>
      <c r="B14930" s="1" t="n">
        <v>45447</v>
      </c>
      <c r="C14930" s="1" t="n">
        <v>45736</v>
      </c>
      <c r="D14930" t="inlineStr">
        <is>
          <t>VÄRMLANDS LÄN</t>
        </is>
      </c>
      <c r="E14930" t="inlineStr">
        <is>
          <t>FORSHAGA</t>
        </is>
      </c>
      <c r="F14930" t="inlineStr">
        <is>
          <t>Bergvik skog väst AB</t>
        </is>
      </c>
      <c r="G14930" t="n">
        <v>12.9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22525-2024</t>
        </is>
      </c>
      <c r="B14931" s="1" t="n">
        <v>45447</v>
      </c>
      <c r="C14931" s="1" t="n">
        <v>45736</v>
      </c>
      <c r="D14931" t="inlineStr">
        <is>
          <t>VÄRMLANDS LÄN</t>
        </is>
      </c>
      <c r="E14931" t="inlineStr">
        <is>
          <t>TORSBY</t>
        </is>
      </c>
      <c r="G14931" t="n">
        <v>7.3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22626-2024</t>
        </is>
      </c>
      <c r="B14932" s="1" t="n">
        <v>45447</v>
      </c>
      <c r="C14932" s="1" t="n">
        <v>45736</v>
      </c>
      <c r="D14932" t="inlineStr">
        <is>
          <t>VÄRMLANDS LÄN</t>
        </is>
      </c>
      <c r="E14932" t="inlineStr">
        <is>
          <t>HAGFORS</t>
        </is>
      </c>
      <c r="F14932" t="inlineStr">
        <is>
          <t>Bergvik skog väst AB</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22565-2024</t>
        </is>
      </c>
      <c r="B14933" s="1" t="n">
        <v>45447</v>
      </c>
      <c r="C14933" s="1" t="n">
        <v>45736</v>
      </c>
      <c r="D14933" t="inlineStr">
        <is>
          <t>VÄRMLANDS LÄN</t>
        </is>
      </c>
      <c r="E14933" t="inlineStr">
        <is>
          <t>TORSBY</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22536-2024</t>
        </is>
      </c>
      <c r="B14934" s="1" t="n">
        <v>45447</v>
      </c>
      <c r="C14934" s="1" t="n">
        <v>45736</v>
      </c>
      <c r="D14934" t="inlineStr">
        <is>
          <t>VÄRMLANDS LÄN</t>
        </is>
      </c>
      <c r="E14934" t="inlineStr">
        <is>
          <t>TORSBY</t>
        </is>
      </c>
      <c r="G14934" t="n">
        <v>25.2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22503-2024</t>
        </is>
      </c>
      <c r="B14935" s="1" t="n">
        <v>45447</v>
      </c>
      <c r="C14935" s="1" t="n">
        <v>45736</v>
      </c>
      <c r="D14935" t="inlineStr">
        <is>
          <t>VÄRMLANDS LÄN</t>
        </is>
      </c>
      <c r="E14935" t="inlineStr">
        <is>
          <t>HAGFORS</t>
        </is>
      </c>
      <c r="G14935" t="n">
        <v>0.2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22832-2024</t>
        </is>
      </c>
      <c r="B14936" s="1" t="n">
        <v>45448</v>
      </c>
      <c r="C14936" s="1" t="n">
        <v>45736</v>
      </c>
      <c r="D14936" t="inlineStr">
        <is>
          <t>VÄRMLANDS LÄN</t>
        </is>
      </c>
      <c r="E14936" t="inlineStr">
        <is>
          <t>KRISTINEHAMN</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22844-2024</t>
        </is>
      </c>
      <c r="B14937" s="1" t="n">
        <v>45448</v>
      </c>
      <c r="C14937" s="1" t="n">
        <v>45736</v>
      </c>
      <c r="D14937" t="inlineStr">
        <is>
          <t>VÄRMLANDS LÄN</t>
        </is>
      </c>
      <c r="E14937" t="inlineStr">
        <is>
          <t>TORSBY</t>
        </is>
      </c>
      <c r="F14937" t="inlineStr">
        <is>
          <t>Bergvik skog väst AB</t>
        </is>
      </c>
      <c r="G14937" t="n">
        <v>16.3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22868-2024</t>
        </is>
      </c>
      <c r="B14938" s="1" t="n">
        <v>45448</v>
      </c>
      <c r="C14938" s="1" t="n">
        <v>45736</v>
      </c>
      <c r="D14938" t="inlineStr">
        <is>
          <t>VÄRMLANDS LÄN</t>
        </is>
      </c>
      <c r="E14938" t="inlineStr">
        <is>
          <t>FILIPSTAD</t>
        </is>
      </c>
      <c r="F14938" t="inlineStr">
        <is>
          <t>Bergvik skog väst AB</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22729-2024</t>
        </is>
      </c>
      <c r="B14939" s="1" t="n">
        <v>45448</v>
      </c>
      <c r="C14939" s="1" t="n">
        <v>45736</v>
      </c>
      <c r="D14939" t="inlineStr">
        <is>
          <t>VÄRMLANDS LÄN</t>
        </is>
      </c>
      <c r="E14939" t="inlineStr">
        <is>
          <t>TORSBY</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22717-2024</t>
        </is>
      </c>
      <c r="B14940" s="1" t="n">
        <v>45448</v>
      </c>
      <c r="C14940" s="1" t="n">
        <v>45736</v>
      </c>
      <c r="D14940" t="inlineStr">
        <is>
          <t>VÄRMLANDS LÄN</t>
        </is>
      </c>
      <c r="E14940" t="inlineStr">
        <is>
          <t>ARVIKA</t>
        </is>
      </c>
      <c r="F14940" t="inlineStr">
        <is>
          <t>Bergvik skog väst AB</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22745-2024</t>
        </is>
      </c>
      <c r="B14941" s="1" t="n">
        <v>45448</v>
      </c>
      <c r="C14941" s="1" t="n">
        <v>45736</v>
      </c>
      <c r="D14941" t="inlineStr">
        <is>
          <t>VÄRMLANDS LÄN</t>
        </is>
      </c>
      <c r="E14941" t="inlineStr">
        <is>
          <t>MUNKFORS</t>
        </is>
      </c>
      <c r="G14941" t="n">
        <v>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22734-2024</t>
        </is>
      </c>
      <c r="B14942" s="1" t="n">
        <v>45448</v>
      </c>
      <c r="C14942" s="1" t="n">
        <v>45736</v>
      </c>
      <c r="D14942" t="inlineStr">
        <is>
          <t>VÄRMLANDS LÄN</t>
        </is>
      </c>
      <c r="E14942" t="inlineStr">
        <is>
          <t>SUNNE</t>
        </is>
      </c>
      <c r="F14942" t="inlineStr">
        <is>
          <t>Bergvik skog väst AB</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22720-2024</t>
        </is>
      </c>
      <c r="B14943" s="1" t="n">
        <v>45448</v>
      </c>
      <c r="C14943" s="1" t="n">
        <v>45736</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22763-2024</t>
        </is>
      </c>
      <c r="B14944" s="1" t="n">
        <v>45448</v>
      </c>
      <c r="C14944" s="1" t="n">
        <v>45736</v>
      </c>
      <c r="D14944" t="inlineStr">
        <is>
          <t>VÄRMLANDS LÄN</t>
        </is>
      </c>
      <c r="E14944" t="inlineStr">
        <is>
          <t>ARVIKA</t>
        </is>
      </c>
      <c r="F14944" t="inlineStr">
        <is>
          <t>Kyrkan</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22775-2024</t>
        </is>
      </c>
      <c r="B14945" s="1" t="n">
        <v>45448</v>
      </c>
      <c r="C14945" s="1" t="n">
        <v>45736</v>
      </c>
      <c r="D14945" t="inlineStr">
        <is>
          <t>VÄRMLANDS LÄN</t>
        </is>
      </c>
      <c r="E14945" t="inlineStr">
        <is>
          <t>KRISTINEHAMN</t>
        </is>
      </c>
      <c r="G14945" t="n">
        <v>6.2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22754-2024</t>
        </is>
      </c>
      <c r="B14946" s="1" t="n">
        <v>45448</v>
      </c>
      <c r="C14946" s="1" t="n">
        <v>45736</v>
      </c>
      <c r="D14946" t="inlineStr">
        <is>
          <t>VÄRMLANDS LÄN</t>
        </is>
      </c>
      <c r="E14946" t="inlineStr">
        <is>
          <t>MUNKFORS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22787-2024</t>
        </is>
      </c>
      <c r="B14947" s="1" t="n">
        <v>45448</v>
      </c>
      <c r="C14947" s="1" t="n">
        <v>45736</v>
      </c>
      <c r="D14947" t="inlineStr">
        <is>
          <t>VÄRMLANDS LÄN</t>
        </is>
      </c>
      <c r="E14947" t="inlineStr">
        <is>
          <t>HAGFORS</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22714-2024</t>
        </is>
      </c>
      <c r="B14948" s="1" t="n">
        <v>45448</v>
      </c>
      <c r="C14948" s="1" t="n">
        <v>45736</v>
      </c>
      <c r="D14948" t="inlineStr">
        <is>
          <t>VÄRMLANDS LÄN</t>
        </is>
      </c>
      <c r="E14948" t="inlineStr">
        <is>
          <t>ARVIKA</t>
        </is>
      </c>
      <c r="F14948" t="inlineStr">
        <is>
          <t>Bergvik skog väst AB</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22718-2024</t>
        </is>
      </c>
      <c r="B14949" s="1" t="n">
        <v>45448</v>
      </c>
      <c r="C14949" s="1" t="n">
        <v>45736</v>
      </c>
      <c r="D14949" t="inlineStr">
        <is>
          <t>VÄRMLANDS LÄN</t>
        </is>
      </c>
      <c r="E14949" t="inlineStr">
        <is>
          <t>EDA</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22722-2024</t>
        </is>
      </c>
      <c r="B14950" s="1" t="n">
        <v>45448</v>
      </c>
      <c r="C14950" s="1" t="n">
        <v>45736</v>
      </c>
      <c r="D14950" t="inlineStr">
        <is>
          <t>VÄRMLANDS LÄN</t>
        </is>
      </c>
      <c r="E14950" t="inlineStr">
        <is>
          <t>ARVIKA</t>
        </is>
      </c>
      <c r="F14950" t="inlineStr">
        <is>
          <t>Bergvik skog väst AB</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22780-2024</t>
        </is>
      </c>
      <c r="B14951" s="1" t="n">
        <v>45448</v>
      </c>
      <c r="C14951" s="1" t="n">
        <v>45736</v>
      </c>
      <c r="D14951" t="inlineStr">
        <is>
          <t>VÄRMLANDS LÄN</t>
        </is>
      </c>
      <c r="E14951" t="inlineStr">
        <is>
          <t>STORFORS</t>
        </is>
      </c>
      <c r="F14951" t="inlineStr">
        <is>
          <t>Naturvårdsverket</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22798-2024</t>
        </is>
      </c>
      <c r="B14952" s="1" t="n">
        <v>45448</v>
      </c>
      <c r="C14952" s="1" t="n">
        <v>45736</v>
      </c>
      <c r="D14952" t="inlineStr">
        <is>
          <t>VÄRMLANDS LÄN</t>
        </is>
      </c>
      <c r="E14952" t="inlineStr">
        <is>
          <t>KIL</t>
        </is>
      </c>
      <c r="F14952" t="inlineStr">
        <is>
          <t>Kyrkan</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22822-2024</t>
        </is>
      </c>
      <c r="B14953" s="1" t="n">
        <v>45448</v>
      </c>
      <c r="C14953" s="1" t="n">
        <v>45736</v>
      </c>
      <c r="D14953" t="inlineStr">
        <is>
          <t>VÄRMLANDS LÄN</t>
        </is>
      </c>
      <c r="E14953" t="inlineStr">
        <is>
          <t>GRUMS</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22894-2024</t>
        </is>
      </c>
      <c r="B14954" s="1" t="n">
        <v>45448</v>
      </c>
      <c r="C14954" s="1" t="n">
        <v>45736</v>
      </c>
      <c r="D14954" t="inlineStr">
        <is>
          <t>VÄRMLANDS LÄN</t>
        </is>
      </c>
      <c r="E14954" t="inlineStr">
        <is>
          <t>ÅRJÄNG</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22898-2024</t>
        </is>
      </c>
      <c r="B14955" s="1" t="n">
        <v>45448</v>
      </c>
      <c r="C14955" s="1" t="n">
        <v>45736</v>
      </c>
      <c r="D14955" t="inlineStr">
        <is>
          <t>VÄRMLANDS LÄN</t>
        </is>
      </c>
      <c r="E14955" t="inlineStr">
        <is>
          <t>ÅRJÄNG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22757-2024</t>
        </is>
      </c>
      <c r="B14956" s="1" t="n">
        <v>45448</v>
      </c>
      <c r="C14956" s="1" t="n">
        <v>45736</v>
      </c>
      <c r="D14956" t="inlineStr">
        <is>
          <t>VÄRMLANDS LÄN</t>
        </is>
      </c>
      <c r="E14956" t="inlineStr">
        <is>
          <t>MUNKFORS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22765-2024</t>
        </is>
      </c>
      <c r="B14957" s="1" t="n">
        <v>45448</v>
      </c>
      <c r="C14957" s="1" t="n">
        <v>45736</v>
      </c>
      <c r="D14957" t="inlineStr">
        <is>
          <t>VÄRMLANDS LÄN</t>
        </is>
      </c>
      <c r="E14957" t="inlineStr">
        <is>
          <t>SUNNE</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22795-2024</t>
        </is>
      </c>
      <c r="B14958" s="1" t="n">
        <v>45448</v>
      </c>
      <c r="C14958" s="1" t="n">
        <v>45736</v>
      </c>
      <c r="D14958" t="inlineStr">
        <is>
          <t>VÄRMLANDS LÄN</t>
        </is>
      </c>
      <c r="E14958" t="inlineStr">
        <is>
          <t>KARLSTAD</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22799-2024</t>
        </is>
      </c>
      <c r="B14959" s="1" t="n">
        <v>45448</v>
      </c>
      <c r="C14959" s="1" t="n">
        <v>45736</v>
      </c>
      <c r="D14959" t="inlineStr">
        <is>
          <t>VÄRMLANDS LÄN</t>
        </is>
      </c>
      <c r="E14959" t="inlineStr">
        <is>
          <t>KARLSTAD</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22843-2024</t>
        </is>
      </c>
      <c r="B14960" s="1" t="n">
        <v>45448</v>
      </c>
      <c r="C14960" s="1" t="n">
        <v>45736</v>
      </c>
      <c r="D14960" t="inlineStr">
        <is>
          <t>VÄRMLANDS LÄN</t>
        </is>
      </c>
      <c r="E14960" t="inlineStr">
        <is>
          <t>TORSBY</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22863-2024</t>
        </is>
      </c>
      <c r="B14961" s="1" t="n">
        <v>45448</v>
      </c>
      <c r="C14961" s="1" t="n">
        <v>45736</v>
      </c>
      <c r="D14961" t="inlineStr">
        <is>
          <t>VÄRMLANDS LÄN</t>
        </is>
      </c>
      <c r="E14961" t="inlineStr">
        <is>
          <t>SÄFFLE</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22964-2024</t>
        </is>
      </c>
      <c r="B14962" s="1" t="n">
        <v>45449</v>
      </c>
      <c r="C14962" s="1" t="n">
        <v>45736</v>
      </c>
      <c r="D14962" t="inlineStr">
        <is>
          <t>VÄRMLANDS LÄN</t>
        </is>
      </c>
      <c r="E14962" t="inlineStr">
        <is>
          <t>SUNNE</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22973-2024</t>
        </is>
      </c>
      <c r="B14963" s="1" t="n">
        <v>45449</v>
      </c>
      <c r="C14963" s="1" t="n">
        <v>45736</v>
      </c>
      <c r="D14963" t="inlineStr">
        <is>
          <t>VÄRMLANDS LÄN</t>
        </is>
      </c>
      <c r="E14963" t="inlineStr">
        <is>
          <t>TORSBY</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23061-2024</t>
        </is>
      </c>
      <c r="B14964" s="1" t="n">
        <v>45449</v>
      </c>
      <c r="C14964" s="1" t="n">
        <v>45736</v>
      </c>
      <c r="D14964" t="inlineStr">
        <is>
          <t>VÄRMLANDS LÄN</t>
        </is>
      </c>
      <c r="E14964" t="inlineStr">
        <is>
          <t>SUNNE</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23066-2024</t>
        </is>
      </c>
      <c r="B14965" s="1" t="n">
        <v>45449</v>
      </c>
      <c r="C14965" s="1" t="n">
        <v>45736</v>
      </c>
      <c r="D14965" t="inlineStr">
        <is>
          <t>VÄRMLANDS LÄN</t>
        </is>
      </c>
      <c r="E14965" t="inlineStr">
        <is>
          <t>KIL</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23042-2024</t>
        </is>
      </c>
      <c r="B14966" s="1" t="n">
        <v>45450</v>
      </c>
      <c r="C14966" s="1" t="n">
        <v>45736</v>
      </c>
      <c r="D14966" t="inlineStr">
        <is>
          <t>VÄRMLANDS LÄN</t>
        </is>
      </c>
      <c r="E14966" t="inlineStr">
        <is>
          <t>TORSBY</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23047-2024</t>
        </is>
      </c>
      <c r="B14967" s="1" t="n">
        <v>45450</v>
      </c>
      <c r="C14967" s="1" t="n">
        <v>45736</v>
      </c>
      <c r="D14967" t="inlineStr">
        <is>
          <t>VÄRMLANDS LÄN</t>
        </is>
      </c>
      <c r="E14967" t="inlineStr">
        <is>
          <t>HAGFORS</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23054-2024</t>
        </is>
      </c>
      <c r="B14968" s="1" t="n">
        <v>45450</v>
      </c>
      <c r="C14968" s="1" t="n">
        <v>45736</v>
      </c>
      <c r="D14968" t="inlineStr">
        <is>
          <t>VÄRMLANDS LÄN</t>
        </is>
      </c>
      <c r="E14968" t="inlineStr">
        <is>
          <t>ÅRJÄNG</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23085-2024</t>
        </is>
      </c>
      <c r="B14969" s="1" t="n">
        <v>45450</v>
      </c>
      <c r="C14969" s="1" t="n">
        <v>45736</v>
      </c>
      <c r="D14969" t="inlineStr">
        <is>
          <t>VÄRMLANDS LÄN</t>
        </is>
      </c>
      <c r="E14969" t="inlineStr">
        <is>
          <t>ARVIKA</t>
        </is>
      </c>
      <c r="F14969" t="inlineStr">
        <is>
          <t>Bergvik skog väst AB</t>
        </is>
      </c>
      <c r="G14969" t="n">
        <v>0.7</v>
      </c>
      <c r="H14969" t="n">
        <v>0</v>
      </c>
      <c r="I14969" t="n">
        <v>0</v>
      </c>
      <c r="J14969" t="n">
        <v>0</v>
      </c>
      <c r="K14969" t="n">
        <v>0</v>
      </c>
      <c r="L14969" t="n">
        <v>0</v>
      </c>
      <c r="M14969" t="n">
        <v>0</v>
      </c>
      <c r="N14969" t="n">
        <v>0</v>
      </c>
      <c r="O14969" t="n">
        <v>0</v>
      </c>
      <c r="P14969" t="n">
        <v>0</v>
      </c>
      <c r="Q14969" t="n">
        <v>0</v>
      </c>
      <c r="R14969" s="2" t="inlineStr"/>
      <c r="U14969">
        <f>HYPERLINK("https://klasma.github.io/Logging_1784/knärot/A 23085-2024 karta knärot.png", "A 23085-2024")</f>
        <v/>
      </c>
      <c r="V14969">
        <f>HYPERLINK("https://klasma.github.io/Logging_1784/klagomål/A 23085-2024 FSC-klagomål.docx", "A 23085-2024")</f>
        <v/>
      </c>
      <c r="W14969">
        <f>HYPERLINK("https://klasma.github.io/Logging_1784/klagomålsmail/A 23085-2024 FSC-klagomål mail.docx", "A 23085-2024")</f>
        <v/>
      </c>
      <c r="X14969">
        <f>HYPERLINK("https://klasma.github.io/Logging_1784/tillsyn/A 23085-2024 tillsynsbegäran.docx", "A 23085-2024")</f>
        <v/>
      </c>
      <c r="Y14969">
        <f>HYPERLINK("https://klasma.github.io/Logging_1784/tillsynsmail/A 23085-2024 tillsynsbegäran mail.docx", "A 23085-2024")</f>
        <v/>
      </c>
    </row>
    <row r="14970" ht="15" customHeight="1">
      <c r="A14970" t="inlineStr">
        <is>
          <t>A 23089-2024</t>
        </is>
      </c>
      <c r="B14970" s="1" t="n">
        <v>45450</v>
      </c>
      <c r="C14970" s="1" t="n">
        <v>45736</v>
      </c>
      <c r="D14970" t="inlineStr">
        <is>
          <t>VÄRMLANDS LÄN</t>
        </is>
      </c>
      <c r="E14970" t="inlineStr">
        <is>
          <t>ARVIKA</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23133-2024</t>
        </is>
      </c>
      <c r="B14971" s="1" t="n">
        <v>45450</v>
      </c>
      <c r="C14971" s="1" t="n">
        <v>45736</v>
      </c>
      <c r="D14971" t="inlineStr">
        <is>
          <t>VÄRMLANDS LÄN</t>
        </is>
      </c>
      <c r="E14971" t="inlineStr">
        <is>
          <t>TORSBY</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23041-2024</t>
        </is>
      </c>
      <c r="B14972" s="1" t="n">
        <v>45450</v>
      </c>
      <c r="C14972" s="1" t="n">
        <v>45736</v>
      </c>
      <c r="D14972" t="inlineStr">
        <is>
          <t>VÄRMLANDS LÄN</t>
        </is>
      </c>
      <c r="E14972" t="inlineStr">
        <is>
          <t>HAGFORS</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23051-2024</t>
        </is>
      </c>
      <c r="B14973" s="1" t="n">
        <v>45450</v>
      </c>
      <c r="C14973" s="1" t="n">
        <v>45736</v>
      </c>
      <c r="D14973" t="inlineStr">
        <is>
          <t>VÄRMLANDS LÄN</t>
        </is>
      </c>
      <c r="E14973" t="inlineStr">
        <is>
          <t>ÅRJÄNG</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23070-2024</t>
        </is>
      </c>
      <c r="B14974" s="1" t="n">
        <v>45450</v>
      </c>
      <c r="C14974" s="1" t="n">
        <v>45736</v>
      </c>
      <c r="D14974" t="inlineStr">
        <is>
          <t>VÄRMLANDS LÄN</t>
        </is>
      </c>
      <c r="E14974" t="inlineStr">
        <is>
          <t>EDA</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23108-2024</t>
        </is>
      </c>
      <c r="B14975" s="1" t="n">
        <v>45450</v>
      </c>
      <c r="C14975" s="1" t="n">
        <v>45736</v>
      </c>
      <c r="D14975" t="inlineStr">
        <is>
          <t>VÄRMLANDS LÄN</t>
        </is>
      </c>
      <c r="E14975" t="inlineStr">
        <is>
          <t>TORSBY</t>
        </is>
      </c>
      <c r="F14975" t="inlineStr">
        <is>
          <t>Bergvik skog väst AB</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23044-2024</t>
        </is>
      </c>
      <c r="B14976" s="1" t="n">
        <v>45450</v>
      </c>
      <c r="C14976" s="1" t="n">
        <v>45736</v>
      </c>
      <c r="D14976" t="inlineStr">
        <is>
          <t>VÄRMLANDS LÄN</t>
        </is>
      </c>
      <c r="E14976" t="inlineStr">
        <is>
          <t>TORSBY</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23048-2024</t>
        </is>
      </c>
      <c r="B14977" s="1" t="n">
        <v>45450</v>
      </c>
      <c r="C14977" s="1" t="n">
        <v>45736</v>
      </c>
      <c r="D14977" t="inlineStr">
        <is>
          <t>VÄRMLANDS LÄN</t>
        </is>
      </c>
      <c r="E14977" t="inlineStr">
        <is>
          <t>ÅRJÄNG</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23106-2024</t>
        </is>
      </c>
      <c r="B14978" s="1" t="n">
        <v>45450</v>
      </c>
      <c r="C14978" s="1" t="n">
        <v>45736</v>
      </c>
      <c r="D14978" t="inlineStr">
        <is>
          <t>VÄRMLANDS LÄN</t>
        </is>
      </c>
      <c r="E14978" t="inlineStr">
        <is>
          <t>TORSBY</t>
        </is>
      </c>
      <c r="F14978" t="inlineStr">
        <is>
          <t>Bergvik skog väst AB</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23114-2024</t>
        </is>
      </c>
      <c r="B14979" s="1" t="n">
        <v>45450</v>
      </c>
      <c r="C14979" s="1" t="n">
        <v>45736</v>
      </c>
      <c r="D14979" t="inlineStr">
        <is>
          <t>VÄRMLANDS LÄN</t>
        </is>
      </c>
      <c r="E14979" t="inlineStr">
        <is>
          <t>KARLSTAD</t>
        </is>
      </c>
      <c r="G14979" t="n">
        <v>10.7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23155-2024</t>
        </is>
      </c>
      <c r="B14980" s="1" t="n">
        <v>45450</v>
      </c>
      <c r="C14980" s="1" t="n">
        <v>45736</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23189-2024</t>
        </is>
      </c>
      <c r="B14981" s="1" t="n">
        <v>45450</v>
      </c>
      <c r="C14981" s="1" t="n">
        <v>45736</v>
      </c>
      <c r="D14981" t="inlineStr">
        <is>
          <t>VÄRMLANDS LÄN</t>
        </is>
      </c>
      <c r="E14981" t="inlineStr">
        <is>
          <t>GRUMS</t>
        </is>
      </c>
      <c r="F14981" t="inlineStr">
        <is>
          <t>Bergvik skog väst AB</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23246-2024</t>
        </is>
      </c>
      <c r="B14982" s="1" t="n">
        <v>45450</v>
      </c>
      <c r="C14982" s="1" t="n">
        <v>45736</v>
      </c>
      <c r="D14982" t="inlineStr">
        <is>
          <t>VÄRMLANDS LÄN</t>
        </is>
      </c>
      <c r="E14982" t="inlineStr">
        <is>
          <t>KRISTINEHAMN</t>
        </is>
      </c>
      <c r="F14982" t="inlineStr">
        <is>
          <t>Kommuner</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23188-2024</t>
        </is>
      </c>
      <c r="B14983" s="1" t="n">
        <v>45450</v>
      </c>
      <c r="C14983" s="1" t="n">
        <v>45736</v>
      </c>
      <c r="D14983" t="inlineStr">
        <is>
          <t>VÄRMLANDS LÄN</t>
        </is>
      </c>
      <c r="E14983" t="inlineStr">
        <is>
          <t>SÄFFLE</t>
        </is>
      </c>
      <c r="F14983" t="inlineStr">
        <is>
          <t>Bergvik skog väst AB</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23270-2024</t>
        </is>
      </c>
      <c r="B14984" s="1" t="n">
        <v>45450</v>
      </c>
      <c r="C14984" s="1" t="n">
        <v>45736</v>
      </c>
      <c r="D14984" t="inlineStr">
        <is>
          <t>VÄRMLANDS LÄN</t>
        </is>
      </c>
      <c r="E14984" t="inlineStr">
        <is>
          <t>KRISTINEHAMN</t>
        </is>
      </c>
      <c r="F14984" t="inlineStr">
        <is>
          <t>Kommuner</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23247-2024</t>
        </is>
      </c>
      <c r="B14985" s="1" t="n">
        <v>45453</v>
      </c>
      <c r="C14985" s="1" t="n">
        <v>45736</v>
      </c>
      <c r="D14985" t="inlineStr">
        <is>
          <t>VÄRMLANDS LÄN</t>
        </is>
      </c>
      <c r="E14985" t="inlineStr">
        <is>
          <t>HAGFORS</t>
        </is>
      </c>
      <c r="F14985" t="inlineStr">
        <is>
          <t>Bergvik skog väst AB</t>
        </is>
      </c>
      <c r="G14985" t="n">
        <v>26.3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23293-2024</t>
        </is>
      </c>
      <c r="B14986" s="1" t="n">
        <v>45453</v>
      </c>
      <c r="C14986" s="1" t="n">
        <v>45736</v>
      </c>
      <c r="D14986" t="inlineStr">
        <is>
          <t>VÄRMLANDS LÄN</t>
        </is>
      </c>
      <c r="E14986" t="inlineStr">
        <is>
          <t>KRISTINEHAMN</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23305-2024</t>
        </is>
      </c>
      <c r="B14987" s="1" t="n">
        <v>45453</v>
      </c>
      <c r="C14987" s="1" t="n">
        <v>45736</v>
      </c>
      <c r="D14987" t="inlineStr">
        <is>
          <t>VÄRMLANDS LÄN</t>
        </is>
      </c>
      <c r="E14987" t="inlineStr">
        <is>
          <t>ARVIKA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23273-2024</t>
        </is>
      </c>
      <c r="B14988" s="1" t="n">
        <v>45453</v>
      </c>
      <c r="C14988" s="1" t="n">
        <v>45736</v>
      </c>
      <c r="D14988" t="inlineStr">
        <is>
          <t>VÄRMLANDS LÄN</t>
        </is>
      </c>
      <c r="E14988" t="inlineStr">
        <is>
          <t>ARVIKA</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23279-2024</t>
        </is>
      </c>
      <c r="B14989" s="1" t="n">
        <v>45453</v>
      </c>
      <c r="C14989" s="1" t="n">
        <v>45736</v>
      </c>
      <c r="D14989" t="inlineStr">
        <is>
          <t>VÄRMLANDS LÄN</t>
        </is>
      </c>
      <c r="E14989" t="inlineStr">
        <is>
          <t>STORFORS</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23332-2024</t>
        </is>
      </c>
      <c r="B14990" s="1" t="n">
        <v>45453</v>
      </c>
      <c r="C14990" s="1" t="n">
        <v>45736</v>
      </c>
      <c r="D14990" t="inlineStr">
        <is>
          <t>VÄRMLANDS LÄN</t>
        </is>
      </c>
      <c r="E14990" t="inlineStr">
        <is>
          <t>KRISTINEHAMN</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23382-2024</t>
        </is>
      </c>
      <c r="B14991" s="1" t="n">
        <v>45453</v>
      </c>
      <c r="C14991" s="1" t="n">
        <v>45736</v>
      </c>
      <c r="D14991" t="inlineStr">
        <is>
          <t>VÄRMLANDS LÄN</t>
        </is>
      </c>
      <c r="E14991" t="inlineStr">
        <is>
          <t>FILIPSTAD</t>
        </is>
      </c>
      <c r="F14991" t="inlineStr">
        <is>
          <t>Bergvik skog väst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23510-2024</t>
        </is>
      </c>
      <c r="B14992" s="1" t="n">
        <v>45453</v>
      </c>
      <c r="C14992" s="1" t="n">
        <v>45736</v>
      </c>
      <c r="D14992" t="inlineStr">
        <is>
          <t>VÄRMLANDS LÄN</t>
        </is>
      </c>
      <c r="E14992" t="inlineStr">
        <is>
          <t>SUNNE</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23430-2024</t>
        </is>
      </c>
      <c r="B14993" s="1" t="n">
        <v>45453</v>
      </c>
      <c r="C14993" s="1" t="n">
        <v>45736</v>
      </c>
      <c r="D14993" t="inlineStr">
        <is>
          <t>VÄRMLANDS LÄN</t>
        </is>
      </c>
      <c r="E14993" t="inlineStr">
        <is>
          <t>ARVIKA</t>
        </is>
      </c>
      <c r="F14993" t="inlineStr">
        <is>
          <t>Bergvik skog väst AB</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23337-2024</t>
        </is>
      </c>
      <c r="B14994" s="1" t="n">
        <v>45453</v>
      </c>
      <c r="C14994" s="1" t="n">
        <v>45736</v>
      </c>
      <c r="D14994" t="inlineStr">
        <is>
          <t>VÄRMLANDS LÄN</t>
        </is>
      </c>
      <c r="E14994" t="inlineStr">
        <is>
          <t>SÄFFLE</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23292-2024</t>
        </is>
      </c>
      <c r="B14995" s="1" t="n">
        <v>45453</v>
      </c>
      <c r="C14995" s="1" t="n">
        <v>45736</v>
      </c>
      <c r="D14995" t="inlineStr">
        <is>
          <t>VÄRMLANDS LÄN</t>
        </is>
      </c>
      <c r="E14995" t="inlineStr">
        <is>
          <t>ARVIKA</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23280-2024</t>
        </is>
      </c>
      <c r="B14996" s="1" t="n">
        <v>45453</v>
      </c>
      <c r="C14996" s="1" t="n">
        <v>45736</v>
      </c>
      <c r="D14996" t="inlineStr">
        <is>
          <t>VÄRMLANDS LÄN</t>
        </is>
      </c>
      <c r="E14996" t="inlineStr">
        <is>
          <t>ARVIKA</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23274-2024</t>
        </is>
      </c>
      <c r="B14997" s="1" t="n">
        <v>45453</v>
      </c>
      <c r="C14997" s="1" t="n">
        <v>45736</v>
      </c>
      <c r="D14997" t="inlineStr">
        <is>
          <t>VÄRMLANDS LÄN</t>
        </is>
      </c>
      <c r="E14997" t="inlineStr">
        <is>
          <t>KRISTINEHAMN</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23436-2024</t>
        </is>
      </c>
      <c r="B14998" s="1" t="n">
        <v>45453</v>
      </c>
      <c r="C14998" s="1" t="n">
        <v>45736</v>
      </c>
      <c r="D14998" t="inlineStr">
        <is>
          <t>VÄRMLANDS LÄN</t>
        </is>
      </c>
      <c r="E14998" t="inlineStr">
        <is>
          <t>SÄFFLE</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23424-2024</t>
        </is>
      </c>
      <c r="B14999" s="1" t="n">
        <v>45453</v>
      </c>
      <c r="C14999" s="1" t="n">
        <v>45736</v>
      </c>
      <c r="D14999" t="inlineStr">
        <is>
          <t>VÄRMLANDS LÄN</t>
        </is>
      </c>
      <c r="E14999" t="inlineStr">
        <is>
          <t>ARVIKA</t>
        </is>
      </c>
      <c r="F14999" t="inlineStr">
        <is>
          <t>Bergvik skog väst AB</t>
        </is>
      </c>
      <c r="G14999" t="n">
        <v>11.3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23423-2024</t>
        </is>
      </c>
      <c r="B15000" s="1" t="n">
        <v>45453</v>
      </c>
      <c r="C15000" s="1" t="n">
        <v>45736</v>
      </c>
      <c r="D15000" t="inlineStr">
        <is>
          <t>VÄRMLANDS LÄN</t>
        </is>
      </c>
      <c r="E15000" t="inlineStr">
        <is>
          <t>TORSBY</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23451-2024</t>
        </is>
      </c>
      <c r="B15001" s="1" t="n">
        <v>45453</v>
      </c>
      <c r="C15001" s="1" t="n">
        <v>45736</v>
      </c>
      <c r="D15001" t="inlineStr">
        <is>
          <t>VÄRMLANDS LÄN</t>
        </is>
      </c>
      <c r="E15001" t="inlineStr">
        <is>
          <t>FORSHAGA</t>
        </is>
      </c>
      <c r="G15001" t="n">
        <v>6.1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23409-2024</t>
        </is>
      </c>
      <c r="B15002" s="1" t="n">
        <v>45453</v>
      </c>
      <c r="C15002" s="1" t="n">
        <v>45736</v>
      </c>
      <c r="D15002" t="inlineStr">
        <is>
          <t>VÄRMLANDS LÄN</t>
        </is>
      </c>
      <c r="E15002" t="inlineStr">
        <is>
          <t>FORSHAGA</t>
        </is>
      </c>
      <c r="G15002" t="n">
        <v>5.9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23505-2024</t>
        </is>
      </c>
      <c r="B15003" s="1" t="n">
        <v>45453</v>
      </c>
      <c r="C15003" s="1" t="n">
        <v>45736</v>
      </c>
      <c r="D15003" t="inlineStr">
        <is>
          <t>VÄRMLANDS LÄN</t>
        </is>
      </c>
      <c r="E15003" t="inlineStr">
        <is>
          <t>SUNNE</t>
        </is>
      </c>
      <c r="G15003" t="n">
        <v>13.7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23371-2024</t>
        </is>
      </c>
      <c r="B15004" s="1" t="n">
        <v>45453</v>
      </c>
      <c r="C15004" s="1" t="n">
        <v>45736</v>
      </c>
      <c r="D15004" t="inlineStr">
        <is>
          <t>VÄRMLANDS LÄN</t>
        </is>
      </c>
      <c r="E15004" t="inlineStr">
        <is>
          <t>FILIPSTAD</t>
        </is>
      </c>
      <c r="F15004" t="inlineStr">
        <is>
          <t>Bergvik skog väst AB</t>
        </is>
      </c>
      <c r="G15004" t="n">
        <v>13.3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23267-2024</t>
        </is>
      </c>
      <c r="B15005" s="1" t="n">
        <v>45453</v>
      </c>
      <c r="C15005" s="1" t="n">
        <v>45736</v>
      </c>
      <c r="D15005" t="inlineStr">
        <is>
          <t>VÄRMLANDS LÄN</t>
        </is>
      </c>
      <c r="E15005" t="inlineStr">
        <is>
          <t>ARVIKA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23241-2024</t>
        </is>
      </c>
      <c r="B15006" s="1" t="n">
        <v>45453</v>
      </c>
      <c r="C15006" s="1" t="n">
        <v>45736</v>
      </c>
      <c r="D15006" t="inlineStr">
        <is>
          <t>VÄRMLANDS LÄN</t>
        </is>
      </c>
      <c r="E15006" t="inlineStr">
        <is>
          <t>HAGFORS</t>
        </is>
      </c>
      <c r="F15006" t="inlineStr">
        <is>
          <t>Bergvik skog väst AB</t>
        </is>
      </c>
      <c r="G15006" t="n">
        <v>9.6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23595-2024</t>
        </is>
      </c>
      <c r="B15007" s="1" t="n">
        <v>45454</v>
      </c>
      <c r="C15007" s="1" t="n">
        <v>45736</v>
      </c>
      <c r="D15007" t="inlineStr">
        <is>
          <t>VÄRMLANDS LÄN</t>
        </is>
      </c>
      <c r="E15007" t="inlineStr">
        <is>
          <t>SUNNE</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23678-2024</t>
        </is>
      </c>
      <c r="B15008" s="1" t="n">
        <v>45454</v>
      </c>
      <c r="C15008" s="1" t="n">
        <v>45736</v>
      </c>
      <c r="D15008" t="inlineStr">
        <is>
          <t>VÄRMLANDS LÄN</t>
        </is>
      </c>
      <c r="E15008" t="inlineStr">
        <is>
          <t>TORSBY</t>
        </is>
      </c>
      <c r="F15008" t="inlineStr">
        <is>
          <t>Bergvik skog väst AB</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23719-2024</t>
        </is>
      </c>
      <c r="B15009" s="1" t="n">
        <v>45454</v>
      </c>
      <c r="C15009" s="1" t="n">
        <v>45736</v>
      </c>
      <c r="D15009" t="inlineStr">
        <is>
          <t>VÄRMLANDS LÄN</t>
        </is>
      </c>
      <c r="E15009" t="inlineStr">
        <is>
          <t>TORSBY</t>
        </is>
      </c>
      <c r="G15009" t="n">
        <v>4.4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23690-2024</t>
        </is>
      </c>
      <c r="B15010" s="1" t="n">
        <v>45454</v>
      </c>
      <c r="C15010" s="1" t="n">
        <v>45736</v>
      </c>
      <c r="D15010" t="inlineStr">
        <is>
          <t>VÄRMLANDS LÄN</t>
        </is>
      </c>
      <c r="E15010" t="inlineStr">
        <is>
          <t>ÅRJÄNG</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23746-2024</t>
        </is>
      </c>
      <c r="B15011" s="1" t="n">
        <v>45454</v>
      </c>
      <c r="C15011" s="1" t="n">
        <v>45736</v>
      </c>
      <c r="D15011" t="inlineStr">
        <is>
          <t>VÄRMLANDS LÄN</t>
        </is>
      </c>
      <c r="E15011" t="inlineStr">
        <is>
          <t>TORSBY</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23688-2024</t>
        </is>
      </c>
      <c r="B15012" s="1" t="n">
        <v>45454</v>
      </c>
      <c r="C15012" s="1" t="n">
        <v>45736</v>
      </c>
      <c r="D15012" t="inlineStr">
        <is>
          <t>VÄRMLANDS LÄN</t>
        </is>
      </c>
      <c r="E15012" t="inlineStr">
        <is>
          <t>ÅRJÄNG</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23737-2024</t>
        </is>
      </c>
      <c r="B15013" s="1" t="n">
        <v>45454</v>
      </c>
      <c r="C15013" s="1" t="n">
        <v>45736</v>
      </c>
      <c r="D15013" t="inlineStr">
        <is>
          <t>VÄRMLANDS LÄN</t>
        </is>
      </c>
      <c r="E15013" t="inlineStr">
        <is>
          <t>SÄFFLE</t>
        </is>
      </c>
      <c r="F15013" t="inlineStr">
        <is>
          <t>Bergvik skog väst AB</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23709-2024</t>
        </is>
      </c>
      <c r="B15014" s="1" t="n">
        <v>45454</v>
      </c>
      <c r="C15014" s="1" t="n">
        <v>45736</v>
      </c>
      <c r="D15014" t="inlineStr">
        <is>
          <t>VÄRMLANDS LÄN</t>
        </is>
      </c>
      <c r="E15014" t="inlineStr">
        <is>
          <t>ÅRJÄNG</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23624-2024</t>
        </is>
      </c>
      <c r="B15015" s="1" t="n">
        <v>45454</v>
      </c>
      <c r="C15015" s="1" t="n">
        <v>45736</v>
      </c>
      <c r="D15015" t="inlineStr">
        <is>
          <t>VÄRMLANDS LÄN</t>
        </is>
      </c>
      <c r="E15015" t="inlineStr">
        <is>
          <t>SÄFFLE</t>
        </is>
      </c>
      <c r="F15015" t="inlineStr">
        <is>
          <t>Kommuner</t>
        </is>
      </c>
      <c r="G15015" t="n">
        <v>0</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23817-2024</t>
        </is>
      </c>
      <c r="B15016" s="1" t="n">
        <v>45455</v>
      </c>
      <c r="C15016" s="1" t="n">
        <v>45736</v>
      </c>
      <c r="D15016" t="inlineStr">
        <is>
          <t>VÄRMLANDS LÄN</t>
        </is>
      </c>
      <c r="E15016" t="inlineStr">
        <is>
          <t>EDA</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23820-2024</t>
        </is>
      </c>
      <c r="B15017" s="1" t="n">
        <v>45455</v>
      </c>
      <c r="C15017" s="1" t="n">
        <v>45736</v>
      </c>
      <c r="D15017" t="inlineStr">
        <is>
          <t>VÄRMLANDS LÄN</t>
        </is>
      </c>
      <c r="E15017" t="inlineStr">
        <is>
          <t>TORSBY</t>
        </is>
      </c>
      <c r="F15017" t="inlineStr">
        <is>
          <t>Kyrkan</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23777-2024</t>
        </is>
      </c>
      <c r="B15018" s="1" t="n">
        <v>45455</v>
      </c>
      <c r="C15018" s="1" t="n">
        <v>45736</v>
      </c>
      <c r="D15018" t="inlineStr">
        <is>
          <t>VÄRMLANDS LÄN</t>
        </is>
      </c>
      <c r="E15018" t="inlineStr">
        <is>
          <t>KARLSTAD</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23814-2024</t>
        </is>
      </c>
      <c r="B15019" s="1" t="n">
        <v>45455</v>
      </c>
      <c r="C15019" s="1" t="n">
        <v>45736</v>
      </c>
      <c r="D15019" t="inlineStr">
        <is>
          <t>VÄRMLANDS LÄN</t>
        </is>
      </c>
      <c r="E15019" t="inlineStr">
        <is>
          <t>ÅRJÄNG</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23846-2024</t>
        </is>
      </c>
      <c r="B15020" s="1" t="n">
        <v>45455</v>
      </c>
      <c r="C15020" s="1" t="n">
        <v>45736</v>
      </c>
      <c r="D15020" t="inlineStr">
        <is>
          <t>VÄRMLANDS LÄN</t>
        </is>
      </c>
      <c r="E15020" t="inlineStr">
        <is>
          <t>TORSBY</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23824-2024</t>
        </is>
      </c>
      <c r="B15021" s="1" t="n">
        <v>45455</v>
      </c>
      <c r="C15021" s="1" t="n">
        <v>45736</v>
      </c>
      <c r="D15021" t="inlineStr">
        <is>
          <t>VÄRMLANDS LÄN</t>
        </is>
      </c>
      <c r="E15021" t="inlineStr">
        <is>
          <t>TORSBY</t>
        </is>
      </c>
      <c r="F15021" t="inlineStr">
        <is>
          <t>Kyrkan</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23811-2024</t>
        </is>
      </c>
      <c r="B15022" s="1" t="n">
        <v>45455</v>
      </c>
      <c r="C15022" s="1" t="n">
        <v>45736</v>
      </c>
      <c r="D15022" t="inlineStr">
        <is>
          <t>VÄRMLANDS LÄN</t>
        </is>
      </c>
      <c r="E15022" t="inlineStr">
        <is>
          <t>ÅRJÄNG</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23845-2024</t>
        </is>
      </c>
      <c r="B15023" s="1" t="n">
        <v>45455</v>
      </c>
      <c r="C15023" s="1" t="n">
        <v>45736</v>
      </c>
      <c r="D15023" t="inlineStr">
        <is>
          <t>VÄRMLANDS LÄN</t>
        </is>
      </c>
      <c r="E15023" t="inlineStr">
        <is>
          <t>TORSBY</t>
        </is>
      </c>
      <c r="G15023" t="n">
        <v>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23904-2024</t>
        </is>
      </c>
      <c r="B15024" s="1" t="n">
        <v>45455</v>
      </c>
      <c r="C15024" s="1" t="n">
        <v>45736</v>
      </c>
      <c r="D15024" t="inlineStr">
        <is>
          <t>VÄRMLANDS LÄN</t>
        </is>
      </c>
      <c r="E15024" t="inlineStr">
        <is>
          <t>EDA</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23900-2024</t>
        </is>
      </c>
      <c r="B15025" s="1" t="n">
        <v>45455</v>
      </c>
      <c r="C15025" s="1" t="n">
        <v>45736</v>
      </c>
      <c r="D15025" t="inlineStr">
        <is>
          <t>VÄRMLANDS LÄN</t>
        </is>
      </c>
      <c r="E15025" t="inlineStr">
        <is>
          <t>FORSHAGA</t>
        </is>
      </c>
      <c r="G15025" t="n">
        <v>6.9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23848-2024</t>
        </is>
      </c>
      <c r="B15026" s="1" t="n">
        <v>45455</v>
      </c>
      <c r="C15026" s="1" t="n">
        <v>45736</v>
      </c>
      <c r="D15026" t="inlineStr">
        <is>
          <t>VÄRMLANDS LÄN</t>
        </is>
      </c>
      <c r="E15026" t="inlineStr">
        <is>
          <t>SUNNE</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23843-2024</t>
        </is>
      </c>
      <c r="B15027" s="1" t="n">
        <v>45455</v>
      </c>
      <c r="C15027" s="1" t="n">
        <v>45736</v>
      </c>
      <c r="D15027" t="inlineStr">
        <is>
          <t>VÄRMLANDS LÄN</t>
        </is>
      </c>
      <c r="E15027" t="inlineStr">
        <is>
          <t>TORSBY</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23835-2024</t>
        </is>
      </c>
      <c r="B15028" s="1" t="n">
        <v>45455</v>
      </c>
      <c r="C15028" s="1" t="n">
        <v>45736</v>
      </c>
      <c r="D15028" t="inlineStr">
        <is>
          <t>VÄRMLANDS LÄN</t>
        </is>
      </c>
      <c r="E15028" t="inlineStr">
        <is>
          <t>TORSBY</t>
        </is>
      </c>
      <c r="F15028" t="inlineStr">
        <is>
          <t>Bergvik skog väst AB</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23754-2024</t>
        </is>
      </c>
      <c r="B15029" s="1" t="n">
        <v>45455</v>
      </c>
      <c r="C15029" s="1" t="n">
        <v>45736</v>
      </c>
      <c r="D15029" t="inlineStr">
        <is>
          <t>VÄRMLANDS LÄN</t>
        </is>
      </c>
      <c r="E15029" t="inlineStr">
        <is>
          <t>ÅRJÄNG</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23981-2024</t>
        </is>
      </c>
      <c r="B15030" s="1" t="n">
        <v>45456</v>
      </c>
      <c r="C15030" s="1" t="n">
        <v>45736</v>
      </c>
      <c r="D15030" t="inlineStr">
        <is>
          <t>VÄRMLANDS LÄN</t>
        </is>
      </c>
      <c r="E15030" t="inlineStr">
        <is>
          <t>HAGFORS</t>
        </is>
      </c>
      <c r="F15030" t="inlineStr">
        <is>
          <t>Bergvik skog väst AB</t>
        </is>
      </c>
      <c r="G15030" t="n">
        <v>12.3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24020-2024</t>
        </is>
      </c>
      <c r="B15031" s="1" t="n">
        <v>45456</v>
      </c>
      <c r="C15031" s="1" t="n">
        <v>45736</v>
      </c>
      <c r="D15031" t="inlineStr">
        <is>
          <t>VÄRMLANDS LÄN</t>
        </is>
      </c>
      <c r="E15031" t="inlineStr">
        <is>
          <t>TORSBY</t>
        </is>
      </c>
      <c r="F15031" t="inlineStr">
        <is>
          <t>Bergvik skog väst AB</t>
        </is>
      </c>
      <c r="G15031" t="n">
        <v>19.4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24089-2024</t>
        </is>
      </c>
      <c r="B15032" s="1" t="n">
        <v>45456</v>
      </c>
      <c r="C15032" s="1" t="n">
        <v>45736</v>
      </c>
      <c r="D15032" t="inlineStr">
        <is>
          <t>VÄRMLANDS LÄN</t>
        </is>
      </c>
      <c r="E15032" t="inlineStr">
        <is>
          <t>SUNNE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24093-2024</t>
        </is>
      </c>
      <c r="B15033" s="1" t="n">
        <v>45456</v>
      </c>
      <c r="C15033" s="1" t="n">
        <v>45736</v>
      </c>
      <c r="D15033" t="inlineStr">
        <is>
          <t>VÄRMLANDS LÄN</t>
        </is>
      </c>
      <c r="E15033" t="inlineStr">
        <is>
          <t>EDA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23996-2024</t>
        </is>
      </c>
      <c r="B15034" s="1" t="n">
        <v>45456</v>
      </c>
      <c r="C15034" s="1" t="n">
        <v>45736</v>
      </c>
      <c r="D15034" t="inlineStr">
        <is>
          <t>VÄRMLANDS LÄN</t>
        </is>
      </c>
      <c r="E15034" t="inlineStr">
        <is>
          <t>TORSBY</t>
        </is>
      </c>
      <c r="F15034" t="inlineStr">
        <is>
          <t>Bergvik skog väst AB</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24117-2024</t>
        </is>
      </c>
      <c r="B15035" s="1" t="n">
        <v>45456</v>
      </c>
      <c r="C15035" s="1" t="n">
        <v>45736</v>
      </c>
      <c r="D15035" t="inlineStr">
        <is>
          <t>VÄRMLANDS LÄN</t>
        </is>
      </c>
      <c r="E15035" t="inlineStr">
        <is>
          <t>KRISTINEHAMN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24004-2024</t>
        </is>
      </c>
      <c r="B15036" s="1" t="n">
        <v>45456</v>
      </c>
      <c r="C15036" s="1" t="n">
        <v>45736</v>
      </c>
      <c r="D15036" t="inlineStr">
        <is>
          <t>VÄRMLANDS LÄN</t>
        </is>
      </c>
      <c r="E15036" t="inlineStr">
        <is>
          <t>TORSBY</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24140-2024</t>
        </is>
      </c>
      <c r="B15037" s="1" t="n">
        <v>45456</v>
      </c>
      <c r="C15037" s="1" t="n">
        <v>45736</v>
      </c>
      <c r="D15037" t="inlineStr">
        <is>
          <t>VÄRMLANDS LÄN</t>
        </is>
      </c>
      <c r="E15037" t="inlineStr">
        <is>
          <t>ARVIKA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24148-2024</t>
        </is>
      </c>
      <c r="B15038" s="1" t="n">
        <v>45456</v>
      </c>
      <c r="C15038" s="1" t="n">
        <v>45736</v>
      </c>
      <c r="D15038" t="inlineStr">
        <is>
          <t>VÄRMLANDS LÄN</t>
        </is>
      </c>
      <c r="E15038" t="inlineStr">
        <is>
          <t>TORSBY</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24082-2024</t>
        </is>
      </c>
      <c r="B15039" s="1" t="n">
        <v>45456</v>
      </c>
      <c r="C15039" s="1" t="n">
        <v>45736</v>
      </c>
      <c r="D15039" t="inlineStr">
        <is>
          <t>VÄRMLANDS LÄN</t>
        </is>
      </c>
      <c r="E15039" t="inlineStr">
        <is>
          <t>FILIPSTAD</t>
        </is>
      </c>
      <c r="F15039" t="inlineStr">
        <is>
          <t>Bergvik skog väst AB</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24112-2024</t>
        </is>
      </c>
      <c r="B15040" s="1" t="n">
        <v>45456</v>
      </c>
      <c r="C15040" s="1" t="n">
        <v>45736</v>
      </c>
      <c r="D15040" t="inlineStr">
        <is>
          <t>VÄRMLANDS LÄN</t>
        </is>
      </c>
      <c r="E15040" t="inlineStr">
        <is>
          <t>EDA</t>
        </is>
      </c>
      <c r="G15040" t="n">
        <v>6.6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24118-2024</t>
        </is>
      </c>
      <c r="B15041" s="1" t="n">
        <v>45456</v>
      </c>
      <c r="C15041" s="1" t="n">
        <v>45736</v>
      </c>
      <c r="D15041" t="inlineStr">
        <is>
          <t>VÄRMLANDS LÄN</t>
        </is>
      </c>
      <c r="E15041" t="inlineStr">
        <is>
          <t>KRISTINEHAMN</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24013-2024</t>
        </is>
      </c>
      <c r="B15042" s="1" t="n">
        <v>45456</v>
      </c>
      <c r="C15042" s="1" t="n">
        <v>45736</v>
      </c>
      <c r="D15042" t="inlineStr">
        <is>
          <t>VÄRMLANDS LÄN</t>
        </is>
      </c>
      <c r="E15042" t="inlineStr">
        <is>
          <t>KRISTINEHAMN</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24054-2024</t>
        </is>
      </c>
      <c r="B15043" s="1" t="n">
        <v>45456</v>
      </c>
      <c r="C15043" s="1" t="n">
        <v>45736</v>
      </c>
      <c r="D15043" t="inlineStr">
        <is>
          <t>VÄRMLANDS LÄN</t>
        </is>
      </c>
      <c r="E15043" t="inlineStr">
        <is>
          <t>FILIPSTAD</t>
        </is>
      </c>
      <c r="F15043" t="inlineStr">
        <is>
          <t>Bergvik skog väst AB</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24158-2024</t>
        </is>
      </c>
      <c r="B15044" s="1" t="n">
        <v>45456</v>
      </c>
      <c r="C15044" s="1" t="n">
        <v>45736</v>
      </c>
      <c r="D15044" t="inlineStr">
        <is>
          <t>VÄRMLANDS LÄN</t>
        </is>
      </c>
      <c r="E15044" t="inlineStr">
        <is>
          <t>ARVIKA</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24166-2024</t>
        </is>
      </c>
      <c r="B15045" s="1" t="n">
        <v>45456</v>
      </c>
      <c r="C15045" s="1" t="n">
        <v>45736</v>
      </c>
      <c r="D15045" t="inlineStr">
        <is>
          <t>VÄRMLANDS LÄN</t>
        </is>
      </c>
      <c r="E15045" t="inlineStr">
        <is>
          <t>HAGFORS</t>
        </is>
      </c>
      <c r="F15045" t="inlineStr">
        <is>
          <t>Bergvik skog väst AB</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24182-2024</t>
        </is>
      </c>
      <c r="B15046" s="1" t="n">
        <v>45456</v>
      </c>
      <c r="C15046" s="1" t="n">
        <v>45736</v>
      </c>
      <c r="D15046" t="inlineStr">
        <is>
          <t>VÄRMLANDS LÄN</t>
        </is>
      </c>
      <c r="E15046" t="inlineStr">
        <is>
          <t>TORSBY</t>
        </is>
      </c>
      <c r="F15046" t="inlineStr">
        <is>
          <t>Bergvik skog väst AB</t>
        </is>
      </c>
      <c r="G15046" t="n">
        <v>28.9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24087-2024</t>
        </is>
      </c>
      <c r="B15047" s="1" t="n">
        <v>45456</v>
      </c>
      <c r="C15047" s="1" t="n">
        <v>45736</v>
      </c>
      <c r="D15047" t="inlineStr">
        <is>
          <t>VÄRMLANDS LÄN</t>
        </is>
      </c>
      <c r="E15047" t="inlineStr">
        <is>
          <t>TORSBY</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24095-2024</t>
        </is>
      </c>
      <c r="B15048" s="1" t="n">
        <v>45456</v>
      </c>
      <c r="C15048" s="1" t="n">
        <v>45736</v>
      </c>
      <c r="D15048" t="inlineStr">
        <is>
          <t>VÄRMLANDS LÄN</t>
        </is>
      </c>
      <c r="E15048" t="inlineStr">
        <is>
          <t>SUNNE</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24113-2024</t>
        </is>
      </c>
      <c r="B15049" s="1" t="n">
        <v>45456</v>
      </c>
      <c r="C15049" s="1" t="n">
        <v>45736</v>
      </c>
      <c r="D15049" t="inlineStr">
        <is>
          <t>VÄRMLANDS LÄN</t>
        </is>
      </c>
      <c r="E15049" t="inlineStr">
        <is>
          <t>TORSBY</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24139-2024</t>
        </is>
      </c>
      <c r="B15050" s="1" t="n">
        <v>45456</v>
      </c>
      <c r="C15050" s="1" t="n">
        <v>45736</v>
      </c>
      <c r="D15050" t="inlineStr">
        <is>
          <t>VÄRMLANDS LÄN</t>
        </is>
      </c>
      <c r="E15050" t="inlineStr">
        <is>
          <t>FILIPSTAD</t>
        </is>
      </c>
      <c r="F15050" t="inlineStr">
        <is>
          <t>Bergvik skog väst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24242-2024</t>
        </is>
      </c>
      <c r="B15051" s="1" t="n">
        <v>45457</v>
      </c>
      <c r="C15051" s="1" t="n">
        <v>45736</v>
      </c>
      <c r="D15051" t="inlineStr">
        <is>
          <t>VÄRMLANDS LÄN</t>
        </is>
      </c>
      <c r="E15051" t="inlineStr">
        <is>
          <t>TORSBY</t>
        </is>
      </c>
      <c r="F15051" t="inlineStr">
        <is>
          <t>Bergvik skog väst AB</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24270-2024</t>
        </is>
      </c>
      <c r="B15052" s="1" t="n">
        <v>45457</v>
      </c>
      <c r="C15052" s="1" t="n">
        <v>45736</v>
      </c>
      <c r="D15052" t="inlineStr">
        <is>
          <t>VÄRMLANDS LÄN</t>
        </is>
      </c>
      <c r="E15052" t="inlineStr">
        <is>
          <t>KARLSTAD</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24314-2024</t>
        </is>
      </c>
      <c r="B15053" s="1" t="n">
        <v>45457</v>
      </c>
      <c r="C15053" s="1" t="n">
        <v>45736</v>
      </c>
      <c r="D15053" t="inlineStr">
        <is>
          <t>VÄRMLANDS LÄN</t>
        </is>
      </c>
      <c r="E15053" t="inlineStr">
        <is>
          <t>ARVIKA</t>
        </is>
      </c>
      <c r="G15053" t="n">
        <v>3.8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24318-2024</t>
        </is>
      </c>
      <c r="B15054" s="1" t="n">
        <v>45457</v>
      </c>
      <c r="C15054" s="1" t="n">
        <v>45736</v>
      </c>
      <c r="D15054" t="inlineStr">
        <is>
          <t>VÄRMLANDS LÄN</t>
        </is>
      </c>
      <c r="E15054" t="inlineStr">
        <is>
          <t>ARVIKA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24342-2024</t>
        </is>
      </c>
      <c r="B15055" s="1" t="n">
        <v>45457</v>
      </c>
      <c r="C15055" s="1" t="n">
        <v>45736</v>
      </c>
      <c r="D15055" t="inlineStr">
        <is>
          <t>VÄRMLANDS LÄN</t>
        </is>
      </c>
      <c r="E15055" t="inlineStr">
        <is>
          <t>ÅRJÄNG</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24216-2024</t>
        </is>
      </c>
      <c r="B15056" s="1" t="n">
        <v>45457</v>
      </c>
      <c r="C15056" s="1" t="n">
        <v>45736</v>
      </c>
      <c r="D15056" t="inlineStr">
        <is>
          <t>VÄRMLANDS LÄN</t>
        </is>
      </c>
      <c r="E15056" t="inlineStr">
        <is>
          <t>ÅRJÄNG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24378-2024</t>
        </is>
      </c>
      <c r="B15057" s="1" t="n">
        <v>45457</v>
      </c>
      <c r="C15057" s="1" t="n">
        <v>45736</v>
      </c>
      <c r="D15057" t="inlineStr">
        <is>
          <t>VÄRMLANDS LÄN</t>
        </is>
      </c>
      <c r="E15057" t="inlineStr">
        <is>
          <t>GRUMS</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24390-2024</t>
        </is>
      </c>
      <c r="B15058" s="1" t="n">
        <v>45457</v>
      </c>
      <c r="C15058" s="1" t="n">
        <v>45736</v>
      </c>
      <c r="D15058" t="inlineStr">
        <is>
          <t>VÄRMLANDS LÄN</t>
        </is>
      </c>
      <c r="E15058" t="inlineStr">
        <is>
          <t>ÅRJÄNG</t>
        </is>
      </c>
      <c r="F15058" t="inlineStr">
        <is>
          <t>Bergvik skog väst AB</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24410-2024</t>
        </is>
      </c>
      <c r="B15059" s="1" t="n">
        <v>45457</v>
      </c>
      <c r="C15059" s="1" t="n">
        <v>45736</v>
      </c>
      <c r="D15059" t="inlineStr">
        <is>
          <t>VÄRMLANDS LÄN</t>
        </is>
      </c>
      <c r="E15059" t="inlineStr">
        <is>
          <t>SÄFFLE</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24505-2024</t>
        </is>
      </c>
      <c r="B15060" s="1" t="n">
        <v>45457</v>
      </c>
      <c r="C15060" s="1" t="n">
        <v>45736</v>
      </c>
      <c r="D15060" t="inlineStr">
        <is>
          <t>VÄRMLANDS LÄN</t>
        </is>
      </c>
      <c r="E15060" t="inlineStr">
        <is>
          <t>SUNNE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24261-2024</t>
        </is>
      </c>
      <c r="B15061" s="1" t="n">
        <v>45457</v>
      </c>
      <c r="C15061" s="1" t="n">
        <v>45736</v>
      </c>
      <c r="D15061" t="inlineStr">
        <is>
          <t>VÄRMLANDS LÄN</t>
        </is>
      </c>
      <c r="E15061" t="inlineStr">
        <is>
          <t>TORSBY</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24281-2024</t>
        </is>
      </c>
      <c r="B15062" s="1" t="n">
        <v>45457</v>
      </c>
      <c r="C15062" s="1" t="n">
        <v>45736</v>
      </c>
      <c r="D15062" t="inlineStr">
        <is>
          <t>VÄRMLANDS LÄN</t>
        </is>
      </c>
      <c r="E15062" t="inlineStr">
        <is>
          <t>ÅRJÄNG</t>
        </is>
      </c>
      <c r="G15062" t="n">
        <v>8.300000000000001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24305-2024</t>
        </is>
      </c>
      <c r="B15063" s="1" t="n">
        <v>45457</v>
      </c>
      <c r="C15063" s="1" t="n">
        <v>45736</v>
      </c>
      <c r="D15063" t="inlineStr">
        <is>
          <t>VÄRMLANDS LÄN</t>
        </is>
      </c>
      <c r="E15063" t="inlineStr">
        <is>
          <t>SÄFFLE</t>
        </is>
      </c>
      <c r="G15063" t="n">
        <v>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24321-2024</t>
        </is>
      </c>
      <c r="B15064" s="1" t="n">
        <v>45457</v>
      </c>
      <c r="C15064" s="1" t="n">
        <v>45736</v>
      </c>
      <c r="D15064" t="inlineStr">
        <is>
          <t>VÄRMLANDS LÄN</t>
        </is>
      </c>
      <c r="E15064" t="inlineStr">
        <is>
          <t>SÄFFLE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24381-2024</t>
        </is>
      </c>
      <c r="B15065" s="1" t="n">
        <v>45457</v>
      </c>
      <c r="C15065" s="1" t="n">
        <v>45736</v>
      </c>
      <c r="D15065" t="inlineStr">
        <is>
          <t>VÄRMLANDS LÄN</t>
        </is>
      </c>
      <c r="E15065" t="inlineStr">
        <is>
          <t>GRUMS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24393-2024</t>
        </is>
      </c>
      <c r="B15066" s="1" t="n">
        <v>45457</v>
      </c>
      <c r="C15066" s="1" t="n">
        <v>45736</v>
      </c>
      <c r="D15066" t="inlineStr">
        <is>
          <t>VÄRMLANDS LÄN</t>
        </is>
      </c>
      <c r="E15066" t="inlineStr">
        <is>
          <t>STORFORS</t>
        </is>
      </c>
      <c r="F15066" t="inlineStr">
        <is>
          <t>Bergvik skog väst AB</t>
        </is>
      </c>
      <c r="G15066" t="n">
        <v>17.1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24260-2024</t>
        </is>
      </c>
      <c r="B15067" s="1" t="n">
        <v>45457</v>
      </c>
      <c r="C15067" s="1" t="n">
        <v>45736</v>
      </c>
      <c r="D15067" t="inlineStr">
        <is>
          <t>VÄRMLANDS LÄN</t>
        </is>
      </c>
      <c r="E15067" t="inlineStr">
        <is>
          <t>FILIPSTAD</t>
        </is>
      </c>
      <c r="F15067" t="inlineStr">
        <is>
          <t>Bergvik skog väst AB</t>
        </is>
      </c>
      <c r="G15067" t="n">
        <v>5.1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24268-2024</t>
        </is>
      </c>
      <c r="B15068" s="1" t="n">
        <v>45457</v>
      </c>
      <c r="C15068" s="1" t="n">
        <v>45736</v>
      </c>
      <c r="D15068" t="inlineStr">
        <is>
          <t>VÄRMLANDS LÄN</t>
        </is>
      </c>
      <c r="E15068" t="inlineStr">
        <is>
          <t>KARLSTAD</t>
        </is>
      </c>
      <c r="G15068" t="n">
        <v>2</v>
      </c>
      <c r="H15068" t="n">
        <v>0</v>
      </c>
      <c r="I15068" t="n">
        <v>0</v>
      </c>
      <c r="J15068" t="n">
        <v>0</v>
      </c>
      <c r="K15068" t="n">
        <v>0</v>
      </c>
      <c r="L15068" t="n">
        <v>0</v>
      </c>
      <c r="M15068" t="n">
        <v>0</v>
      </c>
      <c r="N15068" t="n">
        <v>0</v>
      </c>
      <c r="O15068" t="n">
        <v>0</v>
      </c>
      <c r="P15068" t="n">
        <v>0</v>
      </c>
      <c r="Q15068" t="n">
        <v>0</v>
      </c>
      <c r="R15068" s="2" t="inlineStr"/>
      <c r="U15068">
        <f>HYPERLINK("https://klasma.github.io/Logging_1780/knärot/A 24268-2024 karta knärot.png", "A 24268-2024")</f>
        <v/>
      </c>
      <c r="V15068">
        <f>HYPERLINK("https://klasma.github.io/Logging_1780/klagomål/A 24268-2024 FSC-klagomål.docx", "A 24268-2024")</f>
        <v/>
      </c>
      <c r="W15068">
        <f>HYPERLINK("https://klasma.github.io/Logging_1780/klagomålsmail/A 24268-2024 FSC-klagomål mail.docx", "A 24268-2024")</f>
        <v/>
      </c>
      <c r="X15068">
        <f>HYPERLINK("https://klasma.github.io/Logging_1780/tillsyn/A 24268-2024 tillsynsbegäran.docx", "A 24268-2024")</f>
        <v/>
      </c>
      <c r="Y15068">
        <f>HYPERLINK("https://klasma.github.io/Logging_1780/tillsynsmail/A 24268-2024 tillsynsbegäran mail.docx", "A 24268-2024")</f>
        <v/>
      </c>
    </row>
    <row r="15069" ht="15" customHeight="1">
      <c r="A15069" t="inlineStr">
        <is>
          <t>A 24280-2024</t>
        </is>
      </c>
      <c r="B15069" s="1" t="n">
        <v>45457</v>
      </c>
      <c r="C15069" s="1" t="n">
        <v>45736</v>
      </c>
      <c r="D15069" t="inlineStr">
        <is>
          <t>VÄRMLANDS LÄN</t>
        </is>
      </c>
      <c r="E15069" t="inlineStr">
        <is>
          <t>SUNNE</t>
        </is>
      </c>
      <c r="G15069" t="n">
        <v>4.4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24316-2024</t>
        </is>
      </c>
      <c r="B15070" s="1" t="n">
        <v>45457</v>
      </c>
      <c r="C15070" s="1" t="n">
        <v>45736</v>
      </c>
      <c r="D15070" t="inlineStr">
        <is>
          <t>VÄRMLANDS LÄN</t>
        </is>
      </c>
      <c r="E15070" t="inlineStr">
        <is>
          <t>SÄFFLE</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24368-2024</t>
        </is>
      </c>
      <c r="B15071" s="1" t="n">
        <v>45457</v>
      </c>
      <c r="C15071" s="1" t="n">
        <v>45736</v>
      </c>
      <c r="D15071" t="inlineStr">
        <is>
          <t>VÄRMLANDS LÄN</t>
        </is>
      </c>
      <c r="E15071" t="inlineStr">
        <is>
          <t>HAGFORS</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24372-2024</t>
        </is>
      </c>
      <c r="B15072" s="1" t="n">
        <v>45457</v>
      </c>
      <c r="C15072" s="1" t="n">
        <v>45736</v>
      </c>
      <c r="D15072" t="inlineStr">
        <is>
          <t>VÄRMLANDS LÄN</t>
        </is>
      </c>
      <c r="E15072" t="inlineStr">
        <is>
          <t>HAGFORS</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24267-2024</t>
        </is>
      </c>
      <c r="B15073" s="1" t="n">
        <v>45457</v>
      </c>
      <c r="C15073" s="1" t="n">
        <v>45736</v>
      </c>
      <c r="D15073" t="inlineStr">
        <is>
          <t>VÄRMLANDS LÄN</t>
        </is>
      </c>
      <c r="E15073" t="inlineStr">
        <is>
          <t>TORSBY</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24283-2024</t>
        </is>
      </c>
      <c r="B15074" s="1" t="n">
        <v>45457</v>
      </c>
      <c r="C15074" s="1" t="n">
        <v>45736</v>
      </c>
      <c r="D15074" t="inlineStr">
        <is>
          <t>VÄRMLANDS LÄN</t>
        </is>
      </c>
      <c r="E15074" t="inlineStr">
        <is>
          <t>SÄFFLE</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24315-2024</t>
        </is>
      </c>
      <c r="B15075" s="1" t="n">
        <v>45457</v>
      </c>
      <c r="C15075" s="1" t="n">
        <v>45736</v>
      </c>
      <c r="D15075" t="inlineStr">
        <is>
          <t>VÄRMLANDS LÄN</t>
        </is>
      </c>
      <c r="E15075" t="inlineStr">
        <is>
          <t>SÄFFLE</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24319-2024</t>
        </is>
      </c>
      <c r="B15076" s="1" t="n">
        <v>45457</v>
      </c>
      <c r="C15076" s="1" t="n">
        <v>45736</v>
      </c>
      <c r="D15076" t="inlineStr">
        <is>
          <t>VÄRMLANDS LÄN</t>
        </is>
      </c>
      <c r="E15076" t="inlineStr">
        <is>
          <t>ARVIKA</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24331-2024</t>
        </is>
      </c>
      <c r="B15077" s="1" t="n">
        <v>45457</v>
      </c>
      <c r="C15077" s="1" t="n">
        <v>45736</v>
      </c>
      <c r="D15077" t="inlineStr">
        <is>
          <t>VÄRMLANDS LÄN</t>
        </is>
      </c>
      <c r="E15077" t="inlineStr">
        <is>
          <t>SUNNE</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24339-2024</t>
        </is>
      </c>
      <c r="B15078" s="1" t="n">
        <v>45457</v>
      </c>
      <c r="C15078" s="1" t="n">
        <v>45736</v>
      </c>
      <c r="D15078" t="inlineStr">
        <is>
          <t>VÄRMLANDS LÄN</t>
        </is>
      </c>
      <c r="E15078" t="inlineStr">
        <is>
          <t>ÅRJÄNG</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24347-2024</t>
        </is>
      </c>
      <c r="B15079" s="1" t="n">
        <v>45457</v>
      </c>
      <c r="C15079" s="1" t="n">
        <v>45736</v>
      </c>
      <c r="D15079" t="inlineStr">
        <is>
          <t>VÄRMLANDS LÄN</t>
        </is>
      </c>
      <c r="E15079" t="inlineStr">
        <is>
          <t>SÄFFLE</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24359-2024</t>
        </is>
      </c>
      <c r="B15080" s="1" t="n">
        <v>45457</v>
      </c>
      <c r="C15080" s="1" t="n">
        <v>45736</v>
      </c>
      <c r="D15080" t="inlineStr">
        <is>
          <t>VÄRMLANDS LÄN</t>
        </is>
      </c>
      <c r="E15080" t="inlineStr">
        <is>
          <t>HAGFORS</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24480-2024</t>
        </is>
      </c>
      <c r="B15081" s="1" t="n">
        <v>45459</v>
      </c>
      <c r="C15081" s="1" t="n">
        <v>45736</v>
      </c>
      <c r="D15081" t="inlineStr">
        <is>
          <t>VÄRMLANDS LÄN</t>
        </is>
      </c>
      <c r="E15081" t="inlineStr">
        <is>
          <t>ARVIKA</t>
        </is>
      </c>
      <c r="F15081" t="inlineStr">
        <is>
          <t>Bergvik skog väst AB</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24493-2024</t>
        </is>
      </c>
      <c r="B15082" s="1" t="n">
        <v>45459</v>
      </c>
      <c r="C15082" s="1" t="n">
        <v>45736</v>
      </c>
      <c r="D15082" t="inlineStr">
        <is>
          <t>VÄRMLANDS LÄN</t>
        </is>
      </c>
      <c r="E15082" t="inlineStr">
        <is>
          <t>TORSBY</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24497-2024</t>
        </is>
      </c>
      <c r="B15083" s="1" t="n">
        <v>45459</v>
      </c>
      <c r="C15083" s="1" t="n">
        <v>45736</v>
      </c>
      <c r="D15083" t="inlineStr">
        <is>
          <t>VÄRMLANDS LÄN</t>
        </is>
      </c>
      <c r="E15083" t="inlineStr">
        <is>
          <t>KARLSTAD</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24479-2024</t>
        </is>
      </c>
      <c r="B15084" s="1" t="n">
        <v>45459</v>
      </c>
      <c r="C15084" s="1" t="n">
        <v>45736</v>
      </c>
      <c r="D15084" t="inlineStr">
        <is>
          <t>VÄRMLANDS LÄN</t>
        </is>
      </c>
      <c r="E15084" t="inlineStr">
        <is>
          <t>ARVIKA</t>
        </is>
      </c>
      <c r="F15084" t="inlineStr">
        <is>
          <t>Bergvik skog väst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24483-2024</t>
        </is>
      </c>
      <c r="B15085" s="1" t="n">
        <v>45459</v>
      </c>
      <c r="C15085" s="1" t="n">
        <v>45736</v>
      </c>
      <c r="D15085" t="inlineStr">
        <is>
          <t>VÄRMLANDS LÄN</t>
        </is>
      </c>
      <c r="E15085" t="inlineStr">
        <is>
          <t>ÅRJÄNG</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24490-2024</t>
        </is>
      </c>
      <c r="B15086" s="1" t="n">
        <v>45459</v>
      </c>
      <c r="C15086" s="1" t="n">
        <v>45736</v>
      </c>
      <c r="D15086" t="inlineStr">
        <is>
          <t>VÄRMLANDS LÄN</t>
        </is>
      </c>
      <c r="E15086" t="inlineStr">
        <is>
          <t>TORSBY</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24758-2024</t>
        </is>
      </c>
      <c r="B15087" s="1" t="n">
        <v>45460</v>
      </c>
      <c r="C15087" s="1" t="n">
        <v>45736</v>
      </c>
      <c r="D15087" t="inlineStr">
        <is>
          <t>VÄRMLANDS LÄN</t>
        </is>
      </c>
      <c r="E15087" t="inlineStr">
        <is>
          <t>ARVIKA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24789-2024</t>
        </is>
      </c>
      <c r="B15088" s="1" t="n">
        <v>45460</v>
      </c>
      <c r="C15088" s="1" t="n">
        <v>45736</v>
      </c>
      <c r="D15088" t="inlineStr">
        <is>
          <t>VÄRMLANDS LÄN</t>
        </is>
      </c>
      <c r="E15088" t="inlineStr">
        <is>
          <t>ÅRJÄNG</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24680-2024</t>
        </is>
      </c>
      <c r="B15089" s="1" t="n">
        <v>45460</v>
      </c>
      <c r="C15089" s="1" t="n">
        <v>45736</v>
      </c>
      <c r="D15089" t="inlineStr">
        <is>
          <t>VÄRMLANDS LÄN</t>
        </is>
      </c>
      <c r="E15089" t="inlineStr">
        <is>
          <t>HAGFORS</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24704-2024</t>
        </is>
      </c>
      <c r="B15090" s="1" t="n">
        <v>45460</v>
      </c>
      <c r="C15090" s="1" t="n">
        <v>45736</v>
      </c>
      <c r="D15090" t="inlineStr">
        <is>
          <t>VÄRMLANDS LÄN</t>
        </is>
      </c>
      <c r="E15090" t="inlineStr">
        <is>
          <t>SÄFFLE</t>
        </is>
      </c>
      <c r="G15090" t="n">
        <v>49.7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24708-2024</t>
        </is>
      </c>
      <c r="B15091" s="1" t="n">
        <v>45460</v>
      </c>
      <c r="C15091" s="1" t="n">
        <v>45736</v>
      </c>
      <c r="D15091" t="inlineStr">
        <is>
          <t>VÄRMLANDS LÄN</t>
        </is>
      </c>
      <c r="E15091" t="inlineStr">
        <is>
          <t>TORSBY</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24720-2024</t>
        </is>
      </c>
      <c r="B15092" s="1" t="n">
        <v>45460</v>
      </c>
      <c r="C15092" s="1" t="n">
        <v>45736</v>
      </c>
      <c r="D15092" t="inlineStr">
        <is>
          <t>VÄRMLANDS LÄN</t>
        </is>
      </c>
      <c r="E15092" t="inlineStr">
        <is>
          <t>SÄFFLE</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24715-2024</t>
        </is>
      </c>
      <c r="B15093" s="1" t="n">
        <v>45460</v>
      </c>
      <c r="C15093" s="1" t="n">
        <v>45736</v>
      </c>
      <c r="D15093" t="inlineStr">
        <is>
          <t>VÄRMLANDS LÄN</t>
        </is>
      </c>
      <c r="E15093" t="inlineStr">
        <is>
          <t>ARVIKA</t>
        </is>
      </c>
      <c r="F15093" t="inlineStr">
        <is>
          <t>Bergvik skog väst AB</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24723-2024</t>
        </is>
      </c>
      <c r="B15094" s="1" t="n">
        <v>45460</v>
      </c>
      <c r="C15094" s="1" t="n">
        <v>45736</v>
      </c>
      <c r="D15094" t="inlineStr">
        <is>
          <t>VÄRMLANDS LÄN</t>
        </is>
      </c>
      <c r="E15094" t="inlineStr">
        <is>
          <t>TORSBY</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24721-2024</t>
        </is>
      </c>
      <c r="B15095" s="1" t="n">
        <v>45460</v>
      </c>
      <c r="C15095" s="1" t="n">
        <v>45736</v>
      </c>
      <c r="D15095" t="inlineStr">
        <is>
          <t>VÄRMLANDS LÄN</t>
        </is>
      </c>
      <c r="E15095" t="inlineStr">
        <is>
          <t>HAGFORS</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24717-2024</t>
        </is>
      </c>
      <c r="B15096" s="1" t="n">
        <v>45460</v>
      </c>
      <c r="C15096" s="1" t="n">
        <v>45736</v>
      </c>
      <c r="D15096" t="inlineStr">
        <is>
          <t>VÄRMLANDS LÄN</t>
        </is>
      </c>
      <c r="E15096" t="inlineStr">
        <is>
          <t>TORSBY</t>
        </is>
      </c>
      <c r="F15096" t="inlineStr">
        <is>
          <t>Övriga statliga verk och myndigheter</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24664-2024</t>
        </is>
      </c>
      <c r="B15097" s="1" t="n">
        <v>45460</v>
      </c>
      <c r="C15097" s="1" t="n">
        <v>45736</v>
      </c>
      <c r="D15097" t="inlineStr">
        <is>
          <t>VÄRMLANDS LÄN</t>
        </is>
      </c>
      <c r="E15097" t="inlineStr">
        <is>
          <t>HAGFORS</t>
        </is>
      </c>
      <c r="G15097" t="n">
        <v>10.1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24636-2024</t>
        </is>
      </c>
      <c r="B15098" s="1" t="n">
        <v>45460</v>
      </c>
      <c r="C15098" s="1" t="n">
        <v>45736</v>
      </c>
      <c r="D15098" t="inlineStr">
        <is>
          <t>VÄRMLANDS LÄN</t>
        </is>
      </c>
      <c r="E15098" t="inlineStr">
        <is>
          <t>TORSBY</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24620-2024</t>
        </is>
      </c>
      <c r="B15099" s="1" t="n">
        <v>45460</v>
      </c>
      <c r="C15099" s="1" t="n">
        <v>45736</v>
      </c>
      <c r="D15099" t="inlineStr">
        <is>
          <t>VÄRMLANDS LÄN</t>
        </is>
      </c>
      <c r="E15099" t="inlineStr">
        <is>
          <t>ARVIKA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24543-2024</t>
        </is>
      </c>
      <c r="B15100" s="1" t="n">
        <v>45460</v>
      </c>
      <c r="C15100" s="1" t="n">
        <v>45736</v>
      </c>
      <c r="D15100" t="inlineStr">
        <is>
          <t>VÄRMLANDS LÄN</t>
        </is>
      </c>
      <c r="E15100" t="inlineStr">
        <is>
          <t>GRUMS</t>
        </is>
      </c>
      <c r="F15100" t="inlineStr">
        <is>
          <t>Bergvik skog väst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24529-2024</t>
        </is>
      </c>
      <c r="B15101" s="1" t="n">
        <v>45460</v>
      </c>
      <c r="C15101" s="1" t="n">
        <v>45736</v>
      </c>
      <c r="D15101" t="inlineStr">
        <is>
          <t>VÄRMLANDS LÄN</t>
        </is>
      </c>
      <c r="E15101" t="inlineStr">
        <is>
          <t>ARVIKA</t>
        </is>
      </c>
      <c r="F15101" t="inlineStr">
        <is>
          <t>Bergvik skog väst AB</t>
        </is>
      </c>
      <c r="G15101" t="n">
        <v>10.8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24582-2024</t>
        </is>
      </c>
      <c r="B15102" s="1" t="n">
        <v>45460</v>
      </c>
      <c r="C15102" s="1" t="n">
        <v>45736</v>
      </c>
      <c r="D15102" t="inlineStr">
        <is>
          <t>VÄRMLANDS LÄN</t>
        </is>
      </c>
      <c r="E15102" t="inlineStr">
        <is>
          <t>KIL</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24630-2024</t>
        </is>
      </c>
      <c r="B15103" s="1" t="n">
        <v>45460</v>
      </c>
      <c r="C15103" s="1" t="n">
        <v>45736</v>
      </c>
      <c r="D15103" t="inlineStr">
        <is>
          <t>VÄRMLANDS LÄN</t>
        </is>
      </c>
      <c r="E15103" t="inlineStr">
        <is>
          <t>TORSBY</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24634-2024</t>
        </is>
      </c>
      <c r="B15104" s="1" t="n">
        <v>45460</v>
      </c>
      <c r="C15104" s="1" t="n">
        <v>45736</v>
      </c>
      <c r="D15104" t="inlineStr">
        <is>
          <t>VÄRMLANDS LÄN</t>
        </is>
      </c>
      <c r="E15104" t="inlineStr">
        <is>
          <t>KIL</t>
        </is>
      </c>
      <c r="G15104" t="n">
        <v>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24635-2024</t>
        </is>
      </c>
      <c r="B15105" s="1" t="n">
        <v>45460</v>
      </c>
      <c r="C15105" s="1" t="n">
        <v>45736</v>
      </c>
      <c r="D15105" t="inlineStr">
        <is>
          <t>VÄRMLANDS LÄN</t>
        </is>
      </c>
      <c r="E15105" t="inlineStr">
        <is>
          <t>KIL</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24631-2024</t>
        </is>
      </c>
      <c r="B15106" s="1" t="n">
        <v>45460</v>
      </c>
      <c r="C15106" s="1" t="n">
        <v>45736</v>
      </c>
      <c r="D15106" t="inlineStr">
        <is>
          <t>VÄRMLANDS LÄN</t>
        </is>
      </c>
      <c r="E15106" t="inlineStr">
        <is>
          <t>STORFORS</t>
        </is>
      </c>
      <c r="G15106" t="n">
        <v>21.2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24603-2024</t>
        </is>
      </c>
      <c r="B15107" s="1" t="n">
        <v>45460</v>
      </c>
      <c r="C15107" s="1" t="n">
        <v>45736</v>
      </c>
      <c r="D15107" t="inlineStr">
        <is>
          <t>VÄRMLANDS LÄN</t>
        </is>
      </c>
      <c r="E15107" t="inlineStr">
        <is>
          <t>KRISTINEHAMN</t>
        </is>
      </c>
      <c r="F15107" t="inlineStr">
        <is>
          <t>Naturvårdsverket</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24587-2024</t>
        </is>
      </c>
      <c r="B15108" s="1" t="n">
        <v>45460</v>
      </c>
      <c r="C15108" s="1" t="n">
        <v>45736</v>
      </c>
      <c r="D15108" t="inlineStr">
        <is>
          <t>VÄRMLANDS LÄN</t>
        </is>
      </c>
      <c r="E15108" t="inlineStr">
        <is>
          <t>KIL</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24537-2024</t>
        </is>
      </c>
      <c r="B15109" s="1" t="n">
        <v>45460</v>
      </c>
      <c r="C15109" s="1" t="n">
        <v>45736</v>
      </c>
      <c r="D15109" t="inlineStr">
        <is>
          <t>VÄRMLANDS LÄN</t>
        </is>
      </c>
      <c r="E15109" t="inlineStr">
        <is>
          <t>HAGFORS</t>
        </is>
      </c>
      <c r="F15109" t="inlineStr">
        <is>
          <t>Bergvik skog väst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24521-2024</t>
        </is>
      </c>
      <c r="B15110" s="1" t="n">
        <v>45460</v>
      </c>
      <c r="C15110" s="1" t="n">
        <v>45736</v>
      </c>
      <c r="D15110" t="inlineStr">
        <is>
          <t>VÄRMLANDS LÄN</t>
        </is>
      </c>
      <c r="E15110" t="inlineStr">
        <is>
          <t>SUNNE</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24535-2024</t>
        </is>
      </c>
      <c r="B15111" s="1" t="n">
        <v>45460</v>
      </c>
      <c r="C15111" s="1" t="n">
        <v>45736</v>
      </c>
      <c r="D15111" t="inlineStr">
        <is>
          <t>VÄRMLANDS LÄN</t>
        </is>
      </c>
      <c r="E15111" t="inlineStr">
        <is>
          <t>ARVIKA</t>
        </is>
      </c>
      <c r="F15111" t="inlineStr">
        <is>
          <t>Bergvik skog väst AB</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24540-2024</t>
        </is>
      </c>
      <c r="B15112" s="1" t="n">
        <v>45460</v>
      </c>
      <c r="C15112" s="1" t="n">
        <v>45736</v>
      </c>
      <c r="D15112" t="inlineStr">
        <is>
          <t>VÄRMLANDS LÄN</t>
        </is>
      </c>
      <c r="E15112" t="inlineStr">
        <is>
          <t>EDA</t>
        </is>
      </c>
      <c r="F15112" t="inlineStr">
        <is>
          <t>Bergvik skog väst AB</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24568-2024</t>
        </is>
      </c>
      <c r="B15113" s="1" t="n">
        <v>45460</v>
      </c>
      <c r="C15113" s="1" t="n">
        <v>45736</v>
      </c>
      <c r="D15113" t="inlineStr">
        <is>
          <t>VÄRMLANDS LÄN</t>
        </is>
      </c>
      <c r="E15113" t="inlineStr">
        <is>
          <t>KIL</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24657-2024</t>
        </is>
      </c>
      <c r="B15114" s="1" t="n">
        <v>45460</v>
      </c>
      <c r="C15114" s="1" t="n">
        <v>45736</v>
      </c>
      <c r="D15114" t="inlineStr">
        <is>
          <t>VÄRMLANDS LÄN</t>
        </is>
      </c>
      <c r="E15114" t="inlineStr">
        <is>
          <t>TORSBY</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24506-2024</t>
        </is>
      </c>
      <c r="B15115" s="1" t="n">
        <v>45460</v>
      </c>
      <c r="C15115" s="1" t="n">
        <v>45736</v>
      </c>
      <c r="D15115" t="inlineStr">
        <is>
          <t>VÄRMLANDS LÄN</t>
        </is>
      </c>
      <c r="E15115" t="inlineStr">
        <is>
          <t>SUNNE</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24710-2024</t>
        </is>
      </c>
      <c r="B15116" s="1" t="n">
        <v>45460</v>
      </c>
      <c r="C15116" s="1" t="n">
        <v>45736</v>
      </c>
      <c r="D15116" t="inlineStr">
        <is>
          <t>VÄRMLANDS LÄN</t>
        </is>
      </c>
      <c r="E15116" t="inlineStr">
        <is>
          <t>KRISTINEHAMN</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24881-2024</t>
        </is>
      </c>
      <c r="B15117" s="1" t="n">
        <v>45461</v>
      </c>
      <c r="C15117" s="1" t="n">
        <v>45736</v>
      </c>
      <c r="D15117" t="inlineStr">
        <is>
          <t>VÄRMLANDS LÄN</t>
        </is>
      </c>
      <c r="E15117" t="inlineStr">
        <is>
          <t>SUNNE</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24985-2024</t>
        </is>
      </c>
      <c r="B15118" s="1" t="n">
        <v>45461</v>
      </c>
      <c r="C15118" s="1" t="n">
        <v>45736</v>
      </c>
      <c r="D15118" t="inlineStr">
        <is>
          <t>VÄRMLANDS LÄN</t>
        </is>
      </c>
      <c r="E15118" t="inlineStr">
        <is>
          <t>SÄFFLE</t>
        </is>
      </c>
      <c r="G15118" t="n">
        <v>5.5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24989-2024</t>
        </is>
      </c>
      <c r="B15119" s="1" t="n">
        <v>45461</v>
      </c>
      <c r="C15119" s="1" t="n">
        <v>45736</v>
      </c>
      <c r="D15119" t="inlineStr">
        <is>
          <t>VÄRMLANDS LÄN</t>
        </is>
      </c>
      <c r="E15119" t="inlineStr">
        <is>
          <t>SÄFFLE</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24995-2024</t>
        </is>
      </c>
      <c r="B15120" s="1" t="n">
        <v>45461</v>
      </c>
      <c r="C15120" s="1" t="n">
        <v>45736</v>
      </c>
      <c r="D15120" t="inlineStr">
        <is>
          <t>VÄRMLANDS LÄN</t>
        </is>
      </c>
      <c r="E15120" t="inlineStr">
        <is>
          <t>TORSBY</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24999-2024</t>
        </is>
      </c>
      <c r="B15121" s="1" t="n">
        <v>45461</v>
      </c>
      <c r="C15121" s="1" t="n">
        <v>45736</v>
      </c>
      <c r="D15121" t="inlineStr">
        <is>
          <t>VÄRMLANDS LÄN</t>
        </is>
      </c>
      <c r="E15121" t="inlineStr">
        <is>
          <t>ARVIKA</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25016-2024</t>
        </is>
      </c>
      <c r="B15122" s="1" t="n">
        <v>45461</v>
      </c>
      <c r="C15122" s="1" t="n">
        <v>45736</v>
      </c>
      <c r="D15122" t="inlineStr">
        <is>
          <t>VÄRMLANDS LÄN</t>
        </is>
      </c>
      <c r="E15122" t="inlineStr">
        <is>
          <t>KARLSTAD</t>
        </is>
      </c>
      <c r="G15122" t="n">
        <v>7.5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24870-2024</t>
        </is>
      </c>
      <c r="B15123" s="1" t="n">
        <v>45461</v>
      </c>
      <c r="C15123" s="1" t="n">
        <v>45736</v>
      </c>
      <c r="D15123" t="inlineStr">
        <is>
          <t>VÄRMLANDS LÄN</t>
        </is>
      </c>
      <c r="E15123" t="inlineStr">
        <is>
          <t>ARVIKA</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24893-2024</t>
        </is>
      </c>
      <c r="B15124" s="1" t="n">
        <v>45461</v>
      </c>
      <c r="C15124" s="1" t="n">
        <v>45736</v>
      </c>
      <c r="D15124" t="inlineStr">
        <is>
          <t>VÄRMLANDS LÄN</t>
        </is>
      </c>
      <c r="E15124" t="inlineStr">
        <is>
          <t>ÅRJÄNG</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24921-2024</t>
        </is>
      </c>
      <c r="B15125" s="1" t="n">
        <v>45461</v>
      </c>
      <c r="C15125" s="1" t="n">
        <v>45736</v>
      </c>
      <c r="D15125" t="inlineStr">
        <is>
          <t>VÄRMLANDS LÄN</t>
        </is>
      </c>
      <c r="E15125" t="inlineStr">
        <is>
          <t>ARVIKA</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24958-2024</t>
        </is>
      </c>
      <c r="B15126" s="1" t="n">
        <v>45461</v>
      </c>
      <c r="C15126" s="1" t="n">
        <v>45736</v>
      </c>
      <c r="D15126" t="inlineStr">
        <is>
          <t>VÄRMLANDS LÄN</t>
        </is>
      </c>
      <c r="E15126" t="inlineStr">
        <is>
          <t>HAGFORS</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25014-2024</t>
        </is>
      </c>
      <c r="B15127" s="1" t="n">
        <v>45461</v>
      </c>
      <c r="C15127" s="1" t="n">
        <v>45736</v>
      </c>
      <c r="D15127" t="inlineStr">
        <is>
          <t>VÄRMLANDS LÄN</t>
        </is>
      </c>
      <c r="E15127" t="inlineStr">
        <is>
          <t>GRUMS</t>
        </is>
      </c>
      <c r="G15127" t="n">
        <v>12.8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24883-2024</t>
        </is>
      </c>
      <c r="B15128" s="1" t="n">
        <v>45461</v>
      </c>
      <c r="C15128" s="1" t="n">
        <v>45736</v>
      </c>
      <c r="D15128" t="inlineStr">
        <is>
          <t>VÄRMLANDS LÄN</t>
        </is>
      </c>
      <c r="E15128" t="inlineStr">
        <is>
          <t>KRISTINEHAMN</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24851-2024</t>
        </is>
      </c>
      <c r="B15129" s="1" t="n">
        <v>45461</v>
      </c>
      <c r="C15129" s="1" t="n">
        <v>45736</v>
      </c>
      <c r="D15129" t="inlineStr">
        <is>
          <t>VÄRMLANDS LÄN</t>
        </is>
      </c>
      <c r="E15129" t="inlineStr">
        <is>
          <t>TORSBY</t>
        </is>
      </c>
      <c r="G15129" t="n">
        <v>5.6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25013-2024</t>
        </is>
      </c>
      <c r="B15130" s="1" t="n">
        <v>45461</v>
      </c>
      <c r="C15130" s="1" t="n">
        <v>45736</v>
      </c>
      <c r="D15130" t="inlineStr">
        <is>
          <t>VÄRMLANDS LÄN</t>
        </is>
      </c>
      <c r="E15130" t="inlineStr">
        <is>
          <t>GRUMS</t>
        </is>
      </c>
      <c r="G15130" t="n">
        <v>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24947-2024</t>
        </is>
      </c>
      <c r="B15131" s="1" t="n">
        <v>45461</v>
      </c>
      <c r="C15131" s="1" t="n">
        <v>45736</v>
      </c>
      <c r="D15131" t="inlineStr">
        <is>
          <t>VÄRMLANDS LÄN</t>
        </is>
      </c>
      <c r="E15131" t="inlineStr">
        <is>
          <t>HAGFORS</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24955-2024</t>
        </is>
      </c>
      <c r="B15132" s="1" t="n">
        <v>45461</v>
      </c>
      <c r="C15132" s="1" t="n">
        <v>45736</v>
      </c>
      <c r="D15132" t="inlineStr">
        <is>
          <t>VÄRMLANDS LÄN</t>
        </is>
      </c>
      <c r="E15132" t="inlineStr">
        <is>
          <t>HAGFORS</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24998-2024</t>
        </is>
      </c>
      <c r="B15133" s="1" t="n">
        <v>45461</v>
      </c>
      <c r="C15133" s="1" t="n">
        <v>45736</v>
      </c>
      <c r="D15133" t="inlineStr">
        <is>
          <t>VÄRMLANDS LÄN</t>
        </is>
      </c>
      <c r="E15133" t="inlineStr">
        <is>
          <t>KIL</t>
        </is>
      </c>
      <c r="G15133" t="n">
        <v>4.7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24990-2024</t>
        </is>
      </c>
      <c r="B15134" s="1" t="n">
        <v>45461</v>
      </c>
      <c r="C15134" s="1" t="n">
        <v>45736</v>
      </c>
      <c r="D15134" t="inlineStr">
        <is>
          <t>VÄRMLANDS LÄN</t>
        </is>
      </c>
      <c r="E15134" t="inlineStr">
        <is>
          <t>SÄFFLE</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24986-2024</t>
        </is>
      </c>
      <c r="B15135" s="1" t="n">
        <v>45461</v>
      </c>
      <c r="C15135" s="1" t="n">
        <v>45736</v>
      </c>
      <c r="D15135" t="inlineStr">
        <is>
          <t>VÄRMLANDS LÄN</t>
        </is>
      </c>
      <c r="E15135" t="inlineStr">
        <is>
          <t>ARVIKA</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24965-2024</t>
        </is>
      </c>
      <c r="B15136" s="1" t="n">
        <v>45461</v>
      </c>
      <c r="C15136" s="1" t="n">
        <v>45736</v>
      </c>
      <c r="D15136" t="inlineStr">
        <is>
          <t>VÄRMLANDS LÄN</t>
        </is>
      </c>
      <c r="E15136" t="inlineStr">
        <is>
          <t>HAGFORS</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24961-2024</t>
        </is>
      </c>
      <c r="B15137" s="1" t="n">
        <v>45461</v>
      </c>
      <c r="C15137" s="1" t="n">
        <v>45736</v>
      </c>
      <c r="D15137" t="inlineStr">
        <is>
          <t>VÄRMLANDS LÄN</t>
        </is>
      </c>
      <c r="E15137" t="inlineStr">
        <is>
          <t>HAGFORS</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24953-2024</t>
        </is>
      </c>
      <c r="B15138" s="1" t="n">
        <v>45461</v>
      </c>
      <c r="C15138" s="1" t="n">
        <v>45736</v>
      </c>
      <c r="D15138" t="inlineStr">
        <is>
          <t>VÄRMLANDS LÄN</t>
        </is>
      </c>
      <c r="E15138" t="inlineStr">
        <is>
          <t>SUNNE</t>
        </is>
      </c>
      <c r="F15138" t="inlineStr">
        <is>
          <t>Bergvik skog väst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24916-2024</t>
        </is>
      </c>
      <c r="B15139" s="1" t="n">
        <v>45461</v>
      </c>
      <c r="C15139" s="1" t="n">
        <v>45736</v>
      </c>
      <c r="D15139" t="inlineStr">
        <is>
          <t>VÄRMLANDS LÄN</t>
        </is>
      </c>
      <c r="E15139" t="inlineStr">
        <is>
          <t>ÅRJÄNG</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24908-2024</t>
        </is>
      </c>
      <c r="B15140" s="1" t="n">
        <v>45461</v>
      </c>
      <c r="C15140" s="1" t="n">
        <v>45736</v>
      </c>
      <c r="D15140" t="inlineStr">
        <is>
          <t>VÄRMLANDS LÄN</t>
        </is>
      </c>
      <c r="E15140" t="inlineStr">
        <is>
          <t>HAGFORS</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24896-2024</t>
        </is>
      </c>
      <c r="B15141" s="1" t="n">
        <v>45461</v>
      </c>
      <c r="C15141" s="1" t="n">
        <v>45736</v>
      </c>
      <c r="D15141" t="inlineStr">
        <is>
          <t>VÄRMLANDS LÄN</t>
        </is>
      </c>
      <c r="E15141" t="inlineStr">
        <is>
          <t>ÅRJÄNG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24888-2024</t>
        </is>
      </c>
      <c r="B15142" s="1" t="n">
        <v>45461</v>
      </c>
      <c r="C15142" s="1" t="n">
        <v>45736</v>
      </c>
      <c r="D15142" t="inlineStr">
        <is>
          <t>VÄRMLANDS LÄN</t>
        </is>
      </c>
      <c r="E15142" t="inlineStr">
        <is>
          <t>ARVIKA</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24876-2024</t>
        </is>
      </c>
      <c r="B15143" s="1" t="n">
        <v>45461</v>
      </c>
      <c r="C15143" s="1" t="n">
        <v>45736</v>
      </c>
      <c r="D15143" t="inlineStr">
        <is>
          <t>VÄRMLANDS LÄN</t>
        </is>
      </c>
      <c r="E15143" t="inlineStr">
        <is>
          <t>ÅRJÄNG</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24871-2024</t>
        </is>
      </c>
      <c r="B15144" s="1" t="n">
        <v>45461</v>
      </c>
      <c r="C15144" s="1" t="n">
        <v>45736</v>
      </c>
      <c r="D15144" t="inlineStr">
        <is>
          <t>VÄRMLANDS LÄN</t>
        </is>
      </c>
      <c r="E15144" t="inlineStr">
        <is>
          <t>FILIPSTAD</t>
        </is>
      </c>
      <c r="F15144" t="inlineStr">
        <is>
          <t>Bergvik skog väst AB</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24984-2024</t>
        </is>
      </c>
      <c r="B15145" s="1" t="n">
        <v>45461</v>
      </c>
      <c r="C15145" s="1" t="n">
        <v>45736</v>
      </c>
      <c r="D15145" t="inlineStr">
        <is>
          <t>VÄRMLANDS LÄN</t>
        </is>
      </c>
      <c r="E15145" t="inlineStr">
        <is>
          <t>ARVIKA</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24819-2024</t>
        </is>
      </c>
      <c r="B15146" s="1" t="n">
        <v>45461</v>
      </c>
      <c r="C15146" s="1" t="n">
        <v>45736</v>
      </c>
      <c r="D15146" t="inlineStr">
        <is>
          <t>VÄRMLANDS LÄN</t>
        </is>
      </c>
      <c r="E15146" t="inlineStr">
        <is>
          <t>SÄFFLE</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24814-2024</t>
        </is>
      </c>
      <c r="B15147" s="1" t="n">
        <v>45461</v>
      </c>
      <c r="C15147" s="1" t="n">
        <v>45736</v>
      </c>
      <c r="D15147" t="inlineStr">
        <is>
          <t>VÄRMLANDS LÄN</t>
        </is>
      </c>
      <c r="E15147" t="inlineStr">
        <is>
          <t>HAGFORS</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25355-2024</t>
        </is>
      </c>
      <c r="B15148" s="1" t="n">
        <v>45463</v>
      </c>
      <c r="C15148" s="1" t="n">
        <v>45736</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25330-2024</t>
        </is>
      </c>
      <c r="B15149" s="1" t="n">
        <v>45462</v>
      </c>
      <c r="C15149" s="1" t="n">
        <v>45736</v>
      </c>
      <c r="D15149" t="inlineStr">
        <is>
          <t>VÄRMLANDS LÄN</t>
        </is>
      </c>
      <c r="E15149" t="inlineStr">
        <is>
          <t>KARLSTAD</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25181-2024</t>
        </is>
      </c>
      <c r="B15150" s="1" t="n">
        <v>45462</v>
      </c>
      <c r="C15150" s="1" t="n">
        <v>45736</v>
      </c>
      <c r="D15150" t="inlineStr">
        <is>
          <t>VÄRMLANDS LÄN</t>
        </is>
      </c>
      <c r="E15150" t="inlineStr">
        <is>
          <t>KRISTINEHAMN</t>
        </is>
      </c>
      <c r="F15150" t="inlineStr">
        <is>
          <t>Sveaskog</t>
        </is>
      </c>
      <c r="G15150" t="n">
        <v>7.7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25141-2024</t>
        </is>
      </c>
      <c r="B15151" s="1" t="n">
        <v>45462</v>
      </c>
      <c r="C15151" s="1" t="n">
        <v>45736</v>
      </c>
      <c r="D15151" t="inlineStr">
        <is>
          <t>VÄRMLANDS LÄN</t>
        </is>
      </c>
      <c r="E15151" t="inlineStr">
        <is>
          <t>ÅRJÄNG</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25313-2024</t>
        </is>
      </c>
      <c r="B15152" s="1" t="n">
        <v>45462</v>
      </c>
      <c r="C15152" s="1" t="n">
        <v>45736</v>
      </c>
      <c r="D15152" t="inlineStr">
        <is>
          <t>VÄRMLANDS LÄN</t>
        </is>
      </c>
      <c r="E15152" t="inlineStr">
        <is>
          <t>TORSBY</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25094-2024</t>
        </is>
      </c>
      <c r="B15153" s="1" t="n">
        <v>45462</v>
      </c>
      <c r="C15153" s="1" t="n">
        <v>45736</v>
      </c>
      <c r="D15153" t="inlineStr">
        <is>
          <t>VÄRMLANDS LÄN</t>
        </is>
      </c>
      <c r="E15153" t="inlineStr">
        <is>
          <t>FORSHAGA</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25090-2024</t>
        </is>
      </c>
      <c r="B15154" s="1" t="n">
        <v>45462</v>
      </c>
      <c r="C15154" s="1" t="n">
        <v>45736</v>
      </c>
      <c r="D15154" t="inlineStr">
        <is>
          <t>VÄRMLANDS LÄN</t>
        </is>
      </c>
      <c r="E15154" t="inlineStr">
        <is>
          <t>TORSBY</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25264-2024</t>
        </is>
      </c>
      <c r="B15155" s="1" t="n">
        <v>45462</v>
      </c>
      <c r="C15155" s="1" t="n">
        <v>45736</v>
      </c>
      <c r="D15155" t="inlineStr">
        <is>
          <t>VÄRMLANDS LÄN</t>
        </is>
      </c>
      <c r="E15155" t="inlineStr">
        <is>
          <t>TORSBY</t>
        </is>
      </c>
      <c r="G15155" t="n">
        <v>10.7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25180-2024</t>
        </is>
      </c>
      <c r="B15156" s="1" t="n">
        <v>45462</v>
      </c>
      <c r="C15156" s="1" t="n">
        <v>45736</v>
      </c>
      <c r="D15156" t="inlineStr">
        <is>
          <t>VÄRMLANDS LÄN</t>
        </is>
      </c>
      <c r="E15156" t="inlineStr">
        <is>
          <t>HAGFORS</t>
        </is>
      </c>
      <c r="F15156" t="inlineStr">
        <is>
          <t>Bergvik skog väst AB</t>
        </is>
      </c>
      <c r="G15156" t="n">
        <v>17.4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25140-2024</t>
        </is>
      </c>
      <c r="B15157" s="1" t="n">
        <v>45462</v>
      </c>
      <c r="C15157" s="1" t="n">
        <v>45736</v>
      </c>
      <c r="D15157" t="inlineStr">
        <is>
          <t>VÄRMLANDS LÄN</t>
        </is>
      </c>
      <c r="E15157" t="inlineStr">
        <is>
          <t>HAGFORS</t>
        </is>
      </c>
      <c r="F15157" t="inlineStr">
        <is>
          <t>Kyrkan</t>
        </is>
      </c>
      <c r="G15157" t="n">
        <v>9.699999999999999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25040-2024</t>
        </is>
      </c>
      <c r="B15158" s="1" t="n">
        <v>45462</v>
      </c>
      <c r="C15158" s="1" t="n">
        <v>45736</v>
      </c>
      <c r="D15158" t="inlineStr">
        <is>
          <t>VÄRMLANDS LÄN</t>
        </is>
      </c>
      <c r="E15158" t="inlineStr">
        <is>
          <t>KARLSTAD</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25275-2024</t>
        </is>
      </c>
      <c r="B15159" s="1" t="n">
        <v>45462</v>
      </c>
      <c r="C15159" s="1" t="n">
        <v>45736</v>
      </c>
      <c r="D15159" t="inlineStr">
        <is>
          <t>VÄRMLANDS LÄN</t>
        </is>
      </c>
      <c r="E15159" t="inlineStr">
        <is>
          <t>ARVIKA</t>
        </is>
      </c>
      <c r="F15159" t="inlineStr">
        <is>
          <t>Bergvik skog väst AB</t>
        </is>
      </c>
      <c r="G15159" t="n">
        <v>3.3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25254-2024</t>
        </is>
      </c>
      <c r="B15160" s="1" t="n">
        <v>45462</v>
      </c>
      <c r="C15160" s="1" t="n">
        <v>45736</v>
      </c>
      <c r="D15160" t="inlineStr">
        <is>
          <t>VÄRMLANDS LÄN</t>
        </is>
      </c>
      <c r="E15160" t="inlineStr">
        <is>
          <t>FILIPSTAD</t>
        </is>
      </c>
      <c r="F15160" t="inlineStr">
        <is>
          <t>Bergvik skog väst AB</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25194-2024</t>
        </is>
      </c>
      <c r="B15161" s="1" t="n">
        <v>45462</v>
      </c>
      <c r="C15161" s="1" t="n">
        <v>45736</v>
      </c>
      <c r="D15161" t="inlineStr">
        <is>
          <t>VÄRMLANDS LÄN</t>
        </is>
      </c>
      <c r="E15161" t="inlineStr">
        <is>
          <t>TORSBY</t>
        </is>
      </c>
      <c r="G15161" t="n">
        <v>4.8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25166-2024</t>
        </is>
      </c>
      <c r="B15162" s="1" t="n">
        <v>45462</v>
      </c>
      <c r="C15162" s="1" t="n">
        <v>45736</v>
      </c>
      <c r="D15162" t="inlineStr">
        <is>
          <t>VÄRMLANDS LÄN</t>
        </is>
      </c>
      <c r="E15162" t="inlineStr">
        <is>
          <t>SÄFFLE</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25069-2024</t>
        </is>
      </c>
      <c r="B15163" s="1" t="n">
        <v>45462</v>
      </c>
      <c r="C15163" s="1" t="n">
        <v>45736</v>
      </c>
      <c r="D15163" t="inlineStr">
        <is>
          <t>VÄRMLANDS LÄN</t>
        </is>
      </c>
      <c r="E15163" t="inlineStr">
        <is>
          <t>HAGFORS</t>
        </is>
      </c>
      <c r="F15163" t="inlineStr">
        <is>
          <t>Kyrkan</t>
        </is>
      </c>
      <c r="G15163" t="n">
        <v>28.3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25041-2024</t>
        </is>
      </c>
      <c r="B15164" s="1" t="n">
        <v>45462</v>
      </c>
      <c r="C15164" s="1" t="n">
        <v>45736</v>
      </c>
      <c r="D15164" t="inlineStr">
        <is>
          <t>VÄRMLANDS LÄN</t>
        </is>
      </c>
      <c r="E15164" t="inlineStr">
        <is>
          <t>EDA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25332-2024</t>
        </is>
      </c>
      <c r="B15165" s="1" t="n">
        <v>45462</v>
      </c>
      <c r="C15165" s="1" t="n">
        <v>45736</v>
      </c>
      <c r="D15165" t="inlineStr">
        <is>
          <t>VÄRMLANDS LÄN</t>
        </is>
      </c>
      <c r="E15165" t="inlineStr">
        <is>
          <t>SÄFFLE</t>
        </is>
      </c>
      <c r="G15165" t="n">
        <v>11.1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25316-2024</t>
        </is>
      </c>
      <c r="B15166" s="1" t="n">
        <v>45462</v>
      </c>
      <c r="C15166" s="1" t="n">
        <v>45736</v>
      </c>
      <c r="D15166" t="inlineStr">
        <is>
          <t>VÄRMLANDS LÄN</t>
        </is>
      </c>
      <c r="E15166" t="inlineStr">
        <is>
          <t>TORSBY</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25211-2024</t>
        </is>
      </c>
      <c r="B15167" s="1" t="n">
        <v>45462</v>
      </c>
      <c r="C15167" s="1" t="n">
        <v>45736</v>
      </c>
      <c r="D15167" t="inlineStr">
        <is>
          <t>VÄRMLANDS LÄN</t>
        </is>
      </c>
      <c r="E15167" t="inlineStr">
        <is>
          <t>SUNNE</t>
        </is>
      </c>
      <c r="F15167" t="inlineStr">
        <is>
          <t>Bergvik skog väst AB</t>
        </is>
      </c>
      <c r="G15167" t="n">
        <v>15.2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25123-2024</t>
        </is>
      </c>
      <c r="B15168" s="1" t="n">
        <v>45462</v>
      </c>
      <c r="C15168" s="1" t="n">
        <v>45736</v>
      </c>
      <c r="D15168" t="inlineStr">
        <is>
          <t>VÄRMLANDS LÄN</t>
        </is>
      </c>
      <c r="E15168" t="inlineStr">
        <is>
          <t>HAGFORS</t>
        </is>
      </c>
      <c r="F15168" t="inlineStr">
        <is>
          <t>Kyrkan</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25082-2024</t>
        </is>
      </c>
      <c r="B15169" s="1" t="n">
        <v>45462</v>
      </c>
      <c r="C15169" s="1" t="n">
        <v>45736</v>
      </c>
      <c r="D15169" t="inlineStr">
        <is>
          <t>VÄRMLANDS LÄN</t>
        </is>
      </c>
      <c r="E15169" t="inlineStr">
        <is>
          <t>SUNNE</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25054-2024</t>
        </is>
      </c>
      <c r="B15170" s="1" t="n">
        <v>45462</v>
      </c>
      <c r="C15170" s="1" t="n">
        <v>45736</v>
      </c>
      <c r="D15170" t="inlineStr">
        <is>
          <t>VÄRMLANDS LÄN</t>
        </is>
      </c>
      <c r="E15170" t="inlineStr">
        <is>
          <t>KIL</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25659-2024</t>
        </is>
      </c>
      <c r="B15171" s="1" t="n">
        <v>45463</v>
      </c>
      <c r="C15171" s="1" t="n">
        <v>45736</v>
      </c>
      <c r="D15171" t="inlineStr">
        <is>
          <t>VÄRMLANDS LÄN</t>
        </is>
      </c>
      <c r="E15171" t="inlineStr">
        <is>
          <t>ÅRJÄNG</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25654-2024</t>
        </is>
      </c>
      <c r="B15172" s="1" t="n">
        <v>45463</v>
      </c>
      <c r="C15172" s="1" t="n">
        <v>45736</v>
      </c>
      <c r="D15172" t="inlineStr">
        <is>
          <t>VÄRMLANDS LÄN</t>
        </is>
      </c>
      <c r="E15172" t="inlineStr">
        <is>
          <t>ÅRJÄNG</t>
        </is>
      </c>
      <c r="G15172" t="n">
        <v>16.9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25509-2024</t>
        </is>
      </c>
      <c r="B15173" s="1" t="n">
        <v>45463</v>
      </c>
      <c r="C15173" s="1" t="n">
        <v>45736</v>
      </c>
      <c r="D15173" t="inlineStr">
        <is>
          <t>VÄRMLANDS LÄN</t>
        </is>
      </c>
      <c r="E15173" t="inlineStr">
        <is>
          <t>SUNNE</t>
        </is>
      </c>
      <c r="G15173" t="n">
        <v>5.7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25629-2024</t>
        </is>
      </c>
      <c r="B15174" s="1" t="n">
        <v>45463</v>
      </c>
      <c r="C15174" s="1" t="n">
        <v>45736</v>
      </c>
      <c r="D15174" t="inlineStr">
        <is>
          <t>VÄRMLANDS LÄN</t>
        </is>
      </c>
      <c r="E15174" t="inlineStr">
        <is>
          <t>TORSBY</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25521-2024</t>
        </is>
      </c>
      <c r="B15175" s="1" t="n">
        <v>45463</v>
      </c>
      <c r="C15175" s="1" t="n">
        <v>45736</v>
      </c>
      <c r="D15175" t="inlineStr">
        <is>
          <t>VÄRMLANDS LÄN</t>
        </is>
      </c>
      <c r="E15175" t="inlineStr">
        <is>
          <t>FILIPSTAD</t>
        </is>
      </c>
      <c r="F15175" t="inlineStr">
        <is>
          <t>Bergvik skog väst AB</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25504-2024</t>
        </is>
      </c>
      <c r="B15176" s="1" t="n">
        <v>45463</v>
      </c>
      <c r="C15176" s="1" t="n">
        <v>45736</v>
      </c>
      <c r="D15176" t="inlineStr">
        <is>
          <t>VÄRMLANDS LÄN</t>
        </is>
      </c>
      <c r="E15176" t="inlineStr">
        <is>
          <t>TORSBY</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25468-2024</t>
        </is>
      </c>
      <c r="B15177" s="1" t="n">
        <v>45463</v>
      </c>
      <c r="C15177" s="1" t="n">
        <v>45736</v>
      </c>
      <c r="D15177" t="inlineStr">
        <is>
          <t>VÄRMLANDS LÄN</t>
        </is>
      </c>
      <c r="E15177" t="inlineStr">
        <is>
          <t>FILIPSTAD</t>
        </is>
      </c>
      <c r="G15177" t="n">
        <v>13.2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25464-2024</t>
        </is>
      </c>
      <c r="B15178" s="1" t="n">
        <v>45463</v>
      </c>
      <c r="C15178" s="1" t="n">
        <v>45736</v>
      </c>
      <c r="D15178" t="inlineStr">
        <is>
          <t>VÄRMLANDS LÄN</t>
        </is>
      </c>
      <c r="E15178" t="inlineStr">
        <is>
          <t>HAGFORS</t>
        </is>
      </c>
      <c r="F15178" t="inlineStr">
        <is>
          <t>Bergvik skog väst AB</t>
        </is>
      </c>
      <c r="G15178" t="n">
        <v>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25409-2024</t>
        </is>
      </c>
      <c r="B15179" s="1" t="n">
        <v>45463</v>
      </c>
      <c r="C15179" s="1" t="n">
        <v>45736</v>
      </c>
      <c r="D15179" t="inlineStr">
        <is>
          <t>VÄRMLANDS LÄN</t>
        </is>
      </c>
      <c r="E15179" t="inlineStr">
        <is>
          <t>KIL</t>
        </is>
      </c>
      <c r="F15179" t="inlineStr">
        <is>
          <t>Kyrkan</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25520-2024</t>
        </is>
      </c>
      <c r="B15180" s="1" t="n">
        <v>45463</v>
      </c>
      <c r="C15180" s="1" t="n">
        <v>45736</v>
      </c>
      <c r="D15180" t="inlineStr">
        <is>
          <t>VÄRMLANDS LÄN</t>
        </is>
      </c>
      <c r="E15180" t="inlineStr">
        <is>
          <t>ARVIKA</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25495-2024</t>
        </is>
      </c>
      <c r="B15181" s="1" t="n">
        <v>45463</v>
      </c>
      <c r="C15181" s="1" t="n">
        <v>45736</v>
      </c>
      <c r="D15181" t="inlineStr">
        <is>
          <t>VÄRMLANDS LÄN</t>
        </is>
      </c>
      <c r="E15181" t="inlineStr">
        <is>
          <t>ÅRJÄNG</t>
        </is>
      </c>
      <c r="F15181" t="inlineStr">
        <is>
          <t>Kyrkan</t>
        </is>
      </c>
      <c r="G15181" t="n">
        <v>9.800000000000001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25475-2024</t>
        </is>
      </c>
      <c r="B15182" s="1" t="n">
        <v>45463</v>
      </c>
      <c r="C15182" s="1" t="n">
        <v>45736</v>
      </c>
      <c r="D15182" t="inlineStr">
        <is>
          <t>VÄRMLANDS LÄN</t>
        </is>
      </c>
      <c r="E15182" t="inlineStr">
        <is>
          <t>SUNNE</t>
        </is>
      </c>
      <c r="G15182" t="n">
        <v>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25462-2024</t>
        </is>
      </c>
      <c r="B15183" s="1" t="n">
        <v>45463</v>
      </c>
      <c r="C15183" s="1" t="n">
        <v>45736</v>
      </c>
      <c r="D15183" t="inlineStr">
        <is>
          <t>VÄRMLANDS LÄN</t>
        </is>
      </c>
      <c r="E15183" t="inlineStr">
        <is>
          <t>FILIPSTAD</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25435-2024</t>
        </is>
      </c>
      <c r="B15184" s="1" t="n">
        <v>45463</v>
      </c>
      <c r="C15184" s="1" t="n">
        <v>45736</v>
      </c>
      <c r="D15184" t="inlineStr">
        <is>
          <t>VÄRMLANDS LÄN</t>
        </is>
      </c>
      <c r="E15184" t="inlineStr">
        <is>
          <t>KIL</t>
        </is>
      </c>
      <c r="F15184" t="inlineStr">
        <is>
          <t>Kyrkan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25786-2024</t>
        </is>
      </c>
      <c r="B15185" s="1" t="n">
        <v>45466</v>
      </c>
      <c r="C15185" s="1" t="n">
        <v>45736</v>
      </c>
      <c r="D15185" t="inlineStr">
        <is>
          <t>VÄRMLANDS LÄN</t>
        </is>
      </c>
      <c r="E15185" t="inlineStr">
        <is>
          <t>KARLSTAD</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25785-2024</t>
        </is>
      </c>
      <c r="B15186" s="1" t="n">
        <v>45466</v>
      </c>
      <c r="C15186" s="1" t="n">
        <v>45736</v>
      </c>
      <c r="D15186" t="inlineStr">
        <is>
          <t>VÄRMLANDS LÄN</t>
        </is>
      </c>
      <c r="E15186" t="inlineStr">
        <is>
          <t>STORFORS</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25796-2024</t>
        </is>
      </c>
      <c r="B15187" s="1" t="n">
        <v>45467</v>
      </c>
      <c r="C15187" s="1" t="n">
        <v>45736</v>
      </c>
      <c r="D15187" t="inlineStr">
        <is>
          <t>VÄRMLANDS LÄN</t>
        </is>
      </c>
      <c r="E15187" t="inlineStr">
        <is>
          <t>SUNNE</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25802-2024</t>
        </is>
      </c>
      <c r="B15188" s="1" t="n">
        <v>45467</v>
      </c>
      <c r="C15188" s="1" t="n">
        <v>45736</v>
      </c>
      <c r="D15188" t="inlineStr">
        <is>
          <t>VÄRMLANDS LÄN</t>
        </is>
      </c>
      <c r="E15188" t="inlineStr">
        <is>
          <t>SUNNE</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25792-2024</t>
        </is>
      </c>
      <c r="B15189" s="1" t="n">
        <v>45467</v>
      </c>
      <c r="C15189" s="1" t="n">
        <v>45736</v>
      </c>
      <c r="D15189" t="inlineStr">
        <is>
          <t>VÄRMLANDS LÄN</t>
        </is>
      </c>
      <c r="E15189" t="inlineStr">
        <is>
          <t>SUNNE</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25797-2024</t>
        </is>
      </c>
      <c r="B15190" s="1" t="n">
        <v>45467</v>
      </c>
      <c r="C15190" s="1" t="n">
        <v>45736</v>
      </c>
      <c r="D15190" t="inlineStr">
        <is>
          <t>VÄRMLANDS LÄN</t>
        </is>
      </c>
      <c r="E15190" t="inlineStr">
        <is>
          <t>SUNNE</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25816-2024</t>
        </is>
      </c>
      <c r="B15191" s="1" t="n">
        <v>45467</v>
      </c>
      <c r="C15191" s="1" t="n">
        <v>45736</v>
      </c>
      <c r="D15191" t="inlineStr">
        <is>
          <t>VÄRMLANDS LÄN</t>
        </is>
      </c>
      <c r="E15191" t="inlineStr">
        <is>
          <t>SUNNE</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25820-2024</t>
        </is>
      </c>
      <c r="B15192" s="1" t="n">
        <v>45467</v>
      </c>
      <c r="C15192" s="1" t="n">
        <v>45736</v>
      </c>
      <c r="D15192" t="inlineStr">
        <is>
          <t>VÄRMLANDS LÄN</t>
        </is>
      </c>
      <c r="E15192" t="inlineStr">
        <is>
          <t>SUNNE</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25840-2024</t>
        </is>
      </c>
      <c r="B15193" s="1" t="n">
        <v>45467</v>
      </c>
      <c r="C15193" s="1" t="n">
        <v>45736</v>
      </c>
      <c r="D15193" t="inlineStr">
        <is>
          <t>VÄRMLANDS LÄN</t>
        </is>
      </c>
      <c r="E15193" t="inlineStr">
        <is>
          <t>GRUMS</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25848-2024</t>
        </is>
      </c>
      <c r="B15194" s="1" t="n">
        <v>45467</v>
      </c>
      <c r="C15194" s="1" t="n">
        <v>45736</v>
      </c>
      <c r="D15194" t="inlineStr">
        <is>
          <t>VÄRMLANDS LÄN</t>
        </is>
      </c>
      <c r="E15194" t="inlineStr">
        <is>
          <t>EDA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25827-2024</t>
        </is>
      </c>
      <c r="B15195" s="1" t="n">
        <v>45467</v>
      </c>
      <c r="C15195" s="1" t="n">
        <v>45736</v>
      </c>
      <c r="D15195" t="inlineStr">
        <is>
          <t>VÄRMLANDS LÄN</t>
        </is>
      </c>
      <c r="E15195" t="inlineStr">
        <is>
          <t>TORSBY</t>
        </is>
      </c>
      <c r="G15195" t="n">
        <v>20.5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25898-2024</t>
        </is>
      </c>
      <c r="B15196" s="1" t="n">
        <v>45467</v>
      </c>
      <c r="C15196" s="1" t="n">
        <v>45736</v>
      </c>
      <c r="D15196" t="inlineStr">
        <is>
          <t>VÄRMLANDS LÄN</t>
        </is>
      </c>
      <c r="E15196" t="inlineStr">
        <is>
          <t>TORSBY</t>
        </is>
      </c>
      <c r="G15196" t="n">
        <v>27.6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25911-2024</t>
        </is>
      </c>
      <c r="B15197" s="1" t="n">
        <v>45467</v>
      </c>
      <c r="C15197" s="1" t="n">
        <v>45736</v>
      </c>
      <c r="D15197" t="inlineStr">
        <is>
          <t>VÄRMLANDS LÄN</t>
        </is>
      </c>
      <c r="E15197" t="inlineStr">
        <is>
          <t>SUNNE</t>
        </is>
      </c>
      <c r="F15197" t="inlineStr">
        <is>
          <t>Bergvik skog väst AB</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25916-2024</t>
        </is>
      </c>
      <c r="B15198" s="1" t="n">
        <v>45467</v>
      </c>
      <c r="C15198" s="1" t="n">
        <v>45736</v>
      </c>
      <c r="D15198" t="inlineStr">
        <is>
          <t>VÄRMLANDS LÄN</t>
        </is>
      </c>
      <c r="E15198" t="inlineStr">
        <is>
          <t>STORFORS</t>
        </is>
      </c>
      <c r="F15198" t="inlineStr">
        <is>
          <t>Bergvik skog väst AB</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25932-2024</t>
        </is>
      </c>
      <c r="B15199" s="1" t="n">
        <v>45467</v>
      </c>
      <c r="C15199" s="1" t="n">
        <v>45736</v>
      </c>
      <c r="D15199" t="inlineStr">
        <is>
          <t>VÄRMLANDS LÄN</t>
        </is>
      </c>
      <c r="E15199" t="inlineStr">
        <is>
          <t>TORSBY</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25980-2024</t>
        </is>
      </c>
      <c r="B15200" s="1" t="n">
        <v>45467</v>
      </c>
      <c r="C15200" s="1" t="n">
        <v>45736</v>
      </c>
      <c r="D15200" t="inlineStr">
        <is>
          <t>VÄRMLANDS LÄN</t>
        </is>
      </c>
      <c r="E15200" t="inlineStr">
        <is>
          <t>SÄFFLE</t>
        </is>
      </c>
      <c r="G15200" t="n">
        <v>8.199999999999999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25933-2024</t>
        </is>
      </c>
      <c r="B15201" s="1" t="n">
        <v>45467</v>
      </c>
      <c r="C15201" s="1" t="n">
        <v>45736</v>
      </c>
      <c r="D15201" t="inlineStr">
        <is>
          <t>VÄRMLANDS LÄN</t>
        </is>
      </c>
      <c r="E15201" t="inlineStr">
        <is>
          <t>TORSBY</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25949-2024</t>
        </is>
      </c>
      <c r="B15202" s="1" t="n">
        <v>45467</v>
      </c>
      <c r="C15202" s="1" t="n">
        <v>45736</v>
      </c>
      <c r="D15202" t="inlineStr">
        <is>
          <t>VÄRMLANDS LÄN</t>
        </is>
      </c>
      <c r="E15202" t="inlineStr">
        <is>
          <t>TORSBY</t>
        </is>
      </c>
      <c r="F15202" t="inlineStr">
        <is>
          <t>Bergvik skog väst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26230-2024</t>
        </is>
      </c>
      <c r="B15203" s="1" t="n">
        <v>45468</v>
      </c>
      <c r="C15203" s="1" t="n">
        <v>45736</v>
      </c>
      <c r="D15203" t="inlineStr">
        <is>
          <t>VÄRMLANDS LÄN</t>
        </is>
      </c>
      <c r="E15203" t="inlineStr">
        <is>
          <t>STORFORS</t>
        </is>
      </c>
      <c r="F15203" t="inlineStr">
        <is>
          <t>Bergvik skog väst AB</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26259-2024</t>
        </is>
      </c>
      <c r="B15204" s="1" t="n">
        <v>45468</v>
      </c>
      <c r="C15204" s="1" t="n">
        <v>45736</v>
      </c>
      <c r="D15204" t="inlineStr">
        <is>
          <t>VÄRMLANDS LÄN</t>
        </is>
      </c>
      <c r="E15204" t="inlineStr">
        <is>
          <t>ÅRJÄNG</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26297-2024</t>
        </is>
      </c>
      <c r="B15205" s="1" t="n">
        <v>45468</v>
      </c>
      <c r="C15205" s="1" t="n">
        <v>45736</v>
      </c>
      <c r="D15205" t="inlineStr">
        <is>
          <t>VÄRMLANDS LÄN</t>
        </is>
      </c>
      <c r="E15205" t="inlineStr">
        <is>
          <t>HAGFORS</t>
        </is>
      </c>
      <c r="G15205" t="n">
        <v>3.4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26265-2024</t>
        </is>
      </c>
      <c r="B15206" s="1" t="n">
        <v>45468</v>
      </c>
      <c r="C15206" s="1" t="n">
        <v>45736</v>
      </c>
      <c r="D15206" t="inlineStr">
        <is>
          <t>VÄRMLANDS LÄN</t>
        </is>
      </c>
      <c r="E15206" t="inlineStr">
        <is>
          <t>ÅRJÄNG</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26186-2024</t>
        </is>
      </c>
      <c r="B15207" s="1" t="n">
        <v>45468</v>
      </c>
      <c r="C15207" s="1" t="n">
        <v>45736</v>
      </c>
      <c r="D15207" t="inlineStr">
        <is>
          <t>VÄRMLANDS LÄN</t>
        </is>
      </c>
      <c r="E15207" t="inlineStr">
        <is>
          <t>TORSBY</t>
        </is>
      </c>
      <c r="F15207" t="inlineStr">
        <is>
          <t>Bergvik skog väst AB</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26189-2024</t>
        </is>
      </c>
      <c r="B15208" s="1" t="n">
        <v>45468</v>
      </c>
      <c r="C15208" s="1" t="n">
        <v>45736</v>
      </c>
      <c r="D15208" t="inlineStr">
        <is>
          <t>VÄRMLANDS LÄN</t>
        </is>
      </c>
      <c r="E15208" t="inlineStr">
        <is>
          <t>STORFORS</t>
        </is>
      </c>
      <c r="F15208" t="inlineStr">
        <is>
          <t>Bergvik skog väst AB</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26179-2024</t>
        </is>
      </c>
      <c r="B15209" s="1" t="n">
        <v>45468</v>
      </c>
      <c r="C15209" s="1" t="n">
        <v>45736</v>
      </c>
      <c r="D15209" t="inlineStr">
        <is>
          <t>VÄRMLANDS LÄN</t>
        </is>
      </c>
      <c r="E15209" t="inlineStr">
        <is>
          <t>FILIPSTAD</t>
        </is>
      </c>
      <c r="F15209" t="inlineStr">
        <is>
          <t>Bergvik skog väst AB</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26175-2024</t>
        </is>
      </c>
      <c r="B15210" s="1" t="n">
        <v>45468</v>
      </c>
      <c r="C15210" s="1" t="n">
        <v>45736</v>
      </c>
      <c r="D15210" t="inlineStr">
        <is>
          <t>VÄRMLANDS LÄN</t>
        </is>
      </c>
      <c r="E15210" t="inlineStr">
        <is>
          <t>ARVIKA</t>
        </is>
      </c>
      <c r="F15210" t="inlineStr">
        <is>
          <t>Bergvik skog väst AB</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26166-2024</t>
        </is>
      </c>
      <c r="B15211" s="1" t="n">
        <v>45468</v>
      </c>
      <c r="C15211" s="1" t="n">
        <v>45736</v>
      </c>
      <c r="D15211" t="inlineStr">
        <is>
          <t>VÄRMLANDS LÄN</t>
        </is>
      </c>
      <c r="E15211" t="inlineStr">
        <is>
          <t>TORSBY</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26144-2024</t>
        </is>
      </c>
      <c r="B15212" s="1" t="n">
        <v>45468</v>
      </c>
      <c r="C15212" s="1" t="n">
        <v>45736</v>
      </c>
      <c r="D15212" t="inlineStr">
        <is>
          <t>VÄRMLANDS LÄN</t>
        </is>
      </c>
      <c r="E15212" t="inlineStr">
        <is>
          <t>SÄFFLE</t>
        </is>
      </c>
      <c r="F15212" t="inlineStr">
        <is>
          <t>Bergvik skog väst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26134-2024</t>
        </is>
      </c>
      <c r="B15213" s="1" t="n">
        <v>45468</v>
      </c>
      <c r="C15213" s="1" t="n">
        <v>45736</v>
      </c>
      <c r="D15213" t="inlineStr">
        <is>
          <t>VÄRMLANDS LÄN</t>
        </is>
      </c>
      <c r="E15213" t="inlineStr">
        <is>
          <t>ARVIKA</t>
        </is>
      </c>
      <c r="F15213" t="inlineStr">
        <is>
          <t>Bergvik skog väst AB</t>
        </is>
      </c>
      <c r="G15213" t="n">
        <v>8.300000000000001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26124-2024</t>
        </is>
      </c>
      <c r="B15214" s="1" t="n">
        <v>45468</v>
      </c>
      <c r="C15214" s="1" t="n">
        <v>45736</v>
      </c>
      <c r="D15214" t="inlineStr">
        <is>
          <t>VÄRMLANDS LÄN</t>
        </is>
      </c>
      <c r="E15214" t="inlineStr">
        <is>
          <t>TORSBY</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26105-2024</t>
        </is>
      </c>
      <c r="B15215" s="1" t="n">
        <v>45468</v>
      </c>
      <c r="C15215" s="1" t="n">
        <v>45736</v>
      </c>
      <c r="D15215" t="inlineStr">
        <is>
          <t>VÄRMLANDS LÄN</t>
        </is>
      </c>
      <c r="E15215" t="inlineStr">
        <is>
          <t>ARVIKA</t>
        </is>
      </c>
      <c r="F15215" t="inlineStr">
        <is>
          <t>Bergvik skog väst AB</t>
        </is>
      </c>
      <c r="G15215" t="n">
        <v>28.7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26063-2024</t>
        </is>
      </c>
      <c r="B15216" s="1" t="n">
        <v>45468</v>
      </c>
      <c r="C15216" s="1" t="n">
        <v>45736</v>
      </c>
      <c r="D15216" t="inlineStr">
        <is>
          <t>VÄRMLANDS LÄN</t>
        </is>
      </c>
      <c r="E15216" t="inlineStr">
        <is>
          <t>ARVIKA</t>
        </is>
      </c>
      <c r="F15216" t="inlineStr">
        <is>
          <t>Bergvik skog väst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26201-2024</t>
        </is>
      </c>
      <c r="B15217" s="1" t="n">
        <v>45468</v>
      </c>
      <c r="C15217" s="1" t="n">
        <v>45736</v>
      </c>
      <c r="D15217" t="inlineStr">
        <is>
          <t>VÄRMLANDS LÄN</t>
        </is>
      </c>
      <c r="E15217" t="inlineStr">
        <is>
          <t>STORFORS</t>
        </is>
      </c>
      <c r="F15217" t="inlineStr">
        <is>
          <t>Bergvik skog väst AB</t>
        </is>
      </c>
      <c r="G15217" t="n">
        <v>25.4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26170-2024</t>
        </is>
      </c>
      <c r="B15218" s="1" t="n">
        <v>45468</v>
      </c>
      <c r="C15218" s="1" t="n">
        <v>45736</v>
      </c>
      <c r="D15218" t="inlineStr">
        <is>
          <t>VÄRMLANDS LÄN</t>
        </is>
      </c>
      <c r="E15218" t="inlineStr">
        <is>
          <t>FILIPSTAD</t>
        </is>
      </c>
      <c r="F15218" t="inlineStr">
        <is>
          <t>Bergvik skog väst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26165-2024</t>
        </is>
      </c>
      <c r="B15219" s="1" t="n">
        <v>45468</v>
      </c>
      <c r="C15219" s="1" t="n">
        <v>45736</v>
      </c>
      <c r="D15219" t="inlineStr">
        <is>
          <t>VÄRMLANDS LÄN</t>
        </is>
      </c>
      <c r="E15219" t="inlineStr">
        <is>
          <t>FILIPSTAD</t>
        </is>
      </c>
      <c r="F15219" t="inlineStr">
        <is>
          <t>Bergvik skog väst AB</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26060-2024</t>
        </is>
      </c>
      <c r="B15220" s="1" t="n">
        <v>45468</v>
      </c>
      <c r="C15220" s="1" t="n">
        <v>45736</v>
      </c>
      <c r="D15220" t="inlineStr">
        <is>
          <t>VÄRMLANDS LÄN</t>
        </is>
      </c>
      <c r="E15220" t="inlineStr">
        <is>
          <t>ARVIKA</t>
        </is>
      </c>
      <c r="F15220" t="inlineStr">
        <is>
          <t>Bergvik skog väst AB</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26056-2024</t>
        </is>
      </c>
      <c r="B15221" s="1" t="n">
        <v>45468</v>
      </c>
      <c r="C15221" s="1" t="n">
        <v>45736</v>
      </c>
      <c r="D15221" t="inlineStr">
        <is>
          <t>VÄRMLANDS LÄN</t>
        </is>
      </c>
      <c r="E15221" t="inlineStr">
        <is>
          <t>ARVIKA</t>
        </is>
      </c>
      <c r="F15221" t="inlineStr">
        <is>
          <t>Bergvik skog väst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26086-2024</t>
        </is>
      </c>
      <c r="B15222" s="1" t="n">
        <v>45468</v>
      </c>
      <c r="C15222" s="1" t="n">
        <v>45736</v>
      </c>
      <c r="D15222" t="inlineStr">
        <is>
          <t>VÄRMLANDS LÄN</t>
        </is>
      </c>
      <c r="E15222" t="inlineStr">
        <is>
          <t>TORSBY</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26042-2024</t>
        </is>
      </c>
      <c r="B15223" s="1" t="n">
        <v>45468</v>
      </c>
      <c r="C15223" s="1" t="n">
        <v>45736</v>
      </c>
      <c r="D15223" t="inlineStr">
        <is>
          <t>VÄRMLANDS LÄN</t>
        </is>
      </c>
      <c r="E15223" t="inlineStr">
        <is>
          <t>TORSBY</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26408-2024</t>
        </is>
      </c>
      <c r="B15224" s="1" t="n">
        <v>45469</v>
      </c>
      <c r="C15224" s="1" t="n">
        <v>45736</v>
      </c>
      <c r="D15224" t="inlineStr">
        <is>
          <t>VÄRMLANDS LÄN</t>
        </is>
      </c>
      <c r="E15224" t="inlineStr">
        <is>
          <t>HAGFORS</t>
        </is>
      </c>
      <c r="F15224" t="inlineStr">
        <is>
          <t>Bergvik skog väst AB</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26428-2024</t>
        </is>
      </c>
      <c r="B15225" s="1" t="n">
        <v>45469</v>
      </c>
      <c r="C15225" s="1" t="n">
        <v>45736</v>
      </c>
      <c r="D15225" t="inlineStr">
        <is>
          <t>VÄRMLANDS LÄN</t>
        </is>
      </c>
      <c r="E15225" t="inlineStr">
        <is>
          <t>ARVIKA</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26446-2024</t>
        </is>
      </c>
      <c r="B15226" s="1" t="n">
        <v>45469</v>
      </c>
      <c r="C15226" s="1" t="n">
        <v>45736</v>
      </c>
      <c r="D15226" t="inlineStr">
        <is>
          <t>VÄRMLANDS LÄN</t>
        </is>
      </c>
      <c r="E15226" t="inlineStr">
        <is>
          <t>ARVIKA</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26361-2024</t>
        </is>
      </c>
      <c r="B15227" s="1" t="n">
        <v>45469</v>
      </c>
      <c r="C15227" s="1" t="n">
        <v>45736</v>
      </c>
      <c r="D15227" t="inlineStr">
        <is>
          <t>VÄRMLANDS LÄN</t>
        </is>
      </c>
      <c r="E15227" t="inlineStr">
        <is>
          <t>EDA</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26406-2024</t>
        </is>
      </c>
      <c r="B15228" s="1" t="n">
        <v>45469</v>
      </c>
      <c r="C15228" s="1" t="n">
        <v>45736</v>
      </c>
      <c r="D15228" t="inlineStr">
        <is>
          <t>VÄRMLANDS LÄN</t>
        </is>
      </c>
      <c r="E15228" t="inlineStr">
        <is>
          <t>ARVIKA</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26510-2024</t>
        </is>
      </c>
      <c r="B15229" s="1" t="n">
        <v>45469</v>
      </c>
      <c r="C15229" s="1" t="n">
        <v>45736</v>
      </c>
      <c r="D15229" t="inlineStr">
        <is>
          <t>VÄRMLANDS LÄN</t>
        </is>
      </c>
      <c r="E15229" t="inlineStr">
        <is>
          <t>SUNNE</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26514-2024</t>
        </is>
      </c>
      <c r="B15230" s="1" t="n">
        <v>45469</v>
      </c>
      <c r="C15230" s="1" t="n">
        <v>45736</v>
      </c>
      <c r="D15230" t="inlineStr">
        <is>
          <t>VÄRMLANDS LÄN</t>
        </is>
      </c>
      <c r="E15230" t="inlineStr">
        <is>
          <t>HAGFORS</t>
        </is>
      </c>
      <c r="F15230" t="inlineStr">
        <is>
          <t>Bergvik skog väst AB</t>
        </is>
      </c>
      <c r="G15230" t="n">
        <v>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26634-2024</t>
        </is>
      </c>
      <c r="B15231" s="1" t="n">
        <v>45469</v>
      </c>
      <c r="C15231" s="1" t="n">
        <v>45736</v>
      </c>
      <c r="D15231" t="inlineStr">
        <is>
          <t>VÄRMLANDS LÄN</t>
        </is>
      </c>
      <c r="E15231" t="inlineStr">
        <is>
          <t>TORSBY</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26504-2024</t>
        </is>
      </c>
      <c r="B15232" s="1" t="n">
        <v>45469</v>
      </c>
      <c r="C15232" s="1" t="n">
        <v>45736</v>
      </c>
      <c r="D15232" t="inlineStr">
        <is>
          <t>VÄRMLANDS LÄN</t>
        </is>
      </c>
      <c r="E15232" t="inlineStr">
        <is>
          <t>HAGFORS</t>
        </is>
      </c>
      <c r="F15232" t="inlineStr">
        <is>
          <t>Bergvik skog väst AB</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26508-2024</t>
        </is>
      </c>
      <c r="B15233" s="1" t="n">
        <v>45469</v>
      </c>
      <c r="C15233" s="1" t="n">
        <v>45736</v>
      </c>
      <c r="D15233" t="inlineStr">
        <is>
          <t>VÄRMLANDS LÄN</t>
        </is>
      </c>
      <c r="E15233" t="inlineStr">
        <is>
          <t>ARVIKA</t>
        </is>
      </c>
      <c r="F15233" t="inlineStr">
        <is>
          <t>Bergvik skog väst AB</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26599-2024</t>
        </is>
      </c>
      <c r="B15234" s="1" t="n">
        <v>45469</v>
      </c>
      <c r="C15234" s="1" t="n">
        <v>45736</v>
      </c>
      <c r="D15234" t="inlineStr">
        <is>
          <t>VÄRMLANDS LÄN</t>
        </is>
      </c>
      <c r="E15234" t="inlineStr">
        <is>
          <t>FILIPSTAD</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26619-2024</t>
        </is>
      </c>
      <c r="B15235" s="1" t="n">
        <v>45469</v>
      </c>
      <c r="C15235" s="1" t="n">
        <v>45736</v>
      </c>
      <c r="D15235" t="inlineStr">
        <is>
          <t>VÄRMLANDS LÄN</t>
        </is>
      </c>
      <c r="E15235" t="inlineStr">
        <is>
          <t>EDA</t>
        </is>
      </c>
      <c r="G15235" t="n">
        <v>7.6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26615-2024</t>
        </is>
      </c>
      <c r="B15236" s="1" t="n">
        <v>45469</v>
      </c>
      <c r="C15236" s="1" t="n">
        <v>45736</v>
      </c>
      <c r="D15236" t="inlineStr">
        <is>
          <t>VÄRMLANDS LÄN</t>
        </is>
      </c>
      <c r="E15236" t="inlineStr">
        <is>
          <t>HAGFORS</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26348-2024</t>
        </is>
      </c>
      <c r="B15237" s="1" t="n">
        <v>45469</v>
      </c>
      <c r="C15237" s="1" t="n">
        <v>45736</v>
      </c>
      <c r="D15237" t="inlineStr">
        <is>
          <t>VÄRMLANDS LÄN</t>
        </is>
      </c>
      <c r="E15237" t="inlineStr">
        <is>
          <t>HAGFORS</t>
        </is>
      </c>
      <c r="F15237" t="inlineStr">
        <is>
          <t>Bergvik skog väst AB</t>
        </is>
      </c>
      <c r="G15237" t="n">
        <v>9.300000000000001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26742-2024</t>
        </is>
      </c>
      <c r="B15238" s="1" t="n">
        <v>45469</v>
      </c>
      <c r="C15238" s="1" t="n">
        <v>45736</v>
      </c>
      <c r="D15238" t="inlineStr">
        <is>
          <t>VÄRMLANDS LÄN</t>
        </is>
      </c>
      <c r="E15238" t="inlineStr">
        <is>
          <t>EDA</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26629-2024</t>
        </is>
      </c>
      <c r="B15239" s="1" t="n">
        <v>45469</v>
      </c>
      <c r="C15239" s="1" t="n">
        <v>45736</v>
      </c>
      <c r="D15239" t="inlineStr">
        <is>
          <t>VÄRMLANDS LÄN</t>
        </is>
      </c>
      <c r="E15239" t="inlineStr">
        <is>
          <t>HAGFORS</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26513-2024</t>
        </is>
      </c>
      <c r="B15240" s="1" t="n">
        <v>45469</v>
      </c>
      <c r="C15240" s="1" t="n">
        <v>45736</v>
      </c>
      <c r="D15240" t="inlineStr">
        <is>
          <t>VÄRMLANDS LÄN</t>
        </is>
      </c>
      <c r="E15240" t="inlineStr">
        <is>
          <t>SUNNE</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26354-2024</t>
        </is>
      </c>
      <c r="B15241" s="1" t="n">
        <v>45469</v>
      </c>
      <c r="C15241" s="1" t="n">
        <v>45736</v>
      </c>
      <c r="D15241" t="inlineStr">
        <is>
          <t>VÄRMLANDS LÄN</t>
        </is>
      </c>
      <c r="E15241" t="inlineStr">
        <is>
          <t>ARVIKA</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26340-2024</t>
        </is>
      </c>
      <c r="B15242" s="1" t="n">
        <v>45469</v>
      </c>
      <c r="C15242" s="1" t="n">
        <v>45736</v>
      </c>
      <c r="D15242" t="inlineStr">
        <is>
          <t>VÄRMLANDS LÄN</t>
        </is>
      </c>
      <c r="E15242" t="inlineStr">
        <is>
          <t>GRUMS</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26556-2024</t>
        </is>
      </c>
      <c r="B15243" s="1" t="n">
        <v>45469</v>
      </c>
      <c r="C15243" s="1" t="n">
        <v>45736</v>
      </c>
      <c r="D15243" t="inlineStr">
        <is>
          <t>VÄRMLANDS LÄN</t>
        </is>
      </c>
      <c r="E15243" t="inlineStr">
        <is>
          <t>SÄFFLE</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26568-2024</t>
        </is>
      </c>
      <c r="B15244" s="1" t="n">
        <v>45469</v>
      </c>
      <c r="C15244" s="1" t="n">
        <v>45736</v>
      </c>
      <c r="D15244" t="inlineStr">
        <is>
          <t>VÄRMLANDS LÄN</t>
        </is>
      </c>
      <c r="E15244" t="inlineStr">
        <is>
          <t>SUNNE</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26628-2024</t>
        </is>
      </c>
      <c r="B15245" s="1" t="n">
        <v>45469</v>
      </c>
      <c r="C15245" s="1" t="n">
        <v>45736</v>
      </c>
      <c r="D15245" t="inlineStr">
        <is>
          <t>VÄRMLANDS LÄN</t>
        </is>
      </c>
      <c r="E15245" t="inlineStr">
        <is>
          <t>HAGFORS</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26866-2024</t>
        </is>
      </c>
      <c r="B15246" s="1" t="n">
        <v>45470</v>
      </c>
      <c r="C15246" s="1" t="n">
        <v>45736</v>
      </c>
      <c r="D15246" t="inlineStr">
        <is>
          <t>VÄRMLANDS LÄN</t>
        </is>
      </c>
      <c r="E15246" t="inlineStr">
        <is>
          <t>ÅRJÄNG</t>
        </is>
      </c>
      <c r="F15246" t="inlineStr">
        <is>
          <t>Kyrkan</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26728-2024</t>
        </is>
      </c>
      <c r="B15247" s="1" t="n">
        <v>45470</v>
      </c>
      <c r="C15247" s="1" t="n">
        <v>45736</v>
      </c>
      <c r="D15247" t="inlineStr">
        <is>
          <t>VÄRMLANDS LÄN</t>
        </is>
      </c>
      <c r="E15247" t="inlineStr">
        <is>
          <t>HAGFORS</t>
        </is>
      </c>
      <c r="F15247" t="inlineStr">
        <is>
          <t>Bergvik skog väst AB</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26676-2024</t>
        </is>
      </c>
      <c r="B15248" s="1" t="n">
        <v>45470</v>
      </c>
      <c r="C15248" s="1" t="n">
        <v>45736</v>
      </c>
      <c r="D15248" t="inlineStr">
        <is>
          <t>VÄRMLANDS LÄN</t>
        </is>
      </c>
      <c r="E15248" t="inlineStr">
        <is>
          <t>SÄFFLE</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26880-2024</t>
        </is>
      </c>
      <c r="B15249" s="1" t="n">
        <v>45470</v>
      </c>
      <c r="C15249" s="1" t="n">
        <v>45736</v>
      </c>
      <c r="D15249" t="inlineStr">
        <is>
          <t>VÄRMLANDS LÄN</t>
        </is>
      </c>
      <c r="E15249" t="inlineStr">
        <is>
          <t>FILIPSTAD</t>
        </is>
      </c>
      <c r="F15249" t="inlineStr">
        <is>
          <t>Bergvik skog väst AB</t>
        </is>
      </c>
      <c r="G15249" t="n">
        <v>18.3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26876-2024</t>
        </is>
      </c>
      <c r="B15250" s="1" t="n">
        <v>45470</v>
      </c>
      <c r="C15250" s="1" t="n">
        <v>45736</v>
      </c>
      <c r="D15250" t="inlineStr">
        <is>
          <t>VÄRMLANDS LÄN</t>
        </is>
      </c>
      <c r="E15250" t="inlineStr">
        <is>
          <t>TORSBY</t>
        </is>
      </c>
      <c r="G15250" t="n">
        <v>3.9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26872-2024</t>
        </is>
      </c>
      <c r="B15251" s="1" t="n">
        <v>45470</v>
      </c>
      <c r="C15251" s="1" t="n">
        <v>45736</v>
      </c>
      <c r="D15251" t="inlineStr">
        <is>
          <t>VÄRMLANDS LÄN</t>
        </is>
      </c>
      <c r="E15251" t="inlineStr">
        <is>
          <t>SUNNE</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26816-2024</t>
        </is>
      </c>
      <c r="B15252" s="1" t="n">
        <v>45470</v>
      </c>
      <c r="C15252" s="1" t="n">
        <v>45736</v>
      </c>
      <c r="D15252" t="inlineStr">
        <is>
          <t>VÄRMLANDS LÄN</t>
        </is>
      </c>
      <c r="E15252" t="inlineStr">
        <is>
          <t>FILIPSTAD</t>
        </is>
      </c>
      <c r="F15252" t="inlineStr">
        <is>
          <t>Bergvik skog väst AB</t>
        </is>
      </c>
      <c r="G15252" t="n">
        <v>7.2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26887-2024</t>
        </is>
      </c>
      <c r="B15253" s="1" t="n">
        <v>45470</v>
      </c>
      <c r="C15253" s="1" t="n">
        <v>45736</v>
      </c>
      <c r="D15253" t="inlineStr">
        <is>
          <t>VÄRMLANDS LÄN</t>
        </is>
      </c>
      <c r="E15253" t="inlineStr">
        <is>
          <t>TORSBY</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26863-2024</t>
        </is>
      </c>
      <c r="B15254" s="1" t="n">
        <v>45470</v>
      </c>
      <c r="C15254" s="1" t="n">
        <v>45736</v>
      </c>
      <c r="D15254" t="inlineStr">
        <is>
          <t>VÄRMLANDS LÄN</t>
        </is>
      </c>
      <c r="E15254" t="inlineStr">
        <is>
          <t>ARVIKA</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26859-2024</t>
        </is>
      </c>
      <c r="B15255" s="1" t="n">
        <v>45470</v>
      </c>
      <c r="C15255" s="1" t="n">
        <v>45736</v>
      </c>
      <c r="D15255" t="inlineStr">
        <is>
          <t>VÄRMLANDS LÄN</t>
        </is>
      </c>
      <c r="E15255" t="inlineStr">
        <is>
          <t>HAGFORS</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26843-2024</t>
        </is>
      </c>
      <c r="B15256" s="1" t="n">
        <v>45470</v>
      </c>
      <c r="C15256" s="1" t="n">
        <v>45736</v>
      </c>
      <c r="D15256" t="inlineStr">
        <is>
          <t>VÄRMLANDS LÄN</t>
        </is>
      </c>
      <c r="E15256" t="inlineStr">
        <is>
          <t>FILIPSTAD</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26811-2024</t>
        </is>
      </c>
      <c r="B15257" s="1" t="n">
        <v>45470</v>
      </c>
      <c r="C15257" s="1" t="n">
        <v>45736</v>
      </c>
      <c r="D15257" t="inlineStr">
        <is>
          <t>VÄRMLANDS LÄN</t>
        </is>
      </c>
      <c r="E15257" t="inlineStr">
        <is>
          <t>FILIPSTAD</t>
        </is>
      </c>
      <c r="F15257" t="inlineStr">
        <is>
          <t>Bergvik skog väst AB</t>
        </is>
      </c>
      <c r="G15257" t="n">
        <v>9.300000000000001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26807-2024</t>
        </is>
      </c>
      <c r="B15258" s="1" t="n">
        <v>45470</v>
      </c>
      <c r="C15258" s="1" t="n">
        <v>45736</v>
      </c>
      <c r="D15258" t="inlineStr">
        <is>
          <t>VÄRMLANDS LÄN</t>
        </is>
      </c>
      <c r="E15258" t="inlineStr">
        <is>
          <t>TORSBY</t>
        </is>
      </c>
      <c r="F15258" t="inlineStr">
        <is>
          <t>Bergvik skog väst AB</t>
        </is>
      </c>
      <c r="G15258" t="n">
        <v>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26799-2024</t>
        </is>
      </c>
      <c r="B15259" s="1" t="n">
        <v>45470</v>
      </c>
      <c r="C15259" s="1" t="n">
        <v>45736</v>
      </c>
      <c r="D15259" t="inlineStr">
        <is>
          <t>VÄRMLANDS LÄN</t>
        </is>
      </c>
      <c r="E15259" t="inlineStr">
        <is>
          <t>TORSBY</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26783-2024</t>
        </is>
      </c>
      <c r="B15260" s="1" t="n">
        <v>45470</v>
      </c>
      <c r="C15260" s="1" t="n">
        <v>45736</v>
      </c>
      <c r="D15260" t="inlineStr">
        <is>
          <t>VÄRMLANDS LÄN</t>
        </is>
      </c>
      <c r="E15260" t="inlineStr">
        <is>
          <t>ÅRJÄNG</t>
        </is>
      </c>
      <c r="F15260" t="inlineStr">
        <is>
          <t>Övriga Aktiebolag</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26677-2024</t>
        </is>
      </c>
      <c r="B15261" s="1" t="n">
        <v>45470</v>
      </c>
      <c r="C15261" s="1" t="n">
        <v>45736</v>
      </c>
      <c r="D15261" t="inlineStr">
        <is>
          <t>VÄRMLANDS LÄN</t>
        </is>
      </c>
      <c r="E15261" t="inlineStr">
        <is>
          <t>SÄFFLE</t>
        </is>
      </c>
      <c r="G15261" t="n">
        <v>4.5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26672-2024</t>
        </is>
      </c>
      <c r="B15262" s="1" t="n">
        <v>45470</v>
      </c>
      <c r="C15262" s="1" t="n">
        <v>45736</v>
      </c>
      <c r="D15262" t="inlineStr">
        <is>
          <t>VÄRMLANDS LÄN</t>
        </is>
      </c>
      <c r="E15262" t="inlineStr">
        <is>
          <t>SUNNE</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26905-2024</t>
        </is>
      </c>
      <c r="B15263" s="1" t="n">
        <v>45470</v>
      </c>
      <c r="C15263" s="1" t="n">
        <v>45736</v>
      </c>
      <c r="D15263" t="inlineStr">
        <is>
          <t>VÄRMLANDS LÄN</t>
        </is>
      </c>
      <c r="E15263" t="inlineStr">
        <is>
          <t>KRISTINEHAMN</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26873-2024</t>
        </is>
      </c>
      <c r="B15264" s="1" t="n">
        <v>45470</v>
      </c>
      <c r="C15264" s="1" t="n">
        <v>45736</v>
      </c>
      <c r="D15264" t="inlineStr">
        <is>
          <t>VÄRMLANDS LÄN</t>
        </is>
      </c>
      <c r="E15264" t="inlineStr">
        <is>
          <t>STORFORS</t>
        </is>
      </c>
      <c r="F15264" t="inlineStr">
        <is>
          <t>Kyrkan</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26869-2024</t>
        </is>
      </c>
      <c r="B15265" s="1" t="n">
        <v>45470</v>
      </c>
      <c r="C15265" s="1" t="n">
        <v>45736</v>
      </c>
      <c r="D15265" t="inlineStr">
        <is>
          <t>VÄRMLANDS LÄN</t>
        </is>
      </c>
      <c r="E15265" t="inlineStr">
        <is>
          <t>FORSHAGA</t>
        </is>
      </c>
      <c r="F15265" t="inlineStr">
        <is>
          <t>Bergvik skog väst AB</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26865-2024</t>
        </is>
      </c>
      <c r="B15266" s="1" t="n">
        <v>45470</v>
      </c>
      <c r="C15266" s="1" t="n">
        <v>45736</v>
      </c>
      <c r="D15266" t="inlineStr">
        <is>
          <t>VÄRMLANDS LÄN</t>
        </is>
      </c>
      <c r="E15266" t="inlineStr">
        <is>
          <t>ÅRJÄNG</t>
        </is>
      </c>
      <c r="F15266" t="inlineStr">
        <is>
          <t>Kyrkan</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26833-2024</t>
        </is>
      </c>
      <c r="B15267" s="1" t="n">
        <v>45470</v>
      </c>
      <c r="C15267" s="1" t="n">
        <v>45736</v>
      </c>
      <c r="D15267" t="inlineStr">
        <is>
          <t>VÄRMLANDS LÄN</t>
        </is>
      </c>
      <c r="E15267" t="inlineStr">
        <is>
          <t>ÅRJÄNG</t>
        </is>
      </c>
      <c r="F15267" t="inlineStr">
        <is>
          <t>Kyrkan</t>
        </is>
      </c>
      <c r="G15267" t="n">
        <v>7.9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26809-2024</t>
        </is>
      </c>
      <c r="B15268" s="1" t="n">
        <v>45470</v>
      </c>
      <c r="C15268" s="1" t="n">
        <v>45736</v>
      </c>
      <c r="D15268" t="inlineStr">
        <is>
          <t>VÄRMLANDS LÄN</t>
        </is>
      </c>
      <c r="E15268" t="inlineStr">
        <is>
          <t>FILIPSTAD</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26801-2024</t>
        </is>
      </c>
      <c r="B15269" s="1" t="n">
        <v>45470</v>
      </c>
      <c r="C15269" s="1" t="n">
        <v>45736</v>
      </c>
      <c r="D15269" t="inlineStr">
        <is>
          <t>VÄRMLANDS LÄN</t>
        </is>
      </c>
      <c r="E15269" t="inlineStr">
        <is>
          <t>SÄFFLE</t>
        </is>
      </c>
      <c r="F15269" t="inlineStr">
        <is>
          <t>Kommuner</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27045-2024</t>
        </is>
      </c>
      <c r="B15270" s="1" t="n">
        <v>45471</v>
      </c>
      <c r="C15270" s="1" t="n">
        <v>45736</v>
      </c>
      <c r="D15270" t="inlineStr">
        <is>
          <t>VÄRMLANDS LÄN</t>
        </is>
      </c>
      <c r="E15270" t="inlineStr">
        <is>
          <t>TORSBY</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27061-2024</t>
        </is>
      </c>
      <c r="B15271" s="1" t="n">
        <v>45471</v>
      </c>
      <c r="C15271" s="1" t="n">
        <v>45736</v>
      </c>
      <c r="D15271" t="inlineStr">
        <is>
          <t>VÄRMLANDS LÄN</t>
        </is>
      </c>
      <c r="E15271" t="inlineStr">
        <is>
          <t>SUNNE</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27069-2024</t>
        </is>
      </c>
      <c r="B15272" s="1" t="n">
        <v>45471</v>
      </c>
      <c r="C15272" s="1" t="n">
        <v>45736</v>
      </c>
      <c r="D15272" t="inlineStr">
        <is>
          <t>VÄRMLANDS LÄN</t>
        </is>
      </c>
      <c r="E15272" t="inlineStr">
        <is>
          <t>MUNKFORS</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26986-2024</t>
        </is>
      </c>
      <c r="B15273" s="1" t="n">
        <v>45471</v>
      </c>
      <c r="C15273" s="1" t="n">
        <v>45736</v>
      </c>
      <c r="D15273" t="inlineStr">
        <is>
          <t>VÄRMLANDS LÄN</t>
        </is>
      </c>
      <c r="E15273" t="inlineStr">
        <is>
          <t>ÅRJÄNG</t>
        </is>
      </c>
      <c r="F15273" t="inlineStr">
        <is>
          <t>Kyrkan</t>
        </is>
      </c>
      <c r="G15273" t="n">
        <v>9.1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27106-2024</t>
        </is>
      </c>
      <c r="B15274" s="1" t="n">
        <v>45471</v>
      </c>
      <c r="C15274" s="1" t="n">
        <v>45736</v>
      </c>
      <c r="D15274" t="inlineStr">
        <is>
          <t>VÄRMLANDS LÄN</t>
        </is>
      </c>
      <c r="E15274" t="inlineStr">
        <is>
          <t>HAGFORS</t>
        </is>
      </c>
      <c r="F15274" t="inlineStr">
        <is>
          <t>Bergvik skog väst AB</t>
        </is>
      </c>
      <c r="G15274" t="n">
        <v>9.199999999999999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27122-2024</t>
        </is>
      </c>
      <c r="B15275" s="1" t="n">
        <v>45471</v>
      </c>
      <c r="C15275" s="1" t="n">
        <v>45736</v>
      </c>
      <c r="D15275" t="inlineStr">
        <is>
          <t>VÄRMLANDS LÄN</t>
        </is>
      </c>
      <c r="E15275" t="inlineStr">
        <is>
          <t>STORFORS</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27129-2024</t>
        </is>
      </c>
      <c r="B15276" s="1" t="n">
        <v>45471</v>
      </c>
      <c r="C15276" s="1" t="n">
        <v>45736</v>
      </c>
      <c r="D15276" t="inlineStr">
        <is>
          <t>VÄRMLANDS LÄN</t>
        </is>
      </c>
      <c r="E15276" t="inlineStr">
        <is>
          <t>FILIPSTAD</t>
        </is>
      </c>
      <c r="F15276" t="inlineStr">
        <is>
          <t>Bergvik skog väst AB</t>
        </is>
      </c>
      <c r="G15276" t="n">
        <v>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27170-2024</t>
        </is>
      </c>
      <c r="B15277" s="1" t="n">
        <v>45471</v>
      </c>
      <c r="C15277" s="1" t="n">
        <v>45736</v>
      </c>
      <c r="D15277" t="inlineStr">
        <is>
          <t>VÄRMLANDS LÄN</t>
        </is>
      </c>
      <c r="E15277" t="inlineStr">
        <is>
          <t>ARVIKA</t>
        </is>
      </c>
      <c r="F15277" t="inlineStr">
        <is>
          <t>Bergvik skog väst AB</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27174-2024</t>
        </is>
      </c>
      <c r="B15278" s="1" t="n">
        <v>45471</v>
      </c>
      <c r="C15278" s="1" t="n">
        <v>45736</v>
      </c>
      <c r="D15278" t="inlineStr">
        <is>
          <t>VÄRMLANDS LÄN</t>
        </is>
      </c>
      <c r="E15278" t="inlineStr">
        <is>
          <t>ÅRJÄNG</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27182-2024</t>
        </is>
      </c>
      <c r="B15279" s="1" t="n">
        <v>45471</v>
      </c>
      <c r="C15279" s="1" t="n">
        <v>45736</v>
      </c>
      <c r="D15279" t="inlineStr">
        <is>
          <t>VÄRMLANDS LÄN</t>
        </is>
      </c>
      <c r="E15279" t="inlineStr">
        <is>
          <t>SUNNE</t>
        </is>
      </c>
      <c r="F15279" t="inlineStr">
        <is>
          <t>Bergvik skog väst AB</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27138-2024</t>
        </is>
      </c>
      <c r="B15280" s="1" t="n">
        <v>45471</v>
      </c>
      <c r="C15280" s="1" t="n">
        <v>45736</v>
      </c>
      <c r="D15280" t="inlineStr">
        <is>
          <t>VÄRMLANDS LÄN</t>
        </is>
      </c>
      <c r="E15280" t="inlineStr">
        <is>
          <t>ÅRJÄNG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27155-2024</t>
        </is>
      </c>
      <c r="B15281" s="1" t="n">
        <v>45471</v>
      </c>
      <c r="C15281" s="1" t="n">
        <v>45736</v>
      </c>
      <c r="D15281" t="inlineStr">
        <is>
          <t>VÄRMLANDS LÄN</t>
        </is>
      </c>
      <c r="E15281" t="inlineStr">
        <is>
          <t>ÅRJÄNG</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27159-2024</t>
        </is>
      </c>
      <c r="B15282" s="1" t="n">
        <v>45471</v>
      </c>
      <c r="C15282" s="1" t="n">
        <v>45736</v>
      </c>
      <c r="D15282" t="inlineStr">
        <is>
          <t>VÄRMLANDS LÄN</t>
        </is>
      </c>
      <c r="E15282" t="inlineStr">
        <is>
          <t>SUNNE</t>
        </is>
      </c>
      <c r="F15282" t="inlineStr">
        <is>
          <t>Bergvik skog väst AB</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27187-2024</t>
        </is>
      </c>
      <c r="B15283" s="1" t="n">
        <v>45471</v>
      </c>
      <c r="C15283" s="1" t="n">
        <v>45736</v>
      </c>
      <c r="D15283" t="inlineStr">
        <is>
          <t>VÄRMLANDS LÄN</t>
        </is>
      </c>
      <c r="E15283" t="inlineStr">
        <is>
          <t>TORSBY</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27055-2024</t>
        </is>
      </c>
      <c r="B15284" s="1" t="n">
        <v>45471</v>
      </c>
      <c r="C15284" s="1" t="n">
        <v>45736</v>
      </c>
      <c r="D15284" t="inlineStr">
        <is>
          <t>VÄRMLANDS LÄN</t>
        </is>
      </c>
      <c r="E15284" t="inlineStr">
        <is>
          <t>KRISTINEHAMN</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27107-2024</t>
        </is>
      </c>
      <c r="B15285" s="1" t="n">
        <v>45471</v>
      </c>
      <c r="C15285" s="1" t="n">
        <v>45736</v>
      </c>
      <c r="D15285" t="inlineStr">
        <is>
          <t>VÄRMLANDS LÄN</t>
        </is>
      </c>
      <c r="E15285" t="inlineStr">
        <is>
          <t>FILIPSTAD</t>
        </is>
      </c>
      <c r="F15285" t="inlineStr">
        <is>
          <t>Bergvik skog väst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27111-2024</t>
        </is>
      </c>
      <c r="B15286" s="1" t="n">
        <v>45471</v>
      </c>
      <c r="C15286" s="1" t="n">
        <v>45736</v>
      </c>
      <c r="D15286" t="inlineStr">
        <is>
          <t>VÄRMLANDS LÄN</t>
        </is>
      </c>
      <c r="E15286" t="inlineStr">
        <is>
          <t>TORSBY</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27115-2024</t>
        </is>
      </c>
      <c r="B15287" s="1" t="n">
        <v>45471</v>
      </c>
      <c r="C15287" s="1" t="n">
        <v>45736</v>
      </c>
      <c r="D15287" t="inlineStr">
        <is>
          <t>VÄRMLANDS LÄN</t>
        </is>
      </c>
      <c r="E15287" t="inlineStr">
        <is>
          <t>TORSBY</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27119-2024</t>
        </is>
      </c>
      <c r="B15288" s="1" t="n">
        <v>45471</v>
      </c>
      <c r="C15288" s="1" t="n">
        <v>45736</v>
      </c>
      <c r="D15288" t="inlineStr">
        <is>
          <t>VÄRMLANDS LÄN</t>
        </is>
      </c>
      <c r="E15288" t="inlineStr">
        <is>
          <t>ARVIKA</t>
        </is>
      </c>
      <c r="F15288" t="inlineStr">
        <is>
          <t>Bergvik skog väst AB</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27123-2024</t>
        </is>
      </c>
      <c r="B15289" s="1" t="n">
        <v>45471</v>
      </c>
      <c r="C15289" s="1" t="n">
        <v>45736</v>
      </c>
      <c r="D15289" t="inlineStr">
        <is>
          <t>VÄRMLANDS LÄN</t>
        </is>
      </c>
      <c r="E15289" t="inlineStr">
        <is>
          <t>ARVIKA</t>
        </is>
      </c>
      <c r="F15289" t="inlineStr">
        <is>
          <t>Bergvik skog väst AB</t>
        </is>
      </c>
      <c r="G15289" t="n">
        <v>5.6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27127-2024</t>
        </is>
      </c>
      <c r="B15290" s="1" t="n">
        <v>45471</v>
      </c>
      <c r="C15290" s="1" t="n">
        <v>45736</v>
      </c>
      <c r="D15290" t="inlineStr">
        <is>
          <t>VÄRMLANDS LÄN</t>
        </is>
      </c>
      <c r="E15290" t="inlineStr">
        <is>
          <t>STORFORS</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27139-2024</t>
        </is>
      </c>
      <c r="B15291" s="1" t="n">
        <v>45471</v>
      </c>
      <c r="C15291" s="1" t="n">
        <v>45736</v>
      </c>
      <c r="D15291" t="inlineStr">
        <is>
          <t>VÄRMLANDS LÄN</t>
        </is>
      </c>
      <c r="E15291" t="inlineStr">
        <is>
          <t>FILIPSTAD</t>
        </is>
      </c>
      <c r="F15291" t="inlineStr">
        <is>
          <t>Bergvik skog väst AB</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27180-2024</t>
        </is>
      </c>
      <c r="B15292" s="1" t="n">
        <v>45471</v>
      </c>
      <c r="C15292" s="1" t="n">
        <v>45736</v>
      </c>
      <c r="D15292" t="inlineStr">
        <is>
          <t>VÄRMLANDS LÄN</t>
        </is>
      </c>
      <c r="E15292" t="inlineStr">
        <is>
          <t>ÅRJÄNG</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27184-2024</t>
        </is>
      </c>
      <c r="B15293" s="1" t="n">
        <v>45471</v>
      </c>
      <c r="C15293" s="1" t="n">
        <v>45736</v>
      </c>
      <c r="D15293" t="inlineStr">
        <is>
          <t>VÄRMLANDS LÄN</t>
        </is>
      </c>
      <c r="E15293" t="inlineStr">
        <is>
          <t>ÅRJÄNG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27201-2024</t>
        </is>
      </c>
      <c r="B15294" s="1" t="n">
        <v>45471</v>
      </c>
      <c r="C15294" s="1" t="n">
        <v>45736</v>
      </c>
      <c r="D15294" t="inlineStr">
        <is>
          <t>VÄRMLANDS LÄN</t>
        </is>
      </c>
      <c r="E15294" t="inlineStr">
        <is>
          <t>KARLSTAD</t>
        </is>
      </c>
      <c r="G15294" t="n">
        <v>8.5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27116-2024</t>
        </is>
      </c>
      <c r="B15295" s="1" t="n">
        <v>45471</v>
      </c>
      <c r="C15295" s="1" t="n">
        <v>45736</v>
      </c>
      <c r="D15295" t="inlineStr">
        <is>
          <t>VÄRMLANDS LÄN</t>
        </is>
      </c>
      <c r="E15295" t="inlineStr">
        <is>
          <t>TORSBY</t>
        </is>
      </c>
      <c r="G15295" t="n">
        <v>0.3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27120-2024</t>
        </is>
      </c>
      <c r="B15296" s="1" t="n">
        <v>45471</v>
      </c>
      <c r="C15296" s="1" t="n">
        <v>45736</v>
      </c>
      <c r="D15296" t="inlineStr">
        <is>
          <t>VÄRMLANDS LÄN</t>
        </is>
      </c>
      <c r="E15296" t="inlineStr">
        <is>
          <t>TORSBY</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27124-2024</t>
        </is>
      </c>
      <c r="B15297" s="1" t="n">
        <v>45471</v>
      </c>
      <c r="C15297" s="1" t="n">
        <v>45736</v>
      </c>
      <c r="D15297" t="inlineStr">
        <is>
          <t>VÄRMLANDS LÄN</t>
        </is>
      </c>
      <c r="E15297" t="inlineStr">
        <is>
          <t>TORSBY</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27144-2024</t>
        </is>
      </c>
      <c r="B15298" s="1" t="n">
        <v>45471</v>
      </c>
      <c r="C15298" s="1" t="n">
        <v>45736</v>
      </c>
      <c r="D15298" t="inlineStr">
        <is>
          <t>VÄRMLANDS LÄN</t>
        </is>
      </c>
      <c r="E15298" t="inlineStr">
        <is>
          <t>TORSBY</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27153-2024</t>
        </is>
      </c>
      <c r="B15299" s="1" t="n">
        <v>45471</v>
      </c>
      <c r="C15299" s="1" t="n">
        <v>45736</v>
      </c>
      <c r="D15299" t="inlineStr">
        <is>
          <t>VÄRMLANDS LÄN</t>
        </is>
      </c>
      <c r="E15299" t="inlineStr">
        <is>
          <t>ARVIKA</t>
        </is>
      </c>
      <c r="F15299" t="inlineStr">
        <is>
          <t>Bergvik skog väst AB</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27233-2024</t>
        </is>
      </c>
      <c r="B15300" s="1" t="n">
        <v>45471</v>
      </c>
      <c r="C15300" s="1" t="n">
        <v>45736</v>
      </c>
      <c r="D15300" t="inlineStr">
        <is>
          <t>VÄRMLANDS LÄN</t>
        </is>
      </c>
      <c r="E15300" t="inlineStr">
        <is>
          <t>SÄFFLE</t>
        </is>
      </c>
      <c r="G15300" t="n">
        <v>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27213-2024</t>
        </is>
      </c>
      <c r="B15301" s="1" t="n">
        <v>45471</v>
      </c>
      <c r="C15301" s="1" t="n">
        <v>45736</v>
      </c>
      <c r="D15301" t="inlineStr">
        <is>
          <t>VÄRMLANDS LÄN</t>
        </is>
      </c>
      <c r="E15301" t="inlineStr">
        <is>
          <t>SUNNE</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27117-2024</t>
        </is>
      </c>
      <c r="B15302" s="1" t="n">
        <v>45471</v>
      </c>
      <c r="C15302" s="1" t="n">
        <v>45736</v>
      </c>
      <c r="D15302" t="inlineStr">
        <is>
          <t>VÄRMLANDS LÄN</t>
        </is>
      </c>
      <c r="E15302" t="inlineStr">
        <is>
          <t>ARVIKA</t>
        </is>
      </c>
      <c r="F15302" t="inlineStr">
        <is>
          <t>Bergvik skog väst AB</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27105-2024</t>
        </is>
      </c>
      <c r="B15303" s="1" t="n">
        <v>45471</v>
      </c>
      <c r="C15303" s="1" t="n">
        <v>45736</v>
      </c>
      <c r="D15303" t="inlineStr">
        <is>
          <t>VÄRMLANDS LÄN</t>
        </is>
      </c>
      <c r="E15303" t="inlineStr">
        <is>
          <t>FILIPSTAD</t>
        </is>
      </c>
      <c r="F15303" t="inlineStr">
        <is>
          <t>Bergvik skog väst AB</t>
        </is>
      </c>
      <c r="G15303" t="n">
        <v>11.9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27101-2024</t>
        </is>
      </c>
      <c r="B15304" s="1" t="n">
        <v>45471</v>
      </c>
      <c r="C15304" s="1" t="n">
        <v>45736</v>
      </c>
      <c r="D15304" t="inlineStr">
        <is>
          <t>VÄRMLANDS LÄN</t>
        </is>
      </c>
      <c r="E15304" t="inlineStr">
        <is>
          <t>TORSBY</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27033-2024</t>
        </is>
      </c>
      <c r="B15305" s="1" t="n">
        <v>45471</v>
      </c>
      <c r="C15305" s="1" t="n">
        <v>45736</v>
      </c>
      <c r="D15305" t="inlineStr">
        <is>
          <t>VÄRMLANDS LÄN</t>
        </is>
      </c>
      <c r="E15305" t="inlineStr">
        <is>
          <t>ARVIKA</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26996-2024</t>
        </is>
      </c>
      <c r="B15306" s="1" t="n">
        <v>45471</v>
      </c>
      <c r="C15306" s="1" t="n">
        <v>45736</v>
      </c>
      <c r="D15306" t="inlineStr">
        <is>
          <t>VÄRMLANDS LÄN</t>
        </is>
      </c>
      <c r="E15306" t="inlineStr">
        <is>
          <t>KARLSTAD</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27126-2024</t>
        </is>
      </c>
      <c r="B15307" s="1" t="n">
        <v>45471</v>
      </c>
      <c r="C15307" s="1" t="n">
        <v>45736</v>
      </c>
      <c r="D15307" t="inlineStr">
        <is>
          <t>VÄRMLANDS LÄN</t>
        </is>
      </c>
      <c r="E15307" t="inlineStr">
        <is>
          <t>ARVIKA</t>
        </is>
      </c>
      <c r="F15307" t="inlineStr">
        <is>
          <t>Bergvik skog väst AB</t>
        </is>
      </c>
      <c r="G15307" t="n">
        <v>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26991-2024</t>
        </is>
      </c>
      <c r="B15308" s="1" t="n">
        <v>45471</v>
      </c>
      <c r="C15308" s="1" t="n">
        <v>45736</v>
      </c>
      <c r="D15308" t="inlineStr">
        <is>
          <t>VÄRMLANDS LÄN</t>
        </is>
      </c>
      <c r="E15308" t="inlineStr">
        <is>
          <t>FILIPSTAD</t>
        </is>
      </c>
      <c r="F15308" t="inlineStr">
        <is>
          <t>Bergvik skog väst AB</t>
        </is>
      </c>
      <c r="G15308" t="n">
        <v>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26975-2024</t>
        </is>
      </c>
      <c r="B15309" s="1" t="n">
        <v>45471</v>
      </c>
      <c r="C15309" s="1" t="n">
        <v>45736</v>
      </c>
      <c r="D15309" t="inlineStr">
        <is>
          <t>VÄRMLANDS LÄN</t>
        </is>
      </c>
      <c r="E15309" t="inlineStr">
        <is>
          <t>FILIPSTAD</t>
        </is>
      </c>
      <c r="F15309" t="inlineStr">
        <is>
          <t>Bergvik skog väst AB</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27090-2024</t>
        </is>
      </c>
      <c r="B15310" s="1" t="n">
        <v>45471</v>
      </c>
      <c r="C15310" s="1" t="n">
        <v>45736</v>
      </c>
      <c r="D15310" t="inlineStr">
        <is>
          <t>VÄRMLANDS LÄN</t>
        </is>
      </c>
      <c r="E15310" t="inlineStr">
        <is>
          <t>TORSBY</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27086-2024</t>
        </is>
      </c>
      <c r="B15311" s="1" t="n">
        <v>45471</v>
      </c>
      <c r="C15311" s="1" t="n">
        <v>45736</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27078-2024</t>
        </is>
      </c>
      <c r="B15312" s="1" t="n">
        <v>45471</v>
      </c>
      <c r="C15312" s="1" t="n">
        <v>45736</v>
      </c>
      <c r="D15312" t="inlineStr">
        <is>
          <t>VÄRMLANDS LÄN</t>
        </is>
      </c>
      <c r="E15312" t="inlineStr">
        <is>
          <t>TORSBY</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27074-2024</t>
        </is>
      </c>
      <c r="B15313" s="1" t="n">
        <v>45471</v>
      </c>
      <c r="C15313" s="1" t="n">
        <v>45736</v>
      </c>
      <c r="D15313" t="inlineStr">
        <is>
          <t>VÄRMLANDS LÄN</t>
        </is>
      </c>
      <c r="E15313" t="inlineStr">
        <is>
          <t>SUNNE</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27270-2024</t>
        </is>
      </c>
      <c r="B15314" s="1" t="n">
        <v>45471</v>
      </c>
      <c r="C15314" s="1" t="n">
        <v>45736</v>
      </c>
      <c r="D15314" t="inlineStr">
        <is>
          <t>VÄRMLANDS LÄN</t>
        </is>
      </c>
      <c r="E15314" t="inlineStr">
        <is>
          <t>TORSBY</t>
        </is>
      </c>
      <c r="G15314" t="n">
        <v>6.9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27291-2024</t>
        </is>
      </c>
      <c r="B15315" s="1" t="n">
        <v>45472</v>
      </c>
      <c r="C15315" s="1" t="n">
        <v>45736</v>
      </c>
      <c r="D15315" t="inlineStr">
        <is>
          <t>VÄRMLANDS LÄN</t>
        </is>
      </c>
      <c r="E15315" t="inlineStr">
        <is>
          <t>TORSBY</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27227-2024</t>
        </is>
      </c>
      <c r="B15316" s="1" t="n">
        <v>45471</v>
      </c>
      <c r="C15316" s="1" t="n">
        <v>45736</v>
      </c>
      <c r="D15316" t="inlineStr">
        <is>
          <t>VÄRMLANDS LÄN</t>
        </is>
      </c>
      <c r="E15316" t="inlineStr">
        <is>
          <t>SÄFFLE</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27231-2024</t>
        </is>
      </c>
      <c r="B15317" s="1" t="n">
        <v>45471</v>
      </c>
      <c r="C15317" s="1" t="n">
        <v>45736</v>
      </c>
      <c r="D15317" t="inlineStr">
        <is>
          <t>VÄRMLANDS LÄN</t>
        </is>
      </c>
      <c r="E15317" t="inlineStr">
        <is>
          <t>SÄFFLE</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27243-2024</t>
        </is>
      </c>
      <c r="B15318" s="1" t="n">
        <v>45471</v>
      </c>
      <c r="C15318" s="1" t="n">
        <v>45736</v>
      </c>
      <c r="D15318" t="inlineStr">
        <is>
          <t>VÄRMLANDS LÄN</t>
        </is>
      </c>
      <c r="E15318" t="inlineStr">
        <is>
          <t>SÄFFLE</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27136-2024</t>
        </is>
      </c>
      <c r="B15319" s="1" t="n">
        <v>45471</v>
      </c>
      <c r="C15319" s="1" t="n">
        <v>45736</v>
      </c>
      <c r="D15319" t="inlineStr">
        <is>
          <t>VÄRMLANDS LÄN</t>
        </is>
      </c>
      <c r="E15319" t="inlineStr">
        <is>
          <t>ÅRJÄNG</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27112-2024</t>
        </is>
      </c>
      <c r="B15320" s="1" t="n">
        <v>45471</v>
      </c>
      <c r="C15320" s="1" t="n">
        <v>45736</v>
      </c>
      <c r="D15320" t="inlineStr">
        <is>
          <t>VÄRMLANDS LÄN</t>
        </is>
      </c>
      <c r="E15320" t="inlineStr">
        <is>
          <t>ARVIKA</t>
        </is>
      </c>
      <c r="F15320" t="inlineStr">
        <is>
          <t>Bergvik skog väst AB</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27108-2024</t>
        </is>
      </c>
      <c r="B15321" s="1" t="n">
        <v>45471</v>
      </c>
      <c r="C15321" s="1" t="n">
        <v>45736</v>
      </c>
      <c r="D15321" t="inlineStr">
        <is>
          <t>VÄRMLANDS LÄN</t>
        </is>
      </c>
      <c r="E15321" t="inlineStr">
        <is>
          <t>ARVIKA</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27100-2024</t>
        </is>
      </c>
      <c r="B15322" s="1" t="n">
        <v>45471</v>
      </c>
      <c r="C15322" s="1" t="n">
        <v>45736</v>
      </c>
      <c r="D15322" t="inlineStr">
        <is>
          <t>VÄRMLANDS LÄN</t>
        </is>
      </c>
      <c r="E15322" t="inlineStr">
        <is>
          <t>SUNNE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27096-2024</t>
        </is>
      </c>
      <c r="B15323" s="1" t="n">
        <v>45471</v>
      </c>
      <c r="C15323" s="1" t="n">
        <v>45736</v>
      </c>
      <c r="D15323" t="inlineStr">
        <is>
          <t>VÄRMLANDS LÄN</t>
        </is>
      </c>
      <c r="E15323" t="inlineStr">
        <is>
          <t>TORSBY</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27016-2024</t>
        </is>
      </c>
      <c r="B15324" s="1" t="n">
        <v>45471</v>
      </c>
      <c r="C15324" s="1" t="n">
        <v>45736</v>
      </c>
      <c r="D15324" t="inlineStr">
        <is>
          <t>VÄRMLANDS LÄN</t>
        </is>
      </c>
      <c r="E15324" t="inlineStr">
        <is>
          <t>SÄFFLE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26999-2024</t>
        </is>
      </c>
      <c r="B15325" s="1" t="n">
        <v>45471</v>
      </c>
      <c r="C15325" s="1" t="n">
        <v>45736</v>
      </c>
      <c r="D15325" t="inlineStr">
        <is>
          <t>VÄRMLANDS LÄN</t>
        </is>
      </c>
      <c r="E15325" t="inlineStr">
        <is>
          <t>SUNNE</t>
        </is>
      </c>
      <c r="F15325" t="inlineStr">
        <is>
          <t>Bergvik skog väst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26995-2024</t>
        </is>
      </c>
      <c r="B15326" s="1" t="n">
        <v>45471</v>
      </c>
      <c r="C15326" s="1" t="n">
        <v>45736</v>
      </c>
      <c r="D15326" t="inlineStr">
        <is>
          <t>VÄRMLANDS LÄN</t>
        </is>
      </c>
      <c r="E15326" t="inlineStr">
        <is>
          <t>SUNNE</t>
        </is>
      </c>
      <c r="F15326" t="inlineStr">
        <is>
          <t>Bergvik skog väst AB</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26974-2024</t>
        </is>
      </c>
      <c r="B15327" s="1" t="n">
        <v>45471</v>
      </c>
      <c r="C15327" s="1" t="n">
        <v>45736</v>
      </c>
      <c r="D15327" t="inlineStr">
        <is>
          <t>VÄRMLANDS LÄN</t>
        </is>
      </c>
      <c r="E15327" t="inlineStr">
        <is>
          <t>FILIPSTAD</t>
        </is>
      </c>
      <c r="F15327" t="inlineStr">
        <is>
          <t>Bergvik skog väst AB</t>
        </is>
      </c>
      <c r="G15327" t="n">
        <v>5.2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27273-2024</t>
        </is>
      </c>
      <c r="B15328" s="1" t="n">
        <v>45471</v>
      </c>
      <c r="C15328" s="1" t="n">
        <v>45736</v>
      </c>
      <c r="D15328" t="inlineStr">
        <is>
          <t>VÄRMLANDS LÄN</t>
        </is>
      </c>
      <c r="E15328" t="inlineStr">
        <is>
          <t>TORSBY</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27038-2024</t>
        </is>
      </c>
      <c r="B15329" s="1" t="n">
        <v>45471</v>
      </c>
      <c r="C15329" s="1" t="n">
        <v>45736</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26972-2024</t>
        </is>
      </c>
      <c r="B15330" s="1" t="n">
        <v>45471</v>
      </c>
      <c r="C15330" s="1" t="n">
        <v>45736</v>
      </c>
      <c r="D15330" t="inlineStr">
        <is>
          <t>VÄRMLANDS LÄN</t>
        </is>
      </c>
      <c r="E15330" t="inlineStr">
        <is>
          <t>ARVIKA</t>
        </is>
      </c>
      <c r="F15330" t="inlineStr">
        <is>
          <t>Bergvik skog väst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27275-2024</t>
        </is>
      </c>
      <c r="B15331" s="1" t="n">
        <v>45471</v>
      </c>
      <c r="C15331" s="1" t="n">
        <v>45736</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27292-2024</t>
        </is>
      </c>
      <c r="B15332" s="1" t="n">
        <v>45472</v>
      </c>
      <c r="C15332" s="1" t="n">
        <v>45736</v>
      </c>
      <c r="D15332" t="inlineStr">
        <is>
          <t>VÄRMLANDS LÄN</t>
        </is>
      </c>
      <c r="E15332" t="inlineStr">
        <is>
          <t>TORSBY</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27371-2024</t>
        </is>
      </c>
      <c r="B15333" s="1" t="n">
        <v>45473</v>
      </c>
      <c r="C15333" s="1" t="n">
        <v>45736</v>
      </c>
      <c r="D15333" t="inlineStr">
        <is>
          <t>VÄRMLANDS LÄN</t>
        </is>
      </c>
      <c r="E15333" t="inlineStr">
        <is>
          <t>HAGFORS</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27363-2024</t>
        </is>
      </c>
      <c r="B15334" s="1" t="n">
        <v>45473</v>
      </c>
      <c r="C15334" s="1" t="n">
        <v>45736</v>
      </c>
      <c r="D15334" t="inlineStr">
        <is>
          <t>VÄRMLANDS LÄN</t>
        </is>
      </c>
      <c r="E15334" t="inlineStr">
        <is>
          <t>TORSBY</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27347-2024</t>
        </is>
      </c>
      <c r="B15335" s="1" t="n">
        <v>45473</v>
      </c>
      <c r="C15335" s="1" t="n">
        <v>45736</v>
      </c>
      <c r="D15335" t="inlineStr">
        <is>
          <t>VÄRMLANDS LÄN</t>
        </is>
      </c>
      <c r="E15335" t="inlineStr">
        <is>
          <t>TORSBY</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27364-2024</t>
        </is>
      </c>
      <c r="B15336" s="1" t="n">
        <v>45473</v>
      </c>
      <c r="C15336" s="1" t="n">
        <v>45736</v>
      </c>
      <c r="D15336" t="inlineStr">
        <is>
          <t>VÄRMLANDS LÄN</t>
        </is>
      </c>
      <c r="E15336" t="inlineStr">
        <is>
          <t>KIL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27360-2024</t>
        </is>
      </c>
      <c r="B15337" s="1" t="n">
        <v>45473</v>
      </c>
      <c r="C15337" s="1" t="n">
        <v>45736</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27352-2024</t>
        </is>
      </c>
      <c r="B15338" s="1" t="n">
        <v>45473</v>
      </c>
      <c r="C15338" s="1" t="n">
        <v>45736</v>
      </c>
      <c r="D15338" t="inlineStr">
        <is>
          <t>VÄRMLANDS LÄN</t>
        </is>
      </c>
      <c r="E15338" t="inlineStr">
        <is>
          <t>TORSBY</t>
        </is>
      </c>
      <c r="G15338" t="n">
        <v>6.3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27358-2024</t>
        </is>
      </c>
      <c r="B15339" s="1" t="n">
        <v>45473</v>
      </c>
      <c r="C15339" s="1" t="n">
        <v>45736</v>
      </c>
      <c r="D15339" t="inlineStr">
        <is>
          <t>VÄRMLANDS LÄN</t>
        </is>
      </c>
      <c r="E15339" t="inlineStr">
        <is>
          <t>TORSBY</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27346-2024</t>
        </is>
      </c>
      <c r="B15340" s="1" t="n">
        <v>45473</v>
      </c>
      <c r="C15340" s="1" t="n">
        <v>45736</v>
      </c>
      <c r="D15340" t="inlineStr">
        <is>
          <t>VÄRMLANDS LÄN</t>
        </is>
      </c>
      <c r="E15340" t="inlineStr">
        <is>
          <t>TORSBY</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27349-2024</t>
        </is>
      </c>
      <c r="B15341" s="1" t="n">
        <v>45473</v>
      </c>
      <c r="C15341" s="1" t="n">
        <v>45736</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27400-2024</t>
        </is>
      </c>
      <c r="B15342" s="1" t="n">
        <v>45474</v>
      </c>
      <c r="C15342" s="1" t="n">
        <v>45736</v>
      </c>
      <c r="D15342" t="inlineStr">
        <is>
          <t>VÄRMLANDS LÄN</t>
        </is>
      </c>
      <c r="E15342" t="inlineStr">
        <is>
          <t>FILIPSTAD</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27443-2024</t>
        </is>
      </c>
      <c r="B15343" s="1" t="n">
        <v>45474</v>
      </c>
      <c r="C15343" s="1" t="n">
        <v>45736</v>
      </c>
      <c r="D15343" t="inlineStr">
        <is>
          <t>VÄRMLANDS LÄN</t>
        </is>
      </c>
      <c r="E15343" t="inlineStr">
        <is>
          <t>GRUMS</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27447-2024</t>
        </is>
      </c>
      <c r="B15344" s="1" t="n">
        <v>45474</v>
      </c>
      <c r="C15344" s="1" t="n">
        <v>45736</v>
      </c>
      <c r="D15344" t="inlineStr">
        <is>
          <t>VÄRMLANDS LÄN</t>
        </is>
      </c>
      <c r="E15344" t="inlineStr">
        <is>
          <t>ARVIKA</t>
        </is>
      </c>
      <c r="F15344" t="inlineStr">
        <is>
          <t>Bergvik skog väst AB</t>
        </is>
      </c>
      <c r="G15344" t="n">
        <v>11.5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27451-2024</t>
        </is>
      </c>
      <c r="B15345" s="1" t="n">
        <v>45474</v>
      </c>
      <c r="C15345" s="1" t="n">
        <v>45736</v>
      </c>
      <c r="D15345" t="inlineStr">
        <is>
          <t>VÄRMLANDS LÄN</t>
        </is>
      </c>
      <c r="E15345" t="inlineStr">
        <is>
          <t>SUNNE</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27484-2024</t>
        </is>
      </c>
      <c r="B15346" s="1" t="n">
        <v>45474</v>
      </c>
      <c r="C15346" s="1" t="n">
        <v>45736</v>
      </c>
      <c r="D15346" t="inlineStr">
        <is>
          <t>VÄRMLANDS LÄN</t>
        </is>
      </c>
      <c r="E15346" t="inlineStr">
        <is>
          <t>KARLSTAD</t>
        </is>
      </c>
      <c r="F15346" t="inlineStr">
        <is>
          <t>Bergvik skog väst AB</t>
        </is>
      </c>
      <c r="G15346" t="n">
        <v>0.2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27548-2024</t>
        </is>
      </c>
      <c r="B15347" s="1" t="n">
        <v>45474</v>
      </c>
      <c r="C15347" s="1" t="n">
        <v>45736</v>
      </c>
      <c r="D15347" t="inlineStr">
        <is>
          <t>VÄRMLANDS LÄN</t>
        </is>
      </c>
      <c r="E15347" t="inlineStr">
        <is>
          <t>TORSBY</t>
        </is>
      </c>
      <c r="F15347" t="inlineStr">
        <is>
          <t>Bergvik skog väst AB</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27398-2024</t>
        </is>
      </c>
      <c r="B15348" s="1" t="n">
        <v>45474</v>
      </c>
      <c r="C15348" s="1" t="n">
        <v>45736</v>
      </c>
      <c r="D15348" t="inlineStr">
        <is>
          <t>VÄRMLANDS LÄN</t>
        </is>
      </c>
      <c r="E15348" t="inlineStr">
        <is>
          <t>GRUMS</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27419-2024</t>
        </is>
      </c>
      <c r="B15349" s="1" t="n">
        <v>45474</v>
      </c>
      <c r="C15349" s="1" t="n">
        <v>45736</v>
      </c>
      <c r="D15349" t="inlineStr">
        <is>
          <t>VÄRMLANDS LÄN</t>
        </is>
      </c>
      <c r="E15349" t="inlineStr">
        <is>
          <t>ARVIKA</t>
        </is>
      </c>
      <c r="F15349" t="inlineStr">
        <is>
          <t>Bergvik skog väst AB</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27444-2024</t>
        </is>
      </c>
      <c r="B15350" s="1" t="n">
        <v>45474</v>
      </c>
      <c r="C15350" s="1" t="n">
        <v>45736</v>
      </c>
      <c r="D15350" t="inlineStr">
        <is>
          <t>VÄRMLANDS LÄN</t>
        </is>
      </c>
      <c r="E15350" t="inlineStr">
        <is>
          <t>SÄFFLE</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27487-2024</t>
        </is>
      </c>
      <c r="B15351" s="1" t="n">
        <v>45474</v>
      </c>
      <c r="C15351" s="1" t="n">
        <v>45736</v>
      </c>
      <c r="D15351" t="inlineStr">
        <is>
          <t>VÄRMLANDS LÄN</t>
        </is>
      </c>
      <c r="E15351" t="inlineStr">
        <is>
          <t>SUNNE</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27615-2024</t>
        </is>
      </c>
      <c r="B15352" s="1" t="n">
        <v>45474</v>
      </c>
      <c r="C15352" s="1" t="n">
        <v>45736</v>
      </c>
      <c r="D15352" t="inlineStr">
        <is>
          <t>VÄRMLANDS LÄN</t>
        </is>
      </c>
      <c r="E15352" t="inlineStr">
        <is>
          <t>TORSBY</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27522-2024</t>
        </is>
      </c>
      <c r="B15353" s="1" t="n">
        <v>45474</v>
      </c>
      <c r="C15353" s="1" t="n">
        <v>45736</v>
      </c>
      <c r="D15353" t="inlineStr">
        <is>
          <t>VÄRMLANDS LÄN</t>
        </is>
      </c>
      <c r="E15353" t="inlineStr">
        <is>
          <t>EDA</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27554-2024</t>
        </is>
      </c>
      <c r="B15354" s="1" t="n">
        <v>45474</v>
      </c>
      <c r="C15354" s="1" t="n">
        <v>45736</v>
      </c>
      <c r="D15354" t="inlineStr">
        <is>
          <t>VÄRMLANDS LÄN</t>
        </is>
      </c>
      <c r="E15354" t="inlineStr">
        <is>
          <t>TORSBY</t>
        </is>
      </c>
      <c r="F15354" t="inlineStr">
        <is>
          <t>Bergvik skog väst AB</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27578-2024</t>
        </is>
      </c>
      <c r="B15355" s="1" t="n">
        <v>45474</v>
      </c>
      <c r="C15355" s="1" t="n">
        <v>45736</v>
      </c>
      <c r="D15355" t="inlineStr">
        <is>
          <t>VÄRMLANDS LÄN</t>
        </is>
      </c>
      <c r="E15355" t="inlineStr">
        <is>
          <t>ARVIKA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27618-2024</t>
        </is>
      </c>
      <c r="B15356" s="1" t="n">
        <v>45474</v>
      </c>
      <c r="C15356" s="1" t="n">
        <v>45736</v>
      </c>
      <c r="D15356" t="inlineStr">
        <is>
          <t>VÄRMLANDS LÄN</t>
        </is>
      </c>
      <c r="E15356" t="inlineStr">
        <is>
          <t>ARVIKA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27588-2024</t>
        </is>
      </c>
      <c r="B15357" s="1" t="n">
        <v>45474</v>
      </c>
      <c r="C15357" s="1" t="n">
        <v>45736</v>
      </c>
      <c r="D15357" t="inlineStr">
        <is>
          <t>VÄRMLANDS LÄN</t>
        </is>
      </c>
      <c r="E15357" t="inlineStr">
        <is>
          <t>TORSBY</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27692-2024</t>
        </is>
      </c>
      <c r="B15358" s="1" t="n">
        <v>45474</v>
      </c>
      <c r="C15358" s="1" t="n">
        <v>45736</v>
      </c>
      <c r="D15358" t="inlineStr">
        <is>
          <t>VÄRMLANDS LÄN</t>
        </is>
      </c>
      <c r="E15358" t="inlineStr">
        <is>
          <t>ÅRJÄNG</t>
        </is>
      </c>
      <c r="F15358" t="inlineStr">
        <is>
          <t>Övriga Aktiebolag</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27686-2024</t>
        </is>
      </c>
      <c r="B15359" s="1" t="n">
        <v>45474</v>
      </c>
      <c r="C15359" s="1" t="n">
        <v>45736</v>
      </c>
      <c r="D15359" t="inlineStr">
        <is>
          <t>VÄRMLANDS LÄN</t>
        </is>
      </c>
      <c r="E15359" t="inlineStr">
        <is>
          <t>ÅRJÄNG</t>
        </is>
      </c>
      <c r="F15359" t="inlineStr">
        <is>
          <t>Övriga Aktiebolag</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27481-2024</t>
        </is>
      </c>
      <c r="B15360" s="1" t="n">
        <v>45474</v>
      </c>
      <c r="C15360" s="1" t="n">
        <v>45736</v>
      </c>
      <c r="D15360" t="inlineStr">
        <is>
          <t>VÄRMLANDS LÄN</t>
        </is>
      </c>
      <c r="E15360" t="inlineStr">
        <is>
          <t>HAGFORS</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27501-2024</t>
        </is>
      </c>
      <c r="B15361" s="1" t="n">
        <v>45474</v>
      </c>
      <c r="C15361" s="1" t="n">
        <v>45736</v>
      </c>
      <c r="D15361" t="inlineStr">
        <is>
          <t>VÄRMLANDS LÄN</t>
        </is>
      </c>
      <c r="E15361" t="inlineStr">
        <is>
          <t>TORSBY</t>
        </is>
      </c>
      <c r="F15361" t="inlineStr">
        <is>
          <t>Bergvik skog väst AB</t>
        </is>
      </c>
      <c r="G15361" t="n">
        <v>14.4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27529-2024</t>
        </is>
      </c>
      <c r="B15362" s="1" t="n">
        <v>45474</v>
      </c>
      <c r="C15362" s="1" t="n">
        <v>45736</v>
      </c>
      <c r="D15362" t="inlineStr">
        <is>
          <t>VÄRMLANDS LÄN</t>
        </is>
      </c>
      <c r="E15362" t="inlineStr">
        <is>
          <t>TORSBY</t>
        </is>
      </c>
      <c r="F15362" t="inlineStr">
        <is>
          <t>Bergvik skog väst AB</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27537-2024</t>
        </is>
      </c>
      <c r="B15363" s="1" t="n">
        <v>45474</v>
      </c>
      <c r="C15363" s="1" t="n">
        <v>45736</v>
      </c>
      <c r="D15363" t="inlineStr">
        <is>
          <t>VÄRMLANDS LÄN</t>
        </is>
      </c>
      <c r="E15363" t="inlineStr">
        <is>
          <t>TORSBY</t>
        </is>
      </c>
      <c r="F15363" t="inlineStr">
        <is>
          <t>Bergvik skog väst AB</t>
        </is>
      </c>
      <c r="G15363" t="n">
        <v>9.300000000000001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27569-2024</t>
        </is>
      </c>
      <c r="B15364" s="1" t="n">
        <v>45474</v>
      </c>
      <c r="C15364" s="1" t="n">
        <v>45736</v>
      </c>
      <c r="D15364" t="inlineStr">
        <is>
          <t>VÄRMLANDS LÄN</t>
        </is>
      </c>
      <c r="E15364" t="inlineStr">
        <is>
          <t>KARLSTAD</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27573-2024</t>
        </is>
      </c>
      <c r="B15365" s="1" t="n">
        <v>45474</v>
      </c>
      <c r="C15365" s="1" t="n">
        <v>45736</v>
      </c>
      <c r="D15365" t="inlineStr">
        <is>
          <t>VÄRMLANDS LÄN</t>
        </is>
      </c>
      <c r="E15365" t="inlineStr">
        <is>
          <t>TORSBY</t>
        </is>
      </c>
      <c r="F15365" t="inlineStr">
        <is>
          <t>Bergvik skog väst AB</t>
        </is>
      </c>
      <c r="G15365" t="n">
        <v>4.5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27617-2024</t>
        </is>
      </c>
      <c r="B15366" s="1" t="n">
        <v>45474</v>
      </c>
      <c r="C15366" s="1" t="n">
        <v>45736</v>
      </c>
      <c r="D15366" t="inlineStr">
        <is>
          <t>VÄRMLANDS LÄN</t>
        </is>
      </c>
      <c r="E15366" t="inlineStr">
        <is>
          <t>ARVIKA</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27826-2024</t>
        </is>
      </c>
      <c r="B15367" s="1" t="n">
        <v>45475</v>
      </c>
      <c r="C15367" s="1" t="n">
        <v>45736</v>
      </c>
      <c r="D15367" t="inlineStr">
        <is>
          <t>VÄRMLANDS LÄN</t>
        </is>
      </c>
      <c r="E15367" t="inlineStr">
        <is>
          <t>HAGFORS</t>
        </is>
      </c>
      <c r="F15367" t="inlineStr">
        <is>
          <t>Bergvik skog väst AB</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27790-2024</t>
        </is>
      </c>
      <c r="B15368" s="1" t="n">
        <v>45475</v>
      </c>
      <c r="C15368" s="1" t="n">
        <v>45736</v>
      </c>
      <c r="D15368" t="inlineStr">
        <is>
          <t>VÄRMLANDS LÄN</t>
        </is>
      </c>
      <c r="E15368" t="inlineStr">
        <is>
          <t>TORSBY</t>
        </is>
      </c>
      <c r="F15368" t="inlineStr">
        <is>
          <t>Bergvik skog väst AB</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27754-2024</t>
        </is>
      </c>
      <c r="B15369" s="1" t="n">
        <v>45475</v>
      </c>
      <c r="C15369" s="1" t="n">
        <v>45736</v>
      </c>
      <c r="D15369" t="inlineStr">
        <is>
          <t>VÄRMLANDS LÄN</t>
        </is>
      </c>
      <c r="E15369" t="inlineStr">
        <is>
          <t>ÅRJÄNG</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27750-2024</t>
        </is>
      </c>
      <c r="B15370" s="1" t="n">
        <v>45475</v>
      </c>
      <c r="C15370" s="1" t="n">
        <v>45736</v>
      </c>
      <c r="D15370" t="inlineStr">
        <is>
          <t>VÄRMLANDS LÄN</t>
        </is>
      </c>
      <c r="E15370" t="inlineStr">
        <is>
          <t>HAGFORS</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27678-2024</t>
        </is>
      </c>
      <c r="B15371" s="1" t="n">
        <v>45475</v>
      </c>
      <c r="C15371" s="1" t="n">
        <v>45736</v>
      </c>
      <c r="D15371" t="inlineStr">
        <is>
          <t>VÄRMLANDS LÄN</t>
        </is>
      </c>
      <c r="E15371" t="inlineStr">
        <is>
          <t>TORSBY</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27680-2024</t>
        </is>
      </c>
      <c r="B15372" s="1" t="n">
        <v>45475</v>
      </c>
      <c r="C15372" s="1" t="n">
        <v>45736</v>
      </c>
      <c r="D15372" t="inlineStr">
        <is>
          <t>VÄRMLANDS LÄN</t>
        </is>
      </c>
      <c r="E15372" t="inlineStr">
        <is>
          <t>EDA</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27756-2024</t>
        </is>
      </c>
      <c r="B15373" s="1" t="n">
        <v>45475</v>
      </c>
      <c r="C15373" s="1" t="n">
        <v>45736</v>
      </c>
      <c r="D15373" t="inlineStr">
        <is>
          <t>VÄRMLANDS LÄN</t>
        </is>
      </c>
      <c r="E15373" t="inlineStr">
        <is>
          <t>HAGFORS</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27792-2024</t>
        </is>
      </c>
      <c r="B15374" s="1" t="n">
        <v>45475</v>
      </c>
      <c r="C15374" s="1" t="n">
        <v>45736</v>
      </c>
      <c r="D15374" t="inlineStr">
        <is>
          <t>VÄRMLANDS LÄN</t>
        </is>
      </c>
      <c r="E15374" t="inlineStr">
        <is>
          <t>SUNNE</t>
        </is>
      </c>
      <c r="F15374" t="inlineStr">
        <is>
          <t>Bergvik skog väst AB</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27824-2024</t>
        </is>
      </c>
      <c r="B15375" s="1" t="n">
        <v>45475</v>
      </c>
      <c r="C15375" s="1" t="n">
        <v>45736</v>
      </c>
      <c r="D15375" t="inlineStr">
        <is>
          <t>VÄRMLANDS LÄN</t>
        </is>
      </c>
      <c r="E15375" t="inlineStr">
        <is>
          <t>TORSBY</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27739-2024</t>
        </is>
      </c>
      <c r="B15376" s="1" t="n">
        <v>45475</v>
      </c>
      <c r="C15376" s="1" t="n">
        <v>45736</v>
      </c>
      <c r="D15376" t="inlineStr">
        <is>
          <t>VÄRMLANDS LÄN</t>
        </is>
      </c>
      <c r="E15376" t="inlineStr">
        <is>
          <t>HAGFORS</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27697-2024</t>
        </is>
      </c>
      <c r="B15377" s="1" t="n">
        <v>45475</v>
      </c>
      <c r="C15377" s="1" t="n">
        <v>45736</v>
      </c>
      <c r="D15377" t="inlineStr">
        <is>
          <t>VÄRMLANDS LÄN</t>
        </is>
      </c>
      <c r="E15377" t="inlineStr">
        <is>
          <t>ÅRJÄNG</t>
        </is>
      </c>
      <c r="G15377" t="n">
        <v>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27688-2024</t>
        </is>
      </c>
      <c r="B15378" s="1" t="n">
        <v>45475</v>
      </c>
      <c r="C15378" s="1" t="n">
        <v>45736</v>
      </c>
      <c r="D15378" t="inlineStr">
        <is>
          <t>VÄRMLANDS LÄN</t>
        </is>
      </c>
      <c r="E15378" t="inlineStr">
        <is>
          <t>EDA</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27682-2024</t>
        </is>
      </c>
      <c r="B15379" s="1" t="n">
        <v>45475</v>
      </c>
      <c r="C15379" s="1" t="n">
        <v>45736</v>
      </c>
      <c r="D15379" t="inlineStr">
        <is>
          <t>VÄRMLANDS LÄN</t>
        </is>
      </c>
      <c r="E15379" t="inlineStr">
        <is>
          <t>KARLSTAD</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27677-2024</t>
        </is>
      </c>
      <c r="B15380" s="1" t="n">
        <v>45475</v>
      </c>
      <c r="C15380" s="1" t="n">
        <v>45736</v>
      </c>
      <c r="D15380" t="inlineStr">
        <is>
          <t>VÄRMLANDS LÄN</t>
        </is>
      </c>
      <c r="E15380" t="inlineStr">
        <is>
          <t>TORSBY</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27827-2024</t>
        </is>
      </c>
      <c r="B15381" s="1" t="n">
        <v>45475</v>
      </c>
      <c r="C15381" s="1" t="n">
        <v>45736</v>
      </c>
      <c r="D15381" t="inlineStr">
        <is>
          <t>VÄRMLANDS LÄN</t>
        </is>
      </c>
      <c r="E15381" t="inlineStr">
        <is>
          <t>HAGFORS</t>
        </is>
      </c>
      <c r="F15381" t="inlineStr">
        <is>
          <t>Bergvik skog väst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28102-2024</t>
        </is>
      </c>
      <c r="B15382" s="1" t="n">
        <v>45476</v>
      </c>
      <c r="C15382" s="1" t="n">
        <v>45736</v>
      </c>
      <c r="D15382" t="inlineStr">
        <is>
          <t>VÄRMLANDS LÄN</t>
        </is>
      </c>
      <c r="E15382" t="inlineStr">
        <is>
          <t>TORSBY</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28034-2024</t>
        </is>
      </c>
      <c r="B15383" s="1" t="n">
        <v>45476</v>
      </c>
      <c r="C15383" s="1" t="n">
        <v>45736</v>
      </c>
      <c r="D15383" t="inlineStr">
        <is>
          <t>VÄRMLANDS LÄN</t>
        </is>
      </c>
      <c r="E15383" t="inlineStr">
        <is>
          <t>FILIPSTAD</t>
        </is>
      </c>
      <c r="F15383" t="inlineStr">
        <is>
          <t>Bergvik skog väst AB</t>
        </is>
      </c>
      <c r="G15383" t="n">
        <v>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28107-2024</t>
        </is>
      </c>
      <c r="B15384" s="1" t="n">
        <v>45476</v>
      </c>
      <c r="C15384" s="1" t="n">
        <v>45736</v>
      </c>
      <c r="D15384" t="inlineStr">
        <is>
          <t>VÄRMLANDS LÄN</t>
        </is>
      </c>
      <c r="E15384" t="inlineStr">
        <is>
          <t>SUNNE</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28099-2024</t>
        </is>
      </c>
      <c r="B15385" s="1" t="n">
        <v>45476</v>
      </c>
      <c r="C15385" s="1" t="n">
        <v>45736</v>
      </c>
      <c r="D15385" t="inlineStr">
        <is>
          <t>VÄRMLANDS LÄN</t>
        </is>
      </c>
      <c r="E15385" t="inlineStr">
        <is>
          <t>HAGFORS</t>
        </is>
      </c>
      <c r="F15385" t="inlineStr">
        <is>
          <t>Bergvik skog väst AB</t>
        </is>
      </c>
      <c r="G15385" t="n">
        <v>8.6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28089-2024</t>
        </is>
      </c>
      <c r="B15386" s="1" t="n">
        <v>45476</v>
      </c>
      <c r="C15386" s="1" t="n">
        <v>45736</v>
      </c>
      <c r="D15386" t="inlineStr">
        <is>
          <t>VÄRMLANDS LÄN</t>
        </is>
      </c>
      <c r="E15386" t="inlineStr">
        <is>
          <t>TORSBY</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28137-2024</t>
        </is>
      </c>
      <c r="B15387" s="1" t="n">
        <v>45476</v>
      </c>
      <c r="C15387" s="1" t="n">
        <v>45736</v>
      </c>
      <c r="D15387" t="inlineStr">
        <is>
          <t>VÄRMLANDS LÄN</t>
        </is>
      </c>
      <c r="E15387" t="inlineStr">
        <is>
          <t>HAGFORS</t>
        </is>
      </c>
      <c r="F15387" t="inlineStr">
        <is>
          <t>Bergvik skog väst AB</t>
        </is>
      </c>
      <c r="G15387" t="n">
        <v>6.9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28112-2024</t>
        </is>
      </c>
      <c r="B15388" s="1" t="n">
        <v>45476</v>
      </c>
      <c r="C15388" s="1" t="n">
        <v>45736</v>
      </c>
      <c r="D15388" t="inlineStr">
        <is>
          <t>VÄRMLANDS LÄN</t>
        </is>
      </c>
      <c r="E15388" t="inlineStr">
        <is>
          <t>TORSBY</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28044-2024</t>
        </is>
      </c>
      <c r="B15389" s="1" t="n">
        <v>45476</v>
      </c>
      <c r="C15389" s="1" t="n">
        <v>45736</v>
      </c>
      <c r="D15389" t="inlineStr">
        <is>
          <t>VÄRMLANDS LÄN</t>
        </is>
      </c>
      <c r="E15389" t="inlineStr">
        <is>
          <t>HAGFORS</t>
        </is>
      </c>
      <c r="F15389" t="inlineStr">
        <is>
          <t>Bergvik skog väst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28004-2024</t>
        </is>
      </c>
      <c r="B15390" s="1" t="n">
        <v>45476</v>
      </c>
      <c r="C15390" s="1" t="n">
        <v>45736</v>
      </c>
      <c r="D15390" t="inlineStr">
        <is>
          <t>VÄRMLANDS LÄN</t>
        </is>
      </c>
      <c r="E15390" t="inlineStr">
        <is>
          <t>SUNNE</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28069-2024</t>
        </is>
      </c>
      <c r="B15391" s="1" t="n">
        <v>45476</v>
      </c>
      <c r="C15391" s="1" t="n">
        <v>45736</v>
      </c>
      <c r="D15391" t="inlineStr">
        <is>
          <t>VÄRMLANDS LÄN</t>
        </is>
      </c>
      <c r="E15391" t="inlineStr">
        <is>
          <t>SUNNE</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28087-2024</t>
        </is>
      </c>
      <c r="B15392" s="1" t="n">
        <v>45476</v>
      </c>
      <c r="C15392" s="1" t="n">
        <v>45736</v>
      </c>
      <c r="D15392" t="inlineStr">
        <is>
          <t>VÄRMLANDS LÄN</t>
        </is>
      </c>
      <c r="E15392" t="inlineStr">
        <is>
          <t>HAGFORS</t>
        </is>
      </c>
      <c r="F15392" t="inlineStr">
        <is>
          <t>Bergvik skog väst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28035-2024</t>
        </is>
      </c>
      <c r="B15393" s="1" t="n">
        <v>45476</v>
      </c>
      <c r="C15393" s="1" t="n">
        <v>45736</v>
      </c>
      <c r="D15393" t="inlineStr">
        <is>
          <t>VÄRMLANDS LÄN</t>
        </is>
      </c>
      <c r="E15393" t="inlineStr">
        <is>
          <t>TORSBY</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27995-2024</t>
        </is>
      </c>
      <c r="B15394" s="1" t="n">
        <v>45476</v>
      </c>
      <c r="C15394" s="1" t="n">
        <v>45736</v>
      </c>
      <c r="D15394" t="inlineStr">
        <is>
          <t>VÄRMLANDS LÄN</t>
        </is>
      </c>
      <c r="E15394" t="inlineStr">
        <is>
          <t>FORSHAGA</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27988-2024</t>
        </is>
      </c>
      <c r="B15395" s="1" t="n">
        <v>45476</v>
      </c>
      <c r="C15395" s="1" t="n">
        <v>45736</v>
      </c>
      <c r="D15395" t="inlineStr">
        <is>
          <t>VÄRMLANDS LÄN</t>
        </is>
      </c>
      <c r="E15395" t="inlineStr">
        <is>
          <t>SUNNE</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28005-2024</t>
        </is>
      </c>
      <c r="B15396" s="1" t="n">
        <v>45476</v>
      </c>
      <c r="C15396" s="1" t="n">
        <v>45736</v>
      </c>
      <c r="D15396" t="inlineStr">
        <is>
          <t>VÄRMLANDS LÄN</t>
        </is>
      </c>
      <c r="E15396" t="inlineStr">
        <is>
          <t>TORSBY</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28472-2024</t>
        </is>
      </c>
      <c r="B15397" s="1" t="n">
        <v>45477</v>
      </c>
      <c r="C15397" s="1" t="n">
        <v>45736</v>
      </c>
      <c r="D15397" t="inlineStr">
        <is>
          <t>VÄRMLANDS LÄN</t>
        </is>
      </c>
      <c r="E15397" t="inlineStr">
        <is>
          <t>KRISTINEHAMN</t>
        </is>
      </c>
      <c r="G15397" t="n">
        <v>6.8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28361-2024</t>
        </is>
      </c>
      <c r="B15398" s="1" t="n">
        <v>45477</v>
      </c>
      <c r="C15398" s="1" t="n">
        <v>45736</v>
      </c>
      <c r="D15398" t="inlineStr">
        <is>
          <t>VÄRMLANDS LÄN</t>
        </is>
      </c>
      <c r="E15398" t="inlineStr">
        <is>
          <t>FORSHAGA</t>
        </is>
      </c>
      <c r="F15398" t="inlineStr">
        <is>
          <t>Bergvik skog väst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28357-2024</t>
        </is>
      </c>
      <c r="B15399" s="1" t="n">
        <v>45477</v>
      </c>
      <c r="C15399" s="1" t="n">
        <v>45736</v>
      </c>
      <c r="D15399" t="inlineStr">
        <is>
          <t>VÄRMLANDS LÄN</t>
        </is>
      </c>
      <c r="E15399" t="inlineStr">
        <is>
          <t>FILIPSTAD</t>
        </is>
      </c>
      <c r="F15399" t="inlineStr">
        <is>
          <t>Bergvik skog väst AB</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28501-2024</t>
        </is>
      </c>
      <c r="B15400" s="1" t="n">
        <v>45478</v>
      </c>
      <c r="C15400" s="1" t="n">
        <v>45736</v>
      </c>
      <c r="D15400" t="inlineStr">
        <is>
          <t>VÄRMLANDS LÄN</t>
        </is>
      </c>
      <c r="E15400" t="inlineStr">
        <is>
          <t>TORSBY</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28485-2024</t>
        </is>
      </c>
      <c r="B15401" s="1" t="n">
        <v>45477</v>
      </c>
      <c r="C15401" s="1" t="n">
        <v>45736</v>
      </c>
      <c r="D15401" t="inlineStr">
        <is>
          <t>VÄRMLANDS LÄN</t>
        </is>
      </c>
      <c r="E15401" t="inlineStr">
        <is>
          <t>KRISTINEHAMN</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28421-2024</t>
        </is>
      </c>
      <c r="B15402" s="1" t="n">
        <v>45477</v>
      </c>
      <c r="C15402" s="1" t="n">
        <v>45736</v>
      </c>
      <c r="D15402" t="inlineStr">
        <is>
          <t>VÄRMLANDS LÄN</t>
        </is>
      </c>
      <c r="E15402" t="inlineStr">
        <is>
          <t>ARVIKA</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28331-2024</t>
        </is>
      </c>
      <c r="B15403" s="1" t="n">
        <v>45477</v>
      </c>
      <c r="C15403" s="1" t="n">
        <v>45736</v>
      </c>
      <c r="D15403" t="inlineStr">
        <is>
          <t>VÄRMLANDS LÄN</t>
        </is>
      </c>
      <c r="E15403" t="inlineStr">
        <is>
          <t>HAGFORS</t>
        </is>
      </c>
      <c r="F15403" t="inlineStr">
        <is>
          <t>Bergvik skog väst AB</t>
        </is>
      </c>
      <c r="G15403" t="n">
        <v>6.5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28413-2024</t>
        </is>
      </c>
      <c r="B15404" s="1" t="n">
        <v>45477</v>
      </c>
      <c r="C15404" s="1" t="n">
        <v>45736</v>
      </c>
      <c r="D15404" t="inlineStr">
        <is>
          <t>VÄRMLANDS LÄN</t>
        </is>
      </c>
      <c r="E15404" t="inlineStr">
        <is>
          <t>SUNNE</t>
        </is>
      </c>
      <c r="F15404" t="inlineStr">
        <is>
          <t>Övriga Aktiebolag</t>
        </is>
      </c>
      <c r="G15404" t="n">
        <v>13.7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28396-2024</t>
        </is>
      </c>
      <c r="B15405" s="1" t="n">
        <v>45477</v>
      </c>
      <c r="C15405" s="1" t="n">
        <v>45736</v>
      </c>
      <c r="D15405" t="inlineStr">
        <is>
          <t>VÄRMLANDS LÄN</t>
        </is>
      </c>
      <c r="E15405" t="inlineStr">
        <is>
          <t>HAGFORS</t>
        </is>
      </c>
      <c r="F15405" t="inlineStr">
        <is>
          <t>Bergvik skog väst AB</t>
        </is>
      </c>
      <c r="G15405" t="n">
        <v>7.7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28319-2024</t>
        </is>
      </c>
      <c r="B15406" s="1" t="n">
        <v>45477</v>
      </c>
      <c r="C15406" s="1" t="n">
        <v>45736</v>
      </c>
      <c r="D15406" t="inlineStr">
        <is>
          <t>VÄRMLANDS LÄN</t>
        </is>
      </c>
      <c r="E15406" t="inlineStr">
        <is>
          <t>TORSBY</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28311-2024</t>
        </is>
      </c>
      <c r="B15407" s="1" t="n">
        <v>45477</v>
      </c>
      <c r="C15407" s="1" t="n">
        <v>45736</v>
      </c>
      <c r="D15407" t="inlineStr">
        <is>
          <t>VÄRMLANDS LÄN</t>
        </is>
      </c>
      <c r="E15407" t="inlineStr">
        <is>
          <t>TORSBY</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28483-2024</t>
        </is>
      </c>
      <c r="B15408" s="1" t="n">
        <v>45477</v>
      </c>
      <c r="C15408" s="1" t="n">
        <v>45736</v>
      </c>
      <c r="D15408" t="inlineStr">
        <is>
          <t>VÄRMLANDS LÄN</t>
        </is>
      </c>
      <c r="E15408" t="inlineStr">
        <is>
          <t>EDA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28455-2024</t>
        </is>
      </c>
      <c r="B15409" s="1" t="n">
        <v>45477</v>
      </c>
      <c r="C15409" s="1" t="n">
        <v>45736</v>
      </c>
      <c r="D15409" t="inlineStr">
        <is>
          <t>VÄRMLANDS LÄN</t>
        </is>
      </c>
      <c r="E15409" t="inlineStr">
        <is>
          <t>ARVIKA</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28451-2024</t>
        </is>
      </c>
      <c r="B15410" s="1" t="n">
        <v>45477</v>
      </c>
      <c r="C15410" s="1" t="n">
        <v>45736</v>
      </c>
      <c r="D15410" t="inlineStr">
        <is>
          <t>VÄRMLANDS LÄN</t>
        </is>
      </c>
      <c r="E15410" t="inlineStr">
        <is>
          <t>KARLSTAD</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28411-2024</t>
        </is>
      </c>
      <c r="B15411" s="1" t="n">
        <v>45477</v>
      </c>
      <c r="C15411" s="1" t="n">
        <v>45736</v>
      </c>
      <c r="D15411" t="inlineStr">
        <is>
          <t>VÄRMLANDS LÄN</t>
        </is>
      </c>
      <c r="E15411" t="inlineStr">
        <is>
          <t>ARVIKA</t>
        </is>
      </c>
      <c r="F15411" t="inlineStr">
        <is>
          <t>Bergvik skog väst AB</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28271-2024</t>
        </is>
      </c>
      <c r="B15412" s="1" t="n">
        <v>45477</v>
      </c>
      <c r="C15412" s="1" t="n">
        <v>45736</v>
      </c>
      <c r="D15412" t="inlineStr">
        <is>
          <t>VÄRMLANDS LÄN</t>
        </is>
      </c>
      <c r="E15412" t="inlineStr">
        <is>
          <t>FORSHAGA</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28267-2024</t>
        </is>
      </c>
      <c r="B15413" s="1" t="n">
        <v>45477</v>
      </c>
      <c r="C15413" s="1" t="n">
        <v>45736</v>
      </c>
      <c r="D15413" t="inlineStr">
        <is>
          <t>VÄRMLANDS LÄN</t>
        </is>
      </c>
      <c r="E15413" t="inlineStr">
        <is>
          <t>SÄFFLE</t>
        </is>
      </c>
      <c r="G15413" t="n">
        <v>9.4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28301-2024</t>
        </is>
      </c>
      <c r="B15414" s="1" t="n">
        <v>45477</v>
      </c>
      <c r="C15414" s="1" t="n">
        <v>45736</v>
      </c>
      <c r="D15414" t="inlineStr">
        <is>
          <t>VÄRMLANDS LÄN</t>
        </is>
      </c>
      <c r="E15414" t="inlineStr">
        <is>
          <t>FORSHAGA</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28329-2024</t>
        </is>
      </c>
      <c r="B15415" s="1" t="n">
        <v>45477</v>
      </c>
      <c r="C15415" s="1" t="n">
        <v>45736</v>
      </c>
      <c r="D15415" t="inlineStr">
        <is>
          <t>VÄRMLANDS LÄN</t>
        </is>
      </c>
      <c r="E15415" t="inlineStr">
        <is>
          <t>TORSBY</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28310-2024</t>
        </is>
      </c>
      <c r="B15416" s="1" t="n">
        <v>45477</v>
      </c>
      <c r="C15416" s="1" t="n">
        <v>45736</v>
      </c>
      <c r="D15416" t="inlineStr">
        <is>
          <t>VÄRMLANDS LÄN</t>
        </is>
      </c>
      <c r="E15416" t="inlineStr">
        <is>
          <t>TORSBY</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28502-2024</t>
        </is>
      </c>
      <c r="B15417" s="1" t="n">
        <v>45478</v>
      </c>
      <c r="C15417" s="1" t="n">
        <v>45736</v>
      </c>
      <c r="D15417" t="inlineStr">
        <is>
          <t>VÄRMLANDS LÄN</t>
        </is>
      </c>
      <c r="E15417" t="inlineStr">
        <is>
          <t>TORSBY</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28458-2024</t>
        </is>
      </c>
      <c r="B15418" s="1" t="n">
        <v>45477</v>
      </c>
      <c r="C15418" s="1" t="n">
        <v>45736</v>
      </c>
      <c r="D15418" t="inlineStr">
        <is>
          <t>VÄRMLANDS LÄN</t>
        </is>
      </c>
      <c r="E15418" t="inlineStr">
        <is>
          <t>SÄFFLE</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28454-2024</t>
        </is>
      </c>
      <c r="B15419" s="1" t="n">
        <v>45477</v>
      </c>
      <c r="C15419" s="1" t="n">
        <v>45736</v>
      </c>
      <c r="D15419" t="inlineStr">
        <is>
          <t>VÄRMLANDS LÄN</t>
        </is>
      </c>
      <c r="E15419" t="inlineStr">
        <is>
          <t>KARLSTAD</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28228-2024</t>
        </is>
      </c>
      <c r="B15420" s="1" t="n">
        <v>45477</v>
      </c>
      <c r="C15420" s="1" t="n">
        <v>45736</v>
      </c>
      <c r="D15420" t="inlineStr">
        <is>
          <t>VÄRMLANDS LÄN</t>
        </is>
      </c>
      <c r="E15420" t="inlineStr">
        <is>
          <t>GRUMS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28249-2024</t>
        </is>
      </c>
      <c r="B15421" s="1" t="n">
        <v>45477</v>
      </c>
      <c r="C15421" s="1" t="n">
        <v>45736</v>
      </c>
      <c r="D15421" t="inlineStr">
        <is>
          <t>VÄRMLANDS LÄN</t>
        </is>
      </c>
      <c r="E15421" t="inlineStr">
        <is>
          <t>TORSBY</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28242-2024</t>
        </is>
      </c>
      <c r="B15422" s="1" t="n">
        <v>45477</v>
      </c>
      <c r="C15422" s="1" t="n">
        <v>45736</v>
      </c>
      <c r="D15422" t="inlineStr">
        <is>
          <t>VÄRMLANDS LÄN</t>
        </is>
      </c>
      <c r="E15422" t="inlineStr">
        <is>
          <t>FORSHAGA</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28197-2024</t>
        </is>
      </c>
      <c r="B15423" s="1" t="n">
        <v>45477</v>
      </c>
      <c r="C15423" s="1" t="n">
        <v>45736</v>
      </c>
      <c r="D15423" t="inlineStr">
        <is>
          <t>VÄRMLANDS LÄN</t>
        </is>
      </c>
      <c r="E15423" t="inlineStr">
        <is>
          <t>EDA</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28263-2024</t>
        </is>
      </c>
      <c r="B15424" s="1" t="n">
        <v>45477</v>
      </c>
      <c r="C15424" s="1" t="n">
        <v>45736</v>
      </c>
      <c r="D15424" t="inlineStr">
        <is>
          <t>VÄRMLANDS LÄN</t>
        </is>
      </c>
      <c r="E15424" t="inlineStr">
        <is>
          <t>ÅRJÄNG</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28364-2024</t>
        </is>
      </c>
      <c r="B15425" s="1" t="n">
        <v>45477</v>
      </c>
      <c r="C15425" s="1" t="n">
        <v>45736</v>
      </c>
      <c r="D15425" t="inlineStr">
        <is>
          <t>VÄRMLANDS LÄN</t>
        </is>
      </c>
      <c r="E15425" t="inlineStr">
        <is>
          <t>TORSBY</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28284-2024</t>
        </is>
      </c>
      <c r="B15426" s="1" t="n">
        <v>45477</v>
      </c>
      <c r="C15426" s="1" t="n">
        <v>45736</v>
      </c>
      <c r="D15426" t="inlineStr">
        <is>
          <t>VÄRMLANDS LÄN</t>
        </is>
      </c>
      <c r="E15426" t="inlineStr">
        <is>
          <t>TORSBY</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28260-2024</t>
        </is>
      </c>
      <c r="B15427" s="1" t="n">
        <v>45477</v>
      </c>
      <c r="C15427" s="1" t="n">
        <v>45736</v>
      </c>
      <c r="D15427" t="inlineStr">
        <is>
          <t>VÄRMLANDS LÄN</t>
        </is>
      </c>
      <c r="E15427" t="inlineStr">
        <is>
          <t>ÅRJÄNG</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28235-2024</t>
        </is>
      </c>
      <c r="B15428" s="1" t="n">
        <v>45477</v>
      </c>
      <c r="C15428" s="1" t="n">
        <v>45736</v>
      </c>
      <c r="D15428" t="inlineStr">
        <is>
          <t>VÄRMLANDS LÄN</t>
        </is>
      </c>
      <c r="E15428" t="inlineStr">
        <is>
          <t>SUNNE</t>
        </is>
      </c>
      <c r="F15428" t="inlineStr">
        <is>
          <t>Bergvik skog väst AB</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28539-2024</t>
        </is>
      </c>
      <c r="B15429" s="1" t="n">
        <v>45478</v>
      </c>
      <c r="C15429" s="1" t="n">
        <v>45736</v>
      </c>
      <c r="D15429" t="inlineStr">
        <is>
          <t>VÄRMLANDS LÄN</t>
        </is>
      </c>
      <c r="E15429" t="inlineStr">
        <is>
          <t>TORSBY</t>
        </is>
      </c>
      <c r="F15429" t="inlineStr">
        <is>
          <t>Bergvik skog väst AB</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28571-2024</t>
        </is>
      </c>
      <c r="B15430" s="1" t="n">
        <v>45478</v>
      </c>
      <c r="C15430" s="1" t="n">
        <v>45736</v>
      </c>
      <c r="D15430" t="inlineStr">
        <is>
          <t>VÄRMLANDS LÄN</t>
        </is>
      </c>
      <c r="E15430" t="inlineStr">
        <is>
          <t>SÄFFLE</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28615-2024</t>
        </is>
      </c>
      <c r="B15431" s="1" t="n">
        <v>45478</v>
      </c>
      <c r="C15431" s="1" t="n">
        <v>45736</v>
      </c>
      <c r="D15431" t="inlineStr">
        <is>
          <t>VÄRMLANDS LÄN</t>
        </is>
      </c>
      <c r="E15431" t="inlineStr">
        <is>
          <t>FILIPSTAD</t>
        </is>
      </c>
      <c r="F15431" t="inlineStr">
        <is>
          <t>Bergvik skog väst AB</t>
        </is>
      </c>
      <c r="G15431" t="n">
        <v>8.699999999999999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28619-2024</t>
        </is>
      </c>
      <c r="B15432" s="1" t="n">
        <v>45478</v>
      </c>
      <c r="C15432" s="1" t="n">
        <v>45736</v>
      </c>
      <c r="D15432" t="inlineStr">
        <is>
          <t>VÄRMLANDS LÄN</t>
        </is>
      </c>
      <c r="E15432" t="inlineStr">
        <is>
          <t>TORSBY</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28517-2024</t>
        </is>
      </c>
      <c r="B15433" s="1" t="n">
        <v>45478</v>
      </c>
      <c r="C15433" s="1" t="n">
        <v>45736</v>
      </c>
      <c r="D15433" t="inlineStr">
        <is>
          <t>VÄRMLANDS LÄN</t>
        </is>
      </c>
      <c r="E15433" t="inlineStr">
        <is>
          <t>FORSHAGA</t>
        </is>
      </c>
      <c r="F15433" t="inlineStr">
        <is>
          <t>Bergvik skog väst AB</t>
        </is>
      </c>
      <c r="G15433" t="n">
        <v>4.6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28554-2024</t>
        </is>
      </c>
      <c r="B15434" s="1" t="n">
        <v>45478</v>
      </c>
      <c r="C15434" s="1" t="n">
        <v>45736</v>
      </c>
      <c r="D15434" t="inlineStr">
        <is>
          <t>VÄRMLANDS LÄN</t>
        </is>
      </c>
      <c r="E15434" t="inlineStr">
        <is>
          <t>TORSBY</t>
        </is>
      </c>
      <c r="F15434" t="inlineStr">
        <is>
          <t>Bergvik skog väst AB</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28646-2024</t>
        </is>
      </c>
      <c r="B15435" s="1" t="n">
        <v>45478</v>
      </c>
      <c r="C15435" s="1" t="n">
        <v>45736</v>
      </c>
      <c r="D15435" t="inlineStr">
        <is>
          <t>VÄRMLANDS LÄN</t>
        </is>
      </c>
      <c r="E15435" t="inlineStr">
        <is>
          <t>TORSBY</t>
        </is>
      </c>
      <c r="F15435" t="inlineStr">
        <is>
          <t>Bergvik skog väst AB</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28650-2024</t>
        </is>
      </c>
      <c r="B15436" s="1" t="n">
        <v>45478</v>
      </c>
      <c r="C15436" s="1" t="n">
        <v>45736</v>
      </c>
      <c r="D15436" t="inlineStr">
        <is>
          <t>VÄRMLANDS LÄN</t>
        </is>
      </c>
      <c r="E15436" t="inlineStr">
        <is>
          <t>SUNNE</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28804-2024</t>
        </is>
      </c>
      <c r="B15437" s="1" t="n">
        <v>45478</v>
      </c>
      <c r="C15437" s="1" t="n">
        <v>45736</v>
      </c>
      <c r="D15437" t="inlineStr">
        <is>
          <t>VÄRMLANDS LÄN</t>
        </is>
      </c>
      <c r="E15437" t="inlineStr">
        <is>
          <t>ARVIKA</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28545-2024</t>
        </is>
      </c>
      <c r="B15438" s="1" t="n">
        <v>45478</v>
      </c>
      <c r="C15438" s="1" t="n">
        <v>45736</v>
      </c>
      <c r="D15438" t="inlineStr">
        <is>
          <t>VÄRMLANDS LÄN</t>
        </is>
      </c>
      <c r="E15438" t="inlineStr">
        <is>
          <t>TORSBY</t>
        </is>
      </c>
      <c r="F15438" t="inlineStr">
        <is>
          <t>Bergvik skog väst AB</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28573-2024</t>
        </is>
      </c>
      <c r="B15439" s="1" t="n">
        <v>45478</v>
      </c>
      <c r="C15439" s="1" t="n">
        <v>45736</v>
      </c>
      <c r="D15439" t="inlineStr">
        <is>
          <t>VÄRMLANDS LÄN</t>
        </is>
      </c>
      <c r="E15439" t="inlineStr">
        <is>
          <t>ARVIKA</t>
        </is>
      </c>
      <c r="F15439" t="inlineStr">
        <is>
          <t>Bergvik skog väst AB</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28589-2024</t>
        </is>
      </c>
      <c r="B15440" s="1" t="n">
        <v>45478</v>
      </c>
      <c r="C15440" s="1" t="n">
        <v>45736</v>
      </c>
      <c r="D15440" t="inlineStr">
        <is>
          <t>VÄRMLANDS LÄN</t>
        </is>
      </c>
      <c r="E15440" t="inlineStr">
        <is>
          <t>TORSBY</t>
        </is>
      </c>
      <c r="G15440" t="n">
        <v>12.7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28680-2024</t>
        </is>
      </c>
      <c r="B15441" s="1" t="n">
        <v>45478</v>
      </c>
      <c r="C15441" s="1" t="n">
        <v>45736</v>
      </c>
      <c r="D15441" t="inlineStr">
        <is>
          <t>VÄRMLANDS LÄN</t>
        </is>
      </c>
      <c r="E15441" t="inlineStr">
        <is>
          <t>ARVIKA</t>
        </is>
      </c>
      <c r="F15441" t="inlineStr">
        <is>
          <t>Bergvik skog väst AB</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28709-2024</t>
        </is>
      </c>
      <c r="B15442" s="1" t="n">
        <v>45478</v>
      </c>
      <c r="C15442" s="1" t="n">
        <v>45736</v>
      </c>
      <c r="D15442" t="inlineStr">
        <is>
          <t>VÄRMLANDS LÄN</t>
        </is>
      </c>
      <c r="E15442" t="inlineStr">
        <is>
          <t>ÅRJÄNG</t>
        </is>
      </c>
      <c r="F15442" t="inlineStr">
        <is>
          <t>Bergvik skog väst AB</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28560-2024</t>
        </is>
      </c>
      <c r="B15443" s="1" t="n">
        <v>45478</v>
      </c>
      <c r="C15443" s="1" t="n">
        <v>45736</v>
      </c>
      <c r="D15443" t="inlineStr">
        <is>
          <t>VÄRMLANDS LÄN</t>
        </is>
      </c>
      <c r="E15443" t="inlineStr">
        <is>
          <t>HAGFORS</t>
        </is>
      </c>
      <c r="G15443" t="n">
        <v>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28733-2024</t>
        </is>
      </c>
      <c r="B15444" s="1" t="n">
        <v>45478</v>
      </c>
      <c r="C15444" s="1" t="n">
        <v>45736</v>
      </c>
      <c r="D15444" t="inlineStr">
        <is>
          <t>VÄRMLANDS LÄN</t>
        </is>
      </c>
      <c r="E15444" t="inlineStr">
        <is>
          <t>ÅRJÄNG</t>
        </is>
      </c>
      <c r="F15444" t="inlineStr">
        <is>
          <t>Bergvik skog väst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28757-2024</t>
        </is>
      </c>
      <c r="B15445" s="1" t="n">
        <v>45478</v>
      </c>
      <c r="C15445" s="1" t="n">
        <v>45736</v>
      </c>
      <c r="D15445" t="inlineStr">
        <is>
          <t>VÄRMLANDS LÄN</t>
        </is>
      </c>
      <c r="E15445" t="inlineStr">
        <is>
          <t>STORFORS</t>
        </is>
      </c>
      <c r="F15445" t="inlineStr">
        <is>
          <t>Kyrkan</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28624-2024</t>
        </is>
      </c>
      <c r="B15446" s="1" t="n">
        <v>45478</v>
      </c>
      <c r="C15446" s="1" t="n">
        <v>45736</v>
      </c>
      <c r="D15446" t="inlineStr">
        <is>
          <t>VÄRMLANDS LÄN</t>
        </is>
      </c>
      <c r="E15446" t="inlineStr">
        <is>
          <t>TORSBY</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28797-2024</t>
        </is>
      </c>
      <c r="B15447" s="1" t="n">
        <v>45478</v>
      </c>
      <c r="C15447" s="1" t="n">
        <v>45736</v>
      </c>
      <c r="D15447" t="inlineStr">
        <is>
          <t>VÄRMLANDS LÄN</t>
        </is>
      </c>
      <c r="E15447" t="inlineStr">
        <is>
          <t>STORFORS</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28809-2024</t>
        </is>
      </c>
      <c r="B15448" s="1" t="n">
        <v>45478</v>
      </c>
      <c r="C15448" s="1" t="n">
        <v>45736</v>
      </c>
      <c r="D15448" t="inlineStr">
        <is>
          <t>VÄRMLANDS LÄN</t>
        </is>
      </c>
      <c r="E15448" t="inlineStr">
        <is>
          <t>ARVIKA</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28834-2024</t>
        </is>
      </c>
      <c r="B15449" s="1" t="n">
        <v>45478</v>
      </c>
      <c r="C15449" s="1" t="n">
        <v>45736</v>
      </c>
      <c r="D15449" t="inlineStr">
        <is>
          <t>VÄRMLANDS LÄN</t>
        </is>
      </c>
      <c r="E15449" t="inlineStr">
        <is>
          <t>KRISTINEHAMN</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28846-2024</t>
        </is>
      </c>
      <c r="B15450" s="1" t="n">
        <v>45478</v>
      </c>
      <c r="C15450" s="1" t="n">
        <v>45736</v>
      </c>
      <c r="D15450" t="inlineStr">
        <is>
          <t>VÄRMLANDS LÄN</t>
        </is>
      </c>
      <c r="E15450" t="inlineStr">
        <is>
          <t>KRISTINEHAMN</t>
        </is>
      </c>
      <c r="G15450" t="n">
        <v>12.2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28673-2024</t>
        </is>
      </c>
      <c r="B15451" s="1" t="n">
        <v>45478</v>
      </c>
      <c r="C15451" s="1" t="n">
        <v>45736</v>
      </c>
      <c r="D15451" t="inlineStr">
        <is>
          <t>VÄRMLANDS LÄN</t>
        </is>
      </c>
      <c r="E15451" t="inlineStr">
        <is>
          <t>TORSBY</t>
        </is>
      </c>
      <c r="F15451" t="inlineStr">
        <is>
          <t>Bergvik skog väst AB</t>
        </is>
      </c>
      <c r="G15451" t="n">
        <v>4.7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28738-2024</t>
        </is>
      </c>
      <c r="B15452" s="1" t="n">
        <v>45478</v>
      </c>
      <c r="C15452" s="1" t="n">
        <v>45736</v>
      </c>
      <c r="D15452" t="inlineStr">
        <is>
          <t>VÄRMLANDS LÄN</t>
        </is>
      </c>
      <c r="E15452" t="inlineStr">
        <is>
          <t>HAGFORS</t>
        </is>
      </c>
      <c r="F15452" t="inlineStr">
        <is>
          <t>Bergvik skog väst AB</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28814-2024</t>
        </is>
      </c>
      <c r="B15453" s="1" t="n">
        <v>45478</v>
      </c>
      <c r="C15453" s="1" t="n">
        <v>45736</v>
      </c>
      <c r="D15453" t="inlineStr">
        <is>
          <t>VÄRMLANDS LÄN</t>
        </is>
      </c>
      <c r="E15453" t="inlineStr">
        <is>
          <t>ARVIKA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28819-2024</t>
        </is>
      </c>
      <c r="B15454" s="1" t="n">
        <v>45478</v>
      </c>
      <c r="C15454" s="1" t="n">
        <v>45736</v>
      </c>
      <c r="D15454" t="inlineStr">
        <is>
          <t>VÄRMLANDS LÄN</t>
        </is>
      </c>
      <c r="E15454" t="inlineStr">
        <is>
          <t>STORFORS</t>
        </is>
      </c>
      <c r="F15454" t="inlineStr">
        <is>
          <t>Kyrkan</t>
        </is>
      </c>
      <c r="G15454" t="n">
        <v>3.9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28827-2024</t>
        </is>
      </c>
      <c r="B15455" s="1" t="n">
        <v>45478</v>
      </c>
      <c r="C15455" s="1" t="n">
        <v>45736</v>
      </c>
      <c r="D15455" t="inlineStr">
        <is>
          <t>VÄRMLANDS LÄN</t>
        </is>
      </c>
      <c r="E15455" t="inlineStr">
        <is>
          <t>KRISTINEHAMN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28835-2024</t>
        </is>
      </c>
      <c r="B15456" s="1" t="n">
        <v>45478</v>
      </c>
      <c r="C15456" s="1" t="n">
        <v>45736</v>
      </c>
      <c r="D15456" t="inlineStr">
        <is>
          <t>VÄRMLANDS LÄN</t>
        </is>
      </c>
      <c r="E15456" t="inlineStr">
        <is>
          <t>SUNNE</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28839-2024</t>
        </is>
      </c>
      <c r="B15457" s="1" t="n">
        <v>45478</v>
      </c>
      <c r="C15457" s="1" t="n">
        <v>45736</v>
      </c>
      <c r="D15457" t="inlineStr">
        <is>
          <t>VÄRMLANDS LÄN</t>
        </is>
      </c>
      <c r="E15457" t="inlineStr">
        <is>
          <t>SUNNE</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28609-2024</t>
        </is>
      </c>
      <c r="B15458" s="1" t="n">
        <v>45478</v>
      </c>
      <c r="C15458" s="1" t="n">
        <v>45736</v>
      </c>
      <c r="D15458" t="inlineStr">
        <is>
          <t>VÄRMLANDS LÄN</t>
        </is>
      </c>
      <c r="E15458" t="inlineStr">
        <is>
          <t>TORSBY</t>
        </is>
      </c>
      <c r="F15458" t="inlineStr">
        <is>
          <t>Bergvik skog väst AB</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28621-2024</t>
        </is>
      </c>
      <c r="B15459" s="1" t="n">
        <v>45478</v>
      </c>
      <c r="C15459" s="1" t="n">
        <v>45736</v>
      </c>
      <c r="D15459" t="inlineStr">
        <is>
          <t>VÄRMLANDS LÄN</t>
        </is>
      </c>
      <c r="E15459" t="inlineStr">
        <is>
          <t>TORSBY</t>
        </is>
      </c>
      <c r="F15459" t="inlineStr">
        <is>
          <t>Bergvik skog väst AB</t>
        </is>
      </c>
      <c r="G15459" t="n">
        <v>7.7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28637-2024</t>
        </is>
      </c>
      <c r="B15460" s="1" t="n">
        <v>45478</v>
      </c>
      <c r="C15460" s="1" t="n">
        <v>45736</v>
      </c>
      <c r="D15460" t="inlineStr">
        <is>
          <t>VÄRMLANDS LÄN</t>
        </is>
      </c>
      <c r="E15460" t="inlineStr">
        <is>
          <t>TORSBY</t>
        </is>
      </c>
      <c r="F15460" t="inlineStr">
        <is>
          <t>Bergvik skog väst AB</t>
        </is>
      </c>
      <c r="G15460" t="n">
        <v>10.2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28775-2024</t>
        </is>
      </c>
      <c r="B15461" s="1" t="n">
        <v>45478</v>
      </c>
      <c r="C15461" s="1" t="n">
        <v>45736</v>
      </c>
      <c r="D15461" t="inlineStr">
        <is>
          <t>VÄRMLANDS LÄN</t>
        </is>
      </c>
      <c r="E15461" t="inlineStr">
        <is>
          <t>HAGFORS</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28807-2024</t>
        </is>
      </c>
      <c r="B15462" s="1" t="n">
        <v>45478</v>
      </c>
      <c r="C15462" s="1" t="n">
        <v>45736</v>
      </c>
      <c r="D15462" t="inlineStr">
        <is>
          <t>VÄRMLANDS LÄN</t>
        </is>
      </c>
      <c r="E15462" t="inlineStr">
        <is>
          <t>ARVIKA</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28836-2024</t>
        </is>
      </c>
      <c r="B15463" s="1" t="n">
        <v>45478</v>
      </c>
      <c r="C15463" s="1" t="n">
        <v>45736</v>
      </c>
      <c r="D15463" t="inlineStr">
        <is>
          <t>VÄRMLANDS LÄN</t>
        </is>
      </c>
      <c r="E15463" t="inlineStr">
        <is>
          <t>KRISTINEHAMN</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29051-2024</t>
        </is>
      </c>
      <c r="B15464" s="1" t="n">
        <v>45481</v>
      </c>
      <c r="C15464" s="1" t="n">
        <v>45736</v>
      </c>
      <c r="D15464" t="inlineStr">
        <is>
          <t>VÄRMLANDS LÄN</t>
        </is>
      </c>
      <c r="E15464" t="inlineStr">
        <is>
          <t>FORSHAGA</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29009-2024</t>
        </is>
      </c>
      <c r="B15465" s="1" t="n">
        <v>45481</v>
      </c>
      <c r="C15465" s="1" t="n">
        <v>45736</v>
      </c>
      <c r="D15465" t="inlineStr">
        <is>
          <t>VÄRMLANDS LÄN</t>
        </is>
      </c>
      <c r="E15465" t="inlineStr">
        <is>
          <t>SÄFFLE</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28993-2024</t>
        </is>
      </c>
      <c r="B15466" s="1" t="n">
        <v>45481</v>
      </c>
      <c r="C15466" s="1" t="n">
        <v>45736</v>
      </c>
      <c r="D15466" t="inlineStr">
        <is>
          <t>VÄRMLANDS LÄN</t>
        </is>
      </c>
      <c r="E15466" t="inlineStr">
        <is>
          <t>SUNNE</t>
        </is>
      </c>
      <c r="F15466" t="inlineStr">
        <is>
          <t>Bergvik skog väst AB</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28948-2024</t>
        </is>
      </c>
      <c r="B15467" s="1" t="n">
        <v>45481</v>
      </c>
      <c r="C15467" s="1" t="n">
        <v>45736</v>
      </c>
      <c r="D15467" t="inlineStr">
        <is>
          <t>VÄRMLANDS LÄN</t>
        </is>
      </c>
      <c r="E15467" t="inlineStr">
        <is>
          <t>TORSBY</t>
        </is>
      </c>
      <c r="G15467" t="n">
        <v>11.8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28988-2024</t>
        </is>
      </c>
      <c r="B15468" s="1" t="n">
        <v>45481</v>
      </c>
      <c r="C15468" s="1" t="n">
        <v>45736</v>
      </c>
      <c r="D15468" t="inlineStr">
        <is>
          <t>VÄRMLANDS LÄN</t>
        </is>
      </c>
      <c r="E15468" t="inlineStr">
        <is>
          <t>SÄFFLE</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28922-2024</t>
        </is>
      </c>
      <c r="B15469" s="1" t="n">
        <v>45481</v>
      </c>
      <c r="C15469" s="1" t="n">
        <v>45736</v>
      </c>
      <c r="D15469" t="inlineStr">
        <is>
          <t>VÄRMLANDS LÄN</t>
        </is>
      </c>
      <c r="E15469" t="inlineStr">
        <is>
          <t>ARVIKA</t>
        </is>
      </c>
      <c r="G15469" t="n">
        <v>4.4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28987-2024</t>
        </is>
      </c>
      <c r="B15470" s="1" t="n">
        <v>45481</v>
      </c>
      <c r="C15470" s="1" t="n">
        <v>45736</v>
      </c>
      <c r="D15470" t="inlineStr">
        <is>
          <t>VÄRMLANDS LÄN</t>
        </is>
      </c>
      <c r="E15470" t="inlineStr">
        <is>
          <t>TORSBY</t>
        </is>
      </c>
      <c r="G15470" t="n">
        <v>5.5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29122-2024</t>
        </is>
      </c>
      <c r="B15471" s="1" t="n">
        <v>45482</v>
      </c>
      <c r="C15471" s="1" t="n">
        <v>45736</v>
      </c>
      <c r="D15471" t="inlineStr">
        <is>
          <t>VÄRMLANDS LÄN</t>
        </is>
      </c>
      <c r="E15471" t="inlineStr">
        <is>
          <t>EDA</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29291-2024</t>
        </is>
      </c>
      <c r="B15472" s="1" t="n">
        <v>45482</v>
      </c>
      <c r="C15472" s="1" t="n">
        <v>45736</v>
      </c>
      <c r="D15472" t="inlineStr">
        <is>
          <t>VÄRMLANDS LÄN</t>
        </is>
      </c>
      <c r="E15472" t="inlineStr">
        <is>
          <t>ARVIKA</t>
        </is>
      </c>
      <c r="G15472" t="n">
        <v>11.8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29175-2024</t>
        </is>
      </c>
      <c r="B15473" s="1" t="n">
        <v>45482</v>
      </c>
      <c r="C15473" s="1" t="n">
        <v>45736</v>
      </c>
      <c r="D15473" t="inlineStr">
        <is>
          <t>VÄRMLANDS LÄN</t>
        </is>
      </c>
      <c r="E15473" t="inlineStr">
        <is>
          <t>ARVIKA</t>
        </is>
      </c>
      <c r="F15473" t="inlineStr">
        <is>
          <t>Bergvik skog väst AB</t>
        </is>
      </c>
      <c r="G15473" t="n">
        <v>0.4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29197-2024</t>
        </is>
      </c>
      <c r="B15474" s="1" t="n">
        <v>45482</v>
      </c>
      <c r="C15474" s="1" t="n">
        <v>45736</v>
      </c>
      <c r="D15474" t="inlineStr">
        <is>
          <t>VÄRMLANDS LÄN</t>
        </is>
      </c>
      <c r="E15474" t="inlineStr">
        <is>
          <t>EDA</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29123-2024</t>
        </is>
      </c>
      <c r="B15475" s="1" t="n">
        <v>45482</v>
      </c>
      <c r="C15475" s="1" t="n">
        <v>45736</v>
      </c>
      <c r="D15475" t="inlineStr">
        <is>
          <t>VÄRMLANDS LÄN</t>
        </is>
      </c>
      <c r="E15475" t="inlineStr">
        <is>
          <t>EDA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29306-2024</t>
        </is>
      </c>
      <c r="B15476" s="1" t="n">
        <v>45483</v>
      </c>
      <c r="C15476" s="1" t="n">
        <v>45736</v>
      </c>
      <c r="D15476" t="inlineStr">
        <is>
          <t>VÄRMLANDS LÄN</t>
        </is>
      </c>
      <c r="E15476" t="inlineStr">
        <is>
          <t>TORSBY</t>
        </is>
      </c>
      <c r="F15476" t="inlineStr">
        <is>
          <t>Kyrkan</t>
        </is>
      </c>
      <c r="G15476" t="n">
        <v>18.3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29358-2024</t>
        </is>
      </c>
      <c r="B15477" s="1" t="n">
        <v>45483</v>
      </c>
      <c r="C15477" s="1" t="n">
        <v>45736</v>
      </c>
      <c r="D15477" t="inlineStr">
        <is>
          <t>VÄRMLANDS LÄN</t>
        </is>
      </c>
      <c r="E15477" t="inlineStr">
        <is>
          <t>FILIPSTAD</t>
        </is>
      </c>
      <c r="F15477" t="inlineStr">
        <is>
          <t>Bergvik skog väst AB</t>
        </is>
      </c>
      <c r="G15477" t="n">
        <v>6.1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29408-2024</t>
        </is>
      </c>
      <c r="B15478" s="1" t="n">
        <v>45483</v>
      </c>
      <c r="C15478" s="1" t="n">
        <v>45736</v>
      </c>
      <c r="D15478" t="inlineStr">
        <is>
          <t>VÄRMLANDS LÄN</t>
        </is>
      </c>
      <c r="E15478" t="inlineStr">
        <is>
          <t>TORSBY</t>
        </is>
      </c>
      <c r="F15478" t="inlineStr">
        <is>
          <t>Bergvik skog väst AB</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29351-2024</t>
        </is>
      </c>
      <c r="B15479" s="1" t="n">
        <v>45483</v>
      </c>
      <c r="C15479" s="1" t="n">
        <v>45736</v>
      </c>
      <c r="D15479" t="inlineStr">
        <is>
          <t>VÄRMLANDS LÄN</t>
        </is>
      </c>
      <c r="E15479" t="inlineStr">
        <is>
          <t>EDA</t>
        </is>
      </c>
      <c r="F15479" t="inlineStr">
        <is>
          <t>Bergvik skog väst AB</t>
        </is>
      </c>
      <c r="G15479" t="n">
        <v>9.4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29371-2024</t>
        </is>
      </c>
      <c r="B15480" s="1" t="n">
        <v>45483</v>
      </c>
      <c r="C15480" s="1" t="n">
        <v>45736</v>
      </c>
      <c r="D15480" t="inlineStr">
        <is>
          <t>VÄRMLANDS LÄN</t>
        </is>
      </c>
      <c r="E15480" t="inlineStr">
        <is>
          <t>HAGFORS</t>
        </is>
      </c>
      <c r="G15480" t="n">
        <v>5.1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29375-2024</t>
        </is>
      </c>
      <c r="B15481" s="1" t="n">
        <v>45483</v>
      </c>
      <c r="C15481" s="1" t="n">
        <v>45736</v>
      </c>
      <c r="D15481" t="inlineStr">
        <is>
          <t>VÄRMLANDS LÄN</t>
        </is>
      </c>
      <c r="E15481" t="inlineStr">
        <is>
          <t>TORSBY</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29384-2024</t>
        </is>
      </c>
      <c r="B15482" s="1" t="n">
        <v>45483</v>
      </c>
      <c r="C15482" s="1" t="n">
        <v>45736</v>
      </c>
      <c r="D15482" t="inlineStr">
        <is>
          <t>VÄRMLANDS LÄN</t>
        </is>
      </c>
      <c r="E15482" t="inlineStr">
        <is>
          <t>KRISTINEHAMN</t>
        </is>
      </c>
      <c r="G15482" t="n">
        <v>9.800000000000001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29293-2024</t>
        </is>
      </c>
      <c r="B15483" s="1" t="n">
        <v>45483</v>
      </c>
      <c r="C15483" s="1" t="n">
        <v>45736</v>
      </c>
      <c r="D15483" t="inlineStr">
        <is>
          <t>VÄRMLANDS LÄN</t>
        </is>
      </c>
      <c r="E15483" t="inlineStr">
        <is>
          <t>ARVIKA</t>
        </is>
      </c>
      <c r="F15483" t="inlineStr">
        <is>
          <t>Bergvik skog väst AB</t>
        </is>
      </c>
      <c r="G15483" t="n">
        <v>9.1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29301-2024</t>
        </is>
      </c>
      <c r="B15484" s="1" t="n">
        <v>45483</v>
      </c>
      <c r="C15484" s="1" t="n">
        <v>45736</v>
      </c>
      <c r="D15484" t="inlineStr">
        <is>
          <t>VÄRMLANDS LÄN</t>
        </is>
      </c>
      <c r="E15484" t="inlineStr">
        <is>
          <t>ARVIKA</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29305-2024</t>
        </is>
      </c>
      <c r="B15485" s="1" t="n">
        <v>45483</v>
      </c>
      <c r="C15485" s="1" t="n">
        <v>45736</v>
      </c>
      <c r="D15485" t="inlineStr">
        <is>
          <t>VÄRMLANDS LÄN</t>
        </is>
      </c>
      <c r="E15485" t="inlineStr">
        <is>
          <t>ARVIKA</t>
        </is>
      </c>
      <c r="F15485" t="inlineStr">
        <is>
          <t>Bergvik skog väst AB</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29401-2024</t>
        </is>
      </c>
      <c r="B15486" s="1" t="n">
        <v>45483</v>
      </c>
      <c r="C15486" s="1" t="n">
        <v>45736</v>
      </c>
      <c r="D15486" t="inlineStr">
        <is>
          <t>VÄRMLANDS LÄN</t>
        </is>
      </c>
      <c r="E15486" t="inlineStr">
        <is>
          <t>ARVIKA</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29333-2024</t>
        </is>
      </c>
      <c r="B15487" s="1" t="n">
        <v>45483</v>
      </c>
      <c r="C15487" s="1" t="n">
        <v>45736</v>
      </c>
      <c r="D15487" t="inlineStr">
        <is>
          <t>VÄRMLANDS LÄN</t>
        </is>
      </c>
      <c r="E15487" t="inlineStr">
        <is>
          <t>SUNNE</t>
        </is>
      </c>
      <c r="F15487" t="inlineStr">
        <is>
          <t>Bergvik skog väst AB</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29425-2024</t>
        </is>
      </c>
      <c r="B15488" s="1" t="n">
        <v>45483</v>
      </c>
      <c r="C15488" s="1" t="n">
        <v>45736</v>
      </c>
      <c r="D15488" t="inlineStr">
        <is>
          <t>VÄRMLANDS LÄN</t>
        </is>
      </c>
      <c r="E15488" t="inlineStr">
        <is>
          <t>FORSHAGA</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29415-2024</t>
        </is>
      </c>
      <c r="B15489" s="1" t="n">
        <v>45483</v>
      </c>
      <c r="C15489" s="1" t="n">
        <v>45736</v>
      </c>
      <c r="D15489" t="inlineStr">
        <is>
          <t>VÄRMLANDS LÄN</t>
        </is>
      </c>
      <c r="E15489" t="inlineStr">
        <is>
          <t>ÅRJÄNG</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29427-2024</t>
        </is>
      </c>
      <c r="B15490" s="1" t="n">
        <v>45483</v>
      </c>
      <c r="C15490" s="1" t="n">
        <v>45736</v>
      </c>
      <c r="D15490" t="inlineStr">
        <is>
          <t>VÄRMLANDS LÄN</t>
        </is>
      </c>
      <c r="E15490" t="inlineStr">
        <is>
          <t>FORSHAGA</t>
        </is>
      </c>
      <c r="G15490" t="n">
        <v>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29389-2024</t>
        </is>
      </c>
      <c r="B15491" s="1" t="n">
        <v>45483</v>
      </c>
      <c r="C15491" s="1" t="n">
        <v>45736</v>
      </c>
      <c r="D15491" t="inlineStr">
        <is>
          <t>VÄRMLANDS LÄN</t>
        </is>
      </c>
      <c r="E15491" t="inlineStr">
        <is>
          <t>HAGFORS</t>
        </is>
      </c>
      <c r="F15491" t="inlineStr">
        <is>
          <t>Bergvik skog väst AB</t>
        </is>
      </c>
      <c r="G15491" t="n">
        <v>20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29426-2024</t>
        </is>
      </c>
      <c r="B15492" s="1" t="n">
        <v>45483</v>
      </c>
      <c r="C15492" s="1" t="n">
        <v>45736</v>
      </c>
      <c r="D15492" t="inlineStr">
        <is>
          <t>VÄRMLANDS LÄN</t>
        </is>
      </c>
      <c r="E15492" t="inlineStr">
        <is>
          <t>FORSHAGA</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29299-2024</t>
        </is>
      </c>
      <c r="B15493" s="1" t="n">
        <v>45483</v>
      </c>
      <c r="C15493" s="1" t="n">
        <v>45736</v>
      </c>
      <c r="D15493" t="inlineStr">
        <is>
          <t>VÄRMLANDS LÄN</t>
        </is>
      </c>
      <c r="E15493" t="inlineStr">
        <is>
          <t>ARVIKA</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29481-2024</t>
        </is>
      </c>
      <c r="B15494" s="1" t="n">
        <v>45484</v>
      </c>
      <c r="C15494" s="1" t="n">
        <v>45736</v>
      </c>
      <c r="D15494" t="inlineStr">
        <is>
          <t>VÄRMLANDS LÄN</t>
        </is>
      </c>
      <c r="E15494" t="inlineStr">
        <is>
          <t>ÅRJÄNG</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29492-2024</t>
        </is>
      </c>
      <c r="B15495" s="1" t="n">
        <v>45484</v>
      </c>
      <c r="C15495" s="1" t="n">
        <v>45736</v>
      </c>
      <c r="D15495" t="inlineStr">
        <is>
          <t>VÄRMLANDS LÄN</t>
        </is>
      </c>
      <c r="E15495" t="inlineStr">
        <is>
          <t>HAGFORS</t>
        </is>
      </c>
      <c r="G15495" t="n">
        <v>5.4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29520-2024</t>
        </is>
      </c>
      <c r="B15496" s="1" t="n">
        <v>45484</v>
      </c>
      <c r="C15496" s="1" t="n">
        <v>45736</v>
      </c>
      <c r="D15496" t="inlineStr">
        <is>
          <t>VÄRMLANDS LÄN</t>
        </is>
      </c>
      <c r="E15496" t="inlineStr">
        <is>
          <t>FILIPSTAD</t>
        </is>
      </c>
      <c r="F15496" t="inlineStr">
        <is>
          <t>Bergvik skog väst AB</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29541-2024</t>
        </is>
      </c>
      <c r="B15497" s="1" t="n">
        <v>45484</v>
      </c>
      <c r="C15497" s="1" t="n">
        <v>45736</v>
      </c>
      <c r="D15497" t="inlineStr">
        <is>
          <t>VÄRMLANDS LÄN</t>
        </is>
      </c>
      <c r="E15497" t="inlineStr">
        <is>
          <t>TORSBY</t>
        </is>
      </c>
      <c r="F15497" t="inlineStr">
        <is>
          <t>Bergvik skog väst AB</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29549-2024</t>
        </is>
      </c>
      <c r="B15498" s="1" t="n">
        <v>45484</v>
      </c>
      <c r="C15498" s="1" t="n">
        <v>45736</v>
      </c>
      <c r="D15498" t="inlineStr">
        <is>
          <t>VÄRMLANDS LÄN</t>
        </is>
      </c>
      <c r="E15498" t="inlineStr">
        <is>
          <t>TORSBY</t>
        </is>
      </c>
      <c r="F15498" t="inlineStr">
        <is>
          <t>Bergvik skog väst AB</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29601-2024</t>
        </is>
      </c>
      <c r="B15499" s="1" t="n">
        <v>45484</v>
      </c>
      <c r="C15499" s="1" t="n">
        <v>45736</v>
      </c>
      <c r="D15499" t="inlineStr">
        <is>
          <t>VÄRMLANDS LÄN</t>
        </is>
      </c>
      <c r="E15499" t="inlineStr">
        <is>
          <t>ÅRJÄNG</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29593-2024</t>
        </is>
      </c>
      <c r="B15500" s="1" t="n">
        <v>45484</v>
      </c>
      <c r="C15500" s="1" t="n">
        <v>45736</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29577-2024</t>
        </is>
      </c>
      <c r="B15501" s="1" t="n">
        <v>45484</v>
      </c>
      <c r="C15501" s="1" t="n">
        <v>45736</v>
      </c>
      <c r="D15501" t="inlineStr">
        <is>
          <t>VÄRMLANDS LÄN</t>
        </is>
      </c>
      <c r="E15501" t="inlineStr">
        <is>
          <t>GRUMS</t>
        </is>
      </c>
      <c r="F15501" t="inlineStr">
        <is>
          <t>Bergvik skog väst AB</t>
        </is>
      </c>
      <c r="G15501" t="n">
        <v>10.1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29698-2024</t>
        </is>
      </c>
      <c r="B15502" s="1" t="n">
        <v>45484</v>
      </c>
      <c r="C15502" s="1" t="n">
        <v>45736</v>
      </c>
      <c r="D15502" t="inlineStr">
        <is>
          <t>VÄRMLANDS LÄN</t>
        </is>
      </c>
      <c r="E15502" t="inlineStr">
        <is>
          <t>KIL</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29535-2024</t>
        </is>
      </c>
      <c r="B15503" s="1" t="n">
        <v>45484</v>
      </c>
      <c r="C15503" s="1" t="n">
        <v>45736</v>
      </c>
      <c r="D15503" t="inlineStr">
        <is>
          <t>VÄRMLANDS LÄN</t>
        </is>
      </c>
      <c r="E15503" t="inlineStr">
        <is>
          <t>TORSBY</t>
        </is>
      </c>
      <c r="F15503" t="inlineStr">
        <is>
          <t>Bergvik skog väst AB</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29611-2024</t>
        </is>
      </c>
      <c r="B15504" s="1" t="n">
        <v>45484</v>
      </c>
      <c r="C15504" s="1" t="n">
        <v>45736</v>
      </c>
      <c r="D15504" t="inlineStr">
        <is>
          <t>VÄRMLANDS LÄN</t>
        </is>
      </c>
      <c r="E15504" t="inlineStr">
        <is>
          <t>ÅRJÄNG</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29603-2024</t>
        </is>
      </c>
      <c r="B15505" s="1" t="n">
        <v>45484</v>
      </c>
      <c r="C15505" s="1" t="n">
        <v>45736</v>
      </c>
      <c r="D15505" t="inlineStr">
        <is>
          <t>VÄRMLANDS LÄN</t>
        </is>
      </c>
      <c r="E15505" t="inlineStr">
        <is>
          <t>ÅRJÄNG</t>
        </is>
      </c>
      <c r="G15505" t="n">
        <v>7.5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29559-2024</t>
        </is>
      </c>
      <c r="B15506" s="1" t="n">
        <v>45484</v>
      </c>
      <c r="C15506" s="1" t="n">
        <v>45736</v>
      </c>
      <c r="D15506" t="inlineStr">
        <is>
          <t>VÄRMLANDS LÄN</t>
        </is>
      </c>
      <c r="E15506" t="inlineStr">
        <is>
          <t>TORSBY</t>
        </is>
      </c>
      <c r="F15506" t="inlineStr">
        <is>
          <t>Bergvik skog väst AB</t>
        </is>
      </c>
      <c r="G15506" t="n">
        <v>8.5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29502-2024</t>
        </is>
      </c>
      <c r="B15507" s="1" t="n">
        <v>45484</v>
      </c>
      <c r="C15507" s="1" t="n">
        <v>45736</v>
      </c>
      <c r="D15507" t="inlineStr">
        <is>
          <t>VÄRMLANDS LÄN</t>
        </is>
      </c>
      <c r="E15507" t="inlineStr">
        <is>
          <t>TORSBY</t>
        </is>
      </c>
      <c r="F15507" t="inlineStr">
        <is>
          <t>Bergvik skog väst AB</t>
        </is>
      </c>
      <c r="G15507" t="n">
        <v>11.3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29494-2024</t>
        </is>
      </c>
      <c r="B15508" s="1" t="n">
        <v>45484</v>
      </c>
      <c r="C15508" s="1" t="n">
        <v>45736</v>
      </c>
      <c r="D15508" t="inlineStr">
        <is>
          <t>VÄRMLANDS LÄN</t>
        </is>
      </c>
      <c r="E15508" t="inlineStr">
        <is>
          <t>ARVIKA</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29483-2024</t>
        </is>
      </c>
      <c r="B15509" s="1" t="n">
        <v>45484</v>
      </c>
      <c r="C15509" s="1" t="n">
        <v>45736</v>
      </c>
      <c r="D15509" t="inlineStr">
        <is>
          <t>VÄRMLANDS LÄN</t>
        </is>
      </c>
      <c r="E15509" t="inlineStr">
        <is>
          <t>ÅRJÄNG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29474-2024</t>
        </is>
      </c>
      <c r="B15510" s="1" t="n">
        <v>45484</v>
      </c>
      <c r="C15510" s="1" t="n">
        <v>45736</v>
      </c>
      <c r="D15510" t="inlineStr">
        <is>
          <t>VÄRMLANDS LÄN</t>
        </is>
      </c>
      <c r="E15510" t="inlineStr">
        <is>
          <t>FILIPSTAD</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29582-2024</t>
        </is>
      </c>
      <c r="B15511" s="1" t="n">
        <v>45484</v>
      </c>
      <c r="C15511" s="1" t="n">
        <v>45736</v>
      </c>
      <c r="D15511" t="inlineStr">
        <is>
          <t>VÄRMLANDS LÄN</t>
        </is>
      </c>
      <c r="E15511" t="inlineStr">
        <is>
          <t>GRUMS</t>
        </is>
      </c>
      <c r="F15511" t="inlineStr">
        <is>
          <t>Bergvik skog väst AB</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29558-2024</t>
        </is>
      </c>
      <c r="B15512" s="1" t="n">
        <v>45484</v>
      </c>
      <c r="C15512" s="1" t="n">
        <v>45736</v>
      </c>
      <c r="D15512" t="inlineStr">
        <is>
          <t>VÄRMLANDS LÄN</t>
        </is>
      </c>
      <c r="E15512" t="inlineStr">
        <is>
          <t>ÅRJÄNG</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29486-2024</t>
        </is>
      </c>
      <c r="B15513" s="1" t="n">
        <v>45484</v>
      </c>
      <c r="C15513" s="1" t="n">
        <v>45736</v>
      </c>
      <c r="D15513" t="inlineStr">
        <is>
          <t>VÄRMLANDS LÄN</t>
        </is>
      </c>
      <c r="E15513" t="inlineStr">
        <is>
          <t>ÅRJÄNG</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29473-2024</t>
        </is>
      </c>
      <c r="B15514" s="1" t="n">
        <v>45484</v>
      </c>
      <c r="C15514" s="1" t="n">
        <v>45736</v>
      </c>
      <c r="D15514" t="inlineStr">
        <is>
          <t>VÄRMLANDS LÄN</t>
        </is>
      </c>
      <c r="E15514" t="inlineStr">
        <is>
          <t>FILIPSTAD</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29827-2024</t>
        </is>
      </c>
      <c r="B15515" s="1" t="n">
        <v>45485</v>
      </c>
      <c r="C15515" s="1" t="n">
        <v>45736</v>
      </c>
      <c r="D15515" t="inlineStr">
        <is>
          <t>VÄRMLANDS LÄN</t>
        </is>
      </c>
      <c r="E15515" t="inlineStr">
        <is>
          <t>HAGFORS</t>
        </is>
      </c>
      <c r="F15515" t="inlineStr">
        <is>
          <t>Bergvik skog väst AB</t>
        </is>
      </c>
      <c r="G15515" t="n">
        <v>13.4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29807-2024</t>
        </is>
      </c>
      <c r="B15516" s="1" t="n">
        <v>45485</v>
      </c>
      <c r="C15516" s="1" t="n">
        <v>45736</v>
      </c>
      <c r="D15516" t="inlineStr">
        <is>
          <t>VÄRMLANDS LÄN</t>
        </is>
      </c>
      <c r="E15516" t="inlineStr">
        <is>
          <t>SÄFFLE</t>
        </is>
      </c>
      <c r="F15516" t="inlineStr">
        <is>
          <t>Bergvik skog väst AB</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29726-2024</t>
        </is>
      </c>
      <c r="B15517" s="1" t="n">
        <v>45485</v>
      </c>
      <c r="C15517" s="1" t="n">
        <v>45736</v>
      </c>
      <c r="D15517" t="inlineStr">
        <is>
          <t>VÄRMLANDS LÄN</t>
        </is>
      </c>
      <c r="E15517" t="inlineStr">
        <is>
          <t>HAGFORS</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29730-2024</t>
        </is>
      </c>
      <c r="B15518" s="1" t="n">
        <v>45485</v>
      </c>
      <c r="C15518" s="1" t="n">
        <v>45736</v>
      </c>
      <c r="D15518" t="inlineStr">
        <is>
          <t>VÄRMLANDS LÄN</t>
        </is>
      </c>
      <c r="E15518" t="inlineStr">
        <is>
          <t>EDA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29759-2024</t>
        </is>
      </c>
      <c r="B15519" s="1" t="n">
        <v>45485</v>
      </c>
      <c r="C15519" s="1" t="n">
        <v>45736</v>
      </c>
      <c r="D15519" t="inlineStr">
        <is>
          <t>VÄRMLANDS LÄN</t>
        </is>
      </c>
      <c r="E15519" t="inlineStr">
        <is>
          <t>TORSBY</t>
        </is>
      </c>
      <c r="F15519" t="inlineStr">
        <is>
          <t>Bergvik skog väst AB</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29745-2024</t>
        </is>
      </c>
      <c r="B15520" s="1" t="n">
        <v>45485</v>
      </c>
      <c r="C15520" s="1" t="n">
        <v>45736</v>
      </c>
      <c r="D15520" t="inlineStr">
        <is>
          <t>VÄRMLANDS LÄN</t>
        </is>
      </c>
      <c r="E15520" t="inlineStr">
        <is>
          <t>MUNKFORS</t>
        </is>
      </c>
      <c r="G15520" t="n">
        <v>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29785-2024</t>
        </is>
      </c>
      <c r="B15521" s="1" t="n">
        <v>45485</v>
      </c>
      <c r="C15521" s="1" t="n">
        <v>45736</v>
      </c>
      <c r="D15521" t="inlineStr">
        <is>
          <t>VÄRMLANDS LÄN</t>
        </is>
      </c>
      <c r="E15521" t="inlineStr">
        <is>
          <t>ARVIKA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29852-2024</t>
        </is>
      </c>
      <c r="B15522" s="1" t="n">
        <v>45485</v>
      </c>
      <c r="C15522" s="1" t="n">
        <v>45736</v>
      </c>
      <c r="D15522" t="inlineStr">
        <is>
          <t>VÄRMLANDS LÄN</t>
        </is>
      </c>
      <c r="E15522" t="inlineStr">
        <is>
          <t>TORSBY</t>
        </is>
      </c>
      <c r="F15522" t="inlineStr">
        <is>
          <t>Bergvik skog väst AB</t>
        </is>
      </c>
      <c r="G15522" t="n">
        <v>9.1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29898-2024</t>
        </is>
      </c>
      <c r="B15523" s="1" t="n">
        <v>45487</v>
      </c>
      <c r="C15523" s="1" t="n">
        <v>45736</v>
      </c>
      <c r="D15523" t="inlineStr">
        <is>
          <t>VÄRMLANDS LÄN</t>
        </is>
      </c>
      <c r="E15523" t="inlineStr">
        <is>
          <t>TORSBY</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29910-2024</t>
        </is>
      </c>
      <c r="B15524" s="1" t="n">
        <v>45487</v>
      </c>
      <c r="C15524" s="1" t="n">
        <v>45736</v>
      </c>
      <c r="D15524" t="inlineStr">
        <is>
          <t>VÄRMLANDS LÄN</t>
        </is>
      </c>
      <c r="E15524" t="inlineStr">
        <is>
          <t>EDA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29895-2024</t>
        </is>
      </c>
      <c r="B15525" s="1" t="n">
        <v>45487</v>
      </c>
      <c r="C15525" s="1" t="n">
        <v>45736</v>
      </c>
      <c r="D15525" t="inlineStr">
        <is>
          <t>VÄRMLANDS LÄN</t>
        </is>
      </c>
      <c r="E15525" t="inlineStr">
        <is>
          <t>TORSBY</t>
        </is>
      </c>
      <c r="G15525" t="n">
        <v>7.2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29911-2024</t>
        </is>
      </c>
      <c r="B15526" s="1" t="n">
        <v>45487</v>
      </c>
      <c r="C15526" s="1" t="n">
        <v>45736</v>
      </c>
      <c r="D15526" t="inlineStr">
        <is>
          <t>VÄRMLANDS LÄN</t>
        </is>
      </c>
      <c r="E15526" t="inlineStr">
        <is>
          <t>EDA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29893-2024</t>
        </is>
      </c>
      <c r="B15527" s="1" t="n">
        <v>45487</v>
      </c>
      <c r="C15527" s="1" t="n">
        <v>45736</v>
      </c>
      <c r="D15527" t="inlineStr">
        <is>
          <t>VÄRMLANDS LÄN</t>
        </is>
      </c>
      <c r="E15527" t="inlineStr">
        <is>
          <t>KARLSTAD</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29897-2024</t>
        </is>
      </c>
      <c r="B15528" s="1" t="n">
        <v>45487</v>
      </c>
      <c r="C15528" s="1" t="n">
        <v>45736</v>
      </c>
      <c r="D15528" t="inlineStr">
        <is>
          <t>VÄRMLANDS LÄN</t>
        </is>
      </c>
      <c r="E15528" t="inlineStr">
        <is>
          <t>TORSBY</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30015-2024</t>
        </is>
      </c>
      <c r="B15529" s="1" t="n">
        <v>45488</v>
      </c>
      <c r="C15529" s="1" t="n">
        <v>45736</v>
      </c>
      <c r="D15529" t="inlineStr">
        <is>
          <t>VÄRMLANDS LÄN</t>
        </is>
      </c>
      <c r="E15529" t="inlineStr">
        <is>
          <t>SÄFFLE</t>
        </is>
      </c>
      <c r="G15529" t="n">
        <v>11.1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29936-2024</t>
        </is>
      </c>
      <c r="B15530" s="1" t="n">
        <v>45488</v>
      </c>
      <c r="C15530" s="1" t="n">
        <v>45736</v>
      </c>
      <c r="D15530" t="inlineStr">
        <is>
          <t>VÄRMLANDS LÄN</t>
        </is>
      </c>
      <c r="E15530" t="inlineStr">
        <is>
          <t>TORSBY</t>
        </is>
      </c>
      <c r="F15530" t="inlineStr">
        <is>
          <t>Kommuner</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29925-2024</t>
        </is>
      </c>
      <c r="B15531" s="1" t="n">
        <v>45488</v>
      </c>
      <c r="C15531" s="1" t="n">
        <v>45736</v>
      </c>
      <c r="D15531" t="inlineStr">
        <is>
          <t>VÄRMLANDS LÄN</t>
        </is>
      </c>
      <c r="E15531" t="inlineStr">
        <is>
          <t>TORSBY</t>
        </is>
      </c>
      <c r="F15531" t="inlineStr">
        <is>
          <t>Kyrkan</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30002-2024</t>
        </is>
      </c>
      <c r="B15532" s="1" t="n">
        <v>45488</v>
      </c>
      <c r="C15532" s="1" t="n">
        <v>45736</v>
      </c>
      <c r="D15532" t="inlineStr">
        <is>
          <t>VÄRMLANDS LÄN</t>
        </is>
      </c>
      <c r="E15532" t="inlineStr">
        <is>
          <t>TORSBY</t>
        </is>
      </c>
      <c r="F15532" t="inlineStr">
        <is>
          <t>Kommuner</t>
        </is>
      </c>
      <c r="G15532" t="n">
        <v>3.1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30011-2024</t>
        </is>
      </c>
      <c r="B15533" s="1" t="n">
        <v>45488</v>
      </c>
      <c r="C15533" s="1" t="n">
        <v>45736</v>
      </c>
      <c r="D15533" t="inlineStr">
        <is>
          <t>VÄRMLANDS LÄN</t>
        </is>
      </c>
      <c r="E15533" t="inlineStr">
        <is>
          <t>TORSBY</t>
        </is>
      </c>
      <c r="F15533" t="inlineStr">
        <is>
          <t>Kommuner</t>
        </is>
      </c>
      <c r="G15533" t="n">
        <v>4.7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29940-2024</t>
        </is>
      </c>
      <c r="B15534" s="1" t="n">
        <v>45488</v>
      </c>
      <c r="C15534" s="1" t="n">
        <v>45736</v>
      </c>
      <c r="D15534" t="inlineStr">
        <is>
          <t>VÄRMLANDS LÄN</t>
        </is>
      </c>
      <c r="E15534" t="inlineStr">
        <is>
          <t>SUNNE</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29926-2024</t>
        </is>
      </c>
      <c r="B15535" s="1" t="n">
        <v>45488</v>
      </c>
      <c r="C15535" s="1" t="n">
        <v>45736</v>
      </c>
      <c r="D15535" t="inlineStr">
        <is>
          <t>VÄRMLANDS LÄN</t>
        </is>
      </c>
      <c r="E15535" t="inlineStr">
        <is>
          <t>TORSBY</t>
        </is>
      </c>
      <c r="F15535" t="inlineStr">
        <is>
          <t>Kommuner</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29939-2024</t>
        </is>
      </c>
      <c r="B15536" s="1" t="n">
        <v>45488</v>
      </c>
      <c r="C15536" s="1" t="n">
        <v>45736</v>
      </c>
      <c r="D15536" t="inlineStr">
        <is>
          <t>VÄRMLANDS LÄN</t>
        </is>
      </c>
      <c r="E15536" t="inlineStr">
        <is>
          <t>KARLSTAD</t>
        </is>
      </c>
      <c r="G15536" t="n">
        <v>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30036-2024</t>
        </is>
      </c>
      <c r="B15537" s="1" t="n">
        <v>45488</v>
      </c>
      <c r="C15537" s="1" t="n">
        <v>45736</v>
      </c>
      <c r="D15537" t="inlineStr">
        <is>
          <t>VÄRMLANDS LÄN</t>
        </is>
      </c>
      <c r="E15537" t="inlineStr">
        <is>
          <t>SUNNE</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29958-2024</t>
        </is>
      </c>
      <c r="B15538" s="1" t="n">
        <v>45488</v>
      </c>
      <c r="C15538" s="1" t="n">
        <v>45736</v>
      </c>
      <c r="D15538" t="inlineStr">
        <is>
          <t>VÄRMLANDS LÄN</t>
        </is>
      </c>
      <c r="E15538" t="inlineStr">
        <is>
          <t>SUNNE</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30158-2024</t>
        </is>
      </c>
      <c r="B15539" s="1" t="n">
        <v>45489</v>
      </c>
      <c r="C15539" s="1" t="n">
        <v>45736</v>
      </c>
      <c r="D15539" t="inlineStr">
        <is>
          <t>VÄRMLANDS LÄN</t>
        </is>
      </c>
      <c r="E15539" t="inlineStr">
        <is>
          <t>HAGFORS</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30074-2024</t>
        </is>
      </c>
      <c r="B15540" s="1" t="n">
        <v>45489</v>
      </c>
      <c r="C15540" s="1" t="n">
        <v>45736</v>
      </c>
      <c r="D15540" t="inlineStr">
        <is>
          <t>VÄRMLANDS LÄN</t>
        </is>
      </c>
      <c r="E15540" t="inlineStr">
        <is>
          <t>TORSBY</t>
        </is>
      </c>
      <c r="F15540" t="inlineStr">
        <is>
          <t>Kyrkan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30156-2024</t>
        </is>
      </c>
      <c r="B15541" s="1" t="n">
        <v>45489</v>
      </c>
      <c r="C15541" s="1" t="n">
        <v>45736</v>
      </c>
      <c r="D15541" t="inlineStr">
        <is>
          <t>VÄRMLANDS LÄN</t>
        </is>
      </c>
      <c r="E15541" t="inlineStr">
        <is>
          <t>ÅRJÄNG</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30239-2024</t>
        </is>
      </c>
      <c r="B15542" s="1" t="n">
        <v>45490</v>
      </c>
      <c r="C15542" s="1" t="n">
        <v>45736</v>
      </c>
      <c r="D15542" t="inlineStr">
        <is>
          <t>VÄRMLANDS LÄN</t>
        </is>
      </c>
      <c r="E15542" t="inlineStr">
        <is>
          <t>SÄFFLE</t>
        </is>
      </c>
      <c r="G15542" t="n">
        <v>7.4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30218-2024</t>
        </is>
      </c>
      <c r="B15543" s="1" t="n">
        <v>45490</v>
      </c>
      <c r="C15543" s="1" t="n">
        <v>45736</v>
      </c>
      <c r="D15543" t="inlineStr">
        <is>
          <t>VÄRMLANDS LÄN</t>
        </is>
      </c>
      <c r="E15543" t="inlineStr">
        <is>
          <t>SUNNE</t>
        </is>
      </c>
      <c r="F15543" t="inlineStr">
        <is>
          <t>Bergvik skog väst AB</t>
        </is>
      </c>
      <c r="G15543" t="n">
        <v>1.1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30304-2024</t>
        </is>
      </c>
      <c r="B15544" s="1" t="n">
        <v>45490</v>
      </c>
      <c r="C15544" s="1" t="n">
        <v>45736</v>
      </c>
      <c r="D15544" t="inlineStr">
        <is>
          <t>VÄRMLANDS LÄN</t>
        </is>
      </c>
      <c r="E15544" t="inlineStr">
        <is>
          <t>SUNNE</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30267-2024</t>
        </is>
      </c>
      <c r="B15545" s="1" t="n">
        <v>45490</v>
      </c>
      <c r="C15545" s="1" t="n">
        <v>45736</v>
      </c>
      <c r="D15545" t="inlineStr">
        <is>
          <t>VÄRMLANDS LÄN</t>
        </is>
      </c>
      <c r="E15545" t="inlineStr">
        <is>
          <t>TORSBY</t>
        </is>
      </c>
      <c r="F15545" t="inlineStr">
        <is>
          <t>Bergvik skog väst AB</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30266-2024</t>
        </is>
      </c>
      <c r="B15546" s="1" t="n">
        <v>45490</v>
      </c>
      <c r="C15546" s="1" t="n">
        <v>45736</v>
      </c>
      <c r="D15546" t="inlineStr">
        <is>
          <t>VÄRMLANDS LÄN</t>
        </is>
      </c>
      <c r="E15546" t="inlineStr">
        <is>
          <t>MUNKFORS</t>
        </is>
      </c>
      <c r="F15546" t="inlineStr">
        <is>
          <t>Bergvik skog väst AB</t>
        </is>
      </c>
      <c r="G15546" t="n">
        <v>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30387-2024</t>
        </is>
      </c>
      <c r="B15547" s="1" t="n">
        <v>45491</v>
      </c>
      <c r="C15547" s="1" t="n">
        <v>45736</v>
      </c>
      <c r="D15547" t="inlineStr">
        <is>
          <t>VÄRMLANDS LÄN</t>
        </is>
      </c>
      <c r="E15547" t="inlineStr">
        <is>
          <t>SÄFFLE</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30369-2024</t>
        </is>
      </c>
      <c r="B15548" s="1" t="n">
        <v>45491</v>
      </c>
      <c r="C15548" s="1" t="n">
        <v>45736</v>
      </c>
      <c r="D15548" t="inlineStr">
        <is>
          <t>VÄRMLANDS LÄN</t>
        </is>
      </c>
      <c r="E15548" t="inlineStr">
        <is>
          <t>EDA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30403-2024</t>
        </is>
      </c>
      <c r="B15549" s="1" t="n">
        <v>45491</v>
      </c>
      <c r="C15549" s="1" t="n">
        <v>45736</v>
      </c>
      <c r="D15549" t="inlineStr">
        <is>
          <t>VÄRMLANDS LÄN</t>
        </is>
      </c>
      <c r="E15549" t="inlineStr">
        <is>
          <t>TORSBY</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30535-2024</t>
        </is>
      </c>
      <c r="B15550" s="1" t="n">
        <v>45492</v>
      </c>
      <c r="C15550" s="1" t="n">
        <v>45736</v>
      </c>
      <c r="D15550" t="inlineStr">
        <is>
          <t>VÄRMLANDS LÄN</t>
        </is>
      </c>
      <c r="E15550" t="inlineStr">
        <is>
          <t>HAGFORS</t>
        </is>
      </c>
      <c r="F15550" t="inlineStr">
        <is>
          <t>Bergvik skog väst AB</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30520-2024</t>
        </is>
      </c>
      <c r="B15551" s="1" t="n">
        <v>45492</v>
      </c>
      <c r="C15551" s="1" t="n">
        <v>45736</v>
      </c>
      <c r="D15551" t="inlineStr">
        <is>
          <t>VÄRMLANDS LÄN</t>
        </is>
      </c>
      <c r="E15551" t="inlineStr">
        <is>
          <t>HAGFORS</t>
        </is>
      </c>
      <c r="F15551" t="inlineStr">
        <is>
          <t>Kyrkan</t>
        </is>
      </c>
      <c r="G15551" t="n">
        <v>5.7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30512-2024</t>
        </is>
      </c>
      <c r="B15552" s="1" t="n">
        <v>45492</v>
      </c>
      <c r="C15552" s="1" t="n">
        <v>45736</v>
      </c>
      <c r="D15552" t="inlineStr">
        <is>
          <t>VÄRMLANDS LÄN</t>
        </is>
      </c>
      <c r="E15552" t="inlineStr">
        <is>
          <t>HAGFORS</t>
        </is>
      </c>
      <c r="F15552" t="inlineStr">
        <is>
          <t>Kyrkan</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30540-2024</t>
        </is>
      </c>
      <c r="B15553" s="1" t="n">
        <v>45492</v>
      </c>
      <c r="C15553" s="1" t="n">
        <v>45736</v>
      </c>
      <c r="D15553" t="inlineStr">
        <is>
          <t>VÄRMLANDS LÄN</t>
        </is>
      </c>
      <c r="E15553" t="inlineStr">
        <is>
          <t>FILIPSTAD</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30552-2024</t>
        </is>
      </c>
      <c r="B15554" s="1" t="n">
        <v>45492</v>
      </c>
      <c r="C15554" s="1" t="n">
        <v>45736</v>
      </c>
      <c r="D15554" t="inlineStr">
        <is>
          <t>VÄRMLANDS LÄN</t>
        </is>
      </c>
      <c r="E15554" t="inlineStr">
        <is>
          <t>FILIPSTAD</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30624-2024</t>
        </is>
      </c>
      <c r="B15555" s="1" t="n">
        <v>45495</v>
      </c>
      <c r="C15555" s="1" t="n">
        <v>45736</v>
      </c>
      <c r="D15555" t="inlineStr">
        <is>
          <t>VÄRMLANDS LÄN</t>
        </is>
      </c>
      <c r="E15555" t="inlineStr">
        <is>
          <t>SÄFFLE</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30619-2024</t>
        </is>
      </c>
      <c r="B15556" s="1" t="n">
        <v>45495</v>
      </c>
      <c r="C15556" s="1" t="n">
        <v>45736</v>
      </c>
      <c r="D15556" t="inlineStr">
        <is>
          <t>VÄRMLANDS LÄN</t>
        </is>
      </c>
      <c r="E15556" t="inlineStr">
        <is>
          <t>SÄFFLE</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30659-2024</t>
        </is>
      </c>
      <c r="B15557" s="1" t="n">
        <v>45495</v>
      </c>
      <c r="C15557" s="1" t="n">
        <v>45736</v>
      </c>
      <c r="D15557" t="inlineStr">
        <is>
          <t>VÄRMLANDS LÄN</t>
        </is>
      </c>
      <c r="E15557" t="inlineStr">
        <is>
          <t>EDA</t>
        </is>
      </c>
      <c r="G15557" t="n">
        <v>4.8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30609-2024</t>
        </is>
      </c>
      <c r="B15558" s="1" t="n">
        <v>45495</v>
      </c>
      <c r="C15558" s="1" t="n">
        <v>45736</v>
      </c>
      <c r="D15558" t="inlineStr">
        <is>
          <t>VÄRMLANDS LÄN</t>
        </is>
      </c>
      <c r="E15558" t="inlineStr">
        <is>
          <t>ARVIKA</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30625-2024</t>
        </is>
      </c>
      <c r="B15559" s="1" t="n">
        <v>45495</v>
      </c>
      <c r="C15559" s="1" t="n">
        <v>45736</v>
      </c>
      <c r="D15559" t="inlineStr">
        <is>
          <t>VÄRMLANDS LÄN</t>
        </is>
      </c>
      <c r="E15559" t="inlineStr">
        <is>
          <t>ARVIKA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30629-2024</t>
        </is>
      </c>
      <c r="B15560" s="1" t="n">
        <v>45495</v>
      </c>
      <c r="C15560" s="1" t="n">
        <v>45736</v>
      </c>
      <c r="D15560" t="inlineStr">
        <is>
          <t>VÄRMLANDS LÄN</t>
        </is>
      </c>
      <c r="E15560" t="inlineStr">
        <is>
          <t>TORSBY</t>
        </is>
      </c>
      <c r="F15560" t="inlineStr">
        <is>
          <t>Bergvik skog väst AB</t>
        </is>
      </c>
      <c r="G15560" t="n">
        <v>12.8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30645-2024</t>
        </is>
      </c>
      <c r="B15561" s="1" t="n">
        <v>45495</v>
      </c>
      <c r="C15561" s="1" t="n">
        <v>45736</v>
      </c>
      <c r="D15561" t="inlineStr">
        <is>
          <t>VÄRMLANDS LÄN</t>
        </is>
      </c>
      <c r="E15561" t="inlineStr">
        <is>
          <t>SUNNE</t>
        </is>
      </c>
      <c r="F15561" t="inlineStr">
        <is>
          <t>Bergvik skog väst AB</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30649-2024</t>
        </is>
      </c>
      <c r="B15562" s="1" t="n">
        <v>45495</v>
      </c>
      <c r="C15562" s="1" t="n">
        <v>45736</v>
      </c>
      <c r="D15562" t="inlineStr">
        <is>
          <t>VÄRMLANDS LÄN</t>
        </is>
      </c>
      <c r="E15562" t="inlineStr">
        <is>
          <t>SUNNE</t>
        </is>
      </c>
      <c r="F15562" t="inlineStr">
        <is>
          <t>Bergvik skog väst AB</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30669-2024</t>
        </is>
      </c>
      <c r="B15563" s="1" t="n">
        <v>45495</v>
      </c>
      <c r="C15563" s="1" t="n">
        <v>45736</v>
      </c>
      <c r="D15563" t="inlineStr">
        <is>
          <t>VÄRMLANDS LÄN</t>
        </is>
      </c>
      <c r="E15563" t="inlineStr">
        <is>
          <t>SUNNE</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30646-2024</t>
        </is>
      </c>
      <c r="B15564" s="1" t="n">
        <v>45495</v>
      </c>
      <c r="C15564" s="1" t="n">
        <v>45736</v>
      </c>
      <c r="D15564" t="inlineStr">
        <is>
          <t>VÄRMLANDS LÄN</t>
        </is>
      </c>
      <c r="E15564" t="inlineStr">
        <is>
          <t>FILIPSTAD</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30664-2024</t>
        </is>
      </c>
      <c r="B15565" s="1" t="n">
        <v>45495</v>
      </c>
      <c r="C15565" s="1" t="n">
        <v>45736</v>
      </c>
      <c r="D15565" t="inlineStr">
        <is>
          <t>VÄRMLANDS LÄN</t>
        </is>
      </c>
      <c r="E15565" t="inlineStr">
        <is>
          <t>EDA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30730-2024</t>
        </is>
      </c>
      <c r="B15566" s="1" t="n">
        <v>45496</v>
      </c>
      <c r="C15566" s="1" t="n">
        <v>45736</v>
      </c>
      <c r="D15566" t="inlineStr">
        <is>
          <t>VÄRMLANDS LÄN</t>
        </is>
      </c>
      <c r="E15566" t="inlineStr">
        <is>
          <t>SUNNE</t>
        </is>
      </c>
      <c r="F15566" t="inlineStr">
        <is>
          <t>Bergvik skog väst AB</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30726-2024</t>
        </is>
      </c>
      <c r="B15567" s="1" t="n">
        <v>45496</v>
      </c>
      <c r="C15567" s="1" t="n">
        <v>45736</v>
      </c>
      <c r="D15567" t="inlineStr">
        <is>
          <t>VÄRMLANDS LÄN</t>
        </is>
      </c>
      <c r="E15567" t="inlineStr">
        <is>
          <t>SÄFFLE</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30718-2024</t>
        </is>
      </c>
      <c r="B15568" s="1" t="n">
        <v>45496</v>
      </c>
      <c r="C15568" s="1" t="n">
        <v>45736</v>
      </c>
      <c r="D15568" t="inlineStr">
        <is>
          <t>VÄRMLANDS LÄN</t>
        </is>
      </c>
      <c r="E15568" t="inlineStr">
        <is>
          <t>TORSBY</t>
        </is>
      </c>
      <c r="F15568" t="inlineStr">
        <is>
          <t>Bergvik skog väst AB</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30714-2024</t>
        </is>
      </c>
      <c r="B15569" s="1" t="n">
        <v>45496</v>
      </c>
      <c r="C15569" s="1" t="n">
        <v>45736</v>
      </c>
      <c r="D15569" t="inlineStr">
        <is>
          <t>VÄRMLANDS LÄN</t>
        </is>
      </c>
      <c r="E15569" t="inlineStr">
        <is>
          <t>ARVIKA</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30706-2024</t>
        </is>
      </c>
      <c r="B15570" s="1" t="n">
        <v>45496</v>
      </c>
      <c r="C15570" s="1" t="n">
        <v>45736</v>
      </c>
      <c r="D15570" t="inlineStr">
        <is>
          <t>VÄRMLANDS LÄN</t>
        </is>
      </c>
      <c r="E15570" t="inlineStr">
        <is>
          <t>TORSBY</t>
        </is>
      </c>
      <c r="F15570" t="inlineStr">
        <is>
          <t>Bergvik skog väst AB</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30694-2024</t>
        </is>
      </c>
      <c r="B15571" s="1" t="n">
        <v>45496</v>
      </c>
      <c r="C15571" s="1" t="n">
        <v>45736</v>
      </c>
      <c r="D15571" t="inlineStr">
        <is>
          <t>VÄRMLANDS LÄN</t>
        </is>
      </c>
      <c r="E15571" t="inlineStr">
        <is>
          <t>HAGFORS</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30720-2024</t>
        </is>
      </c>
      <c r="B15572" s="1" t="n">
        <v>45496</v>
      </c>
      <c r="C15572" s="1" t="n">
        <v>45736</v>
      </c>
      <c r="D15572" t="inlineStr">
        <is>
          <t>VÄRMLANDS LÄN</t>
        </is>
      </c>
      <c r="E15572" t="inlineStr">
        <is>
          <t>TORSBY</t>
        </is>
      </c>
      <c r="F15572" t="inlineStr">
        <is>
          <t>Bergvik skog väst AB</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30700-2024</t>
        </is>
      </c>
      <c r="B15573" s="1" t="n">
        <v>45496</v>
      </c>
      <c r="C15573" s="1" t="n">
        <v>45736</v>
      </c>
      <c r="D15573" t="inlineStr">
        <is>
          <t>VÄRMLANDS LÄN</t>
        </is>
      </c>
      <c r="E15573" t="inlineStr">
        <is>
          <t>TORSBY</t>
        </is>
      </c>
      <c r="G15573" t="n">
        <v>7.2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30696-2024</t>
        </is>
      </c>
      <c r="B15574" s="1" t="n">
        <v>45496</v>
      </c>
      <c r="C15574" s="1" t="n">
        <v>45736</v>
      </c>
      <c r="D15574" t="inlineStr">
        <is>
          <t>VÄRMLANDS LÄN</t>
        </is>
      </c>
      <c r="E15574" t="inlineStr">
        <is>
          <t>TORSBY</t>
        </is>
      </c>
      <c r="F15574" t="inlineStr">
        <is>
          <t>Bergvik skog väst AB</t>
        </is>
      </c>
      <c r="G15574" t="n">
        <v>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30735-2024</t>
        </is>
      </c>
      <c r="B15575" s="1" t="n">
        <v>45496</v>
      </c>
      <c r="C15575" s="1" t="n">
        <v>45736</v>
      </c>
      <c r="D15575" t="inlineStr">
        <is>
          <t>VÄRMLANDS LÄN</t>
        </is>
      </c>
      <c r="E15575" t="inlineStr">
        <is>
          <t>SUNNE</t>
        </is>
      </c>
      <c r="F15575" t="inlineStr">
        <is>
          <t>Bergvik skog väst AB</t>
        </is>
      </c>
      <c r="G15575" t="n">
        <v>3.9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30731-2024</t>
        </is>
      </c>
      <c r="B15576" s="1" t="n">
        <v>45496</v>
      </c>
      <c r="C15576" s="1" t="n">
        <v>45736</v>
      </c>
      <c r="D15576" t="inlineStr">
        <is>
          <t>VÄRMLANDS LÄN</t>
        </is>
      </c>
      <c r="E15576" t="inlineStr">
        <is>
          <t>HAGFORS</t>
        </is>
      </c>
      <c r="G15576" t="n">
        <v>9.4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30715-2024</t>
        </is>
      </c>
      <c r="B15577" s="1" t="n">
        <v>45496</v>
      </c>
      <c r="C15577" s="1" t="n">
        <v>45736</v>
      </c>
      <c r="D15577" t="inlineStr">
        <is>
          <t>VÄRMLANDS LÄN</t>
        </is>
      </c>
      <c r="E15577" t="inlineStr">
        <is>
          <t>ARVIKA</t>
        </is>
      </c>
      <c r="G15577" t="n">
        <v>7.2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30707-2024</t>
        </is>
      </c>
      <c r="B15578" s="1" t="n">
        <v>45496</v>
      </c>
      <c r="C15578" s="1" t="n">
        <v>45736</v>
      </c>
      <c r="D15578" t="inlineStr">
        <is>
          <t>VÄRMLANDS LÄN</t>
        </is>
      </c>
      <c r="E15578" t="inlineStr">
        <is>
          <t>SUNNE</t>
        </is>
      </c>
      <c r="F15578" t="inlineStr">
        <is>
          <t>Kyrkan</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30699-2024</t>
        </is>
      </c>
      <c r="B15579" s="1" t="n">
        <v>45496</v>
      </c>
      <c r="C15579" s="1" t="n">
        <v>45736</v>
      </c>
      <c r="D15579" t="inlineStr">
        <is>
          <t>VÄRMLANDS LÄN</t>
        </is>
      </c>
      <c r="E15579" t="inlineStr">
        <is>
          <t>TORSBY</t>
        </is>
      </c>
      <c r="F15579" t="inlineStr">
        <is>
          <t>Kyrkan</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30705-2024</t>
        </is>
      </c>
      <c r="B15580" s="1" t="n">
        <v>45496</v>
      </c>
      <c r="C15580" s="1" t="n">
        <v>45736</v>
      </c>
      <c r="D15580" t="inlineStr">
        <is>
          <t>VÄRMLANDS LÄN</t>
        </is>
      </c>
      <c r="E15580" t="inlineStr">
        <is>
          <t>TORSBY</t>
        </is>
      </c>
      <c r="F15580" t="inlineStr">
        <is>
          <t>Bergvik skog väst AB</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30693-2024</t>
        </is>
      </c>
      <c r="B15581" s="1" t="n">
        <v>45496</v>
      </c>
      <c r="C15581" s="1" t="n">
        <v>45736</v>
      </c>
      <c r="D15581" t="inlineStr">
        <is>
          <t>VÄRMLANDS LÄN</t>
        </is>
      </c>
      <c r="E15581" t="inlineStr">
        <is>
          <t>HAGFORS</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30856-2024</t>
        </is>
      </c>
      <c r="B15582" s="1" t="n">
        <v>45497</v>
      </c>
      <c r="C15582" s="1" t="n">
        <v>45736</v>
      </c>
      <c r="D15582" t="inlineStr">
        <is>
          <t>VÄRMLANDS LÄN</t>
        </is>
      </c>
      <c r="E15582" t="inlineStr">
        <is>
          <t>SUNNE</t>
        </is>
      </c>
      <c r="F15582" t="inlineStr">
        <is>
          <t>Bergvik skog väst AB</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30850-2024</t>
        </is>
      </c>
      <c r="B15583" s="1" t="n">
        <v>45497</v>
      </c>
      <c r="C15583" s="1" t="n">
        <v>45736</v>
      </c>
      <c r="D15583" t="inlineStr">
        <is>
          <t>VÄRMLANDS LÄN</t>
        </is>
      </c>
      <c r="E15583" t="inlineStr">
        <is>
          <t>SUNNE</t>
        </is>
      </c>
      <c r="F15583" t="inlineStr">
        <is>
          <t>Bergvik skog väst AB</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30857-2024</t>
        </is>
      </c>
      <c r="B15584" s="1" t="n">
        <v>45497</v>
      </c>
      <c r="C15584" s="1" t="n">
        <v>45736</v>
      </c>
      <c r="D15584" t="inlineStr">
        <is>
          <t>VÄRMLANDS LÄN</t>
        </is>
      </c>
      <c r="E15584" t="inlineStr">
        <is>
          <t>SUNNE</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30853-2024</t>
        </is>
      </c>
      <c r="B15585" s="1" t="n">
        <v>45497</v>
      </c>
      <c r="C15585" s="1" t="n">
        <v>45736</v>
      </c>
      <c r="D15585" t="inlineStr">
        <is>
          <t>VÄRMLANDS LÄN</t>
        </is>
      </c>
      <c r="E15585" t="inlineStr">
        <is>
          <t>SUNNE</t>
        </is>
      </c>
      <c r="F15585" t="inlineStr">
        <is>
          <t>Bergvik skog väst AB</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30833-2024</t>
        </is>
      </c>
      <c r="B15586" s="1" t="n">
        <v>45497</v>
      </c>
      <c r="C15586" s="1" t="n">
        <v>45736</v>
      </c>
      <c r="D15586" t="inlineStr">
        <is>
          <t>VÄRMLANDS LÄN</t>
        </is>
      </c>
      <c r="E15586" t="inlineStr">
        <is>
          <t>SUNNE</t>
        </is>
      </c>
      <c r="F15586" t="inlineStr">
        <is>
          <t>Bergvik skog väst AB</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30829-2024</t>
        </is>
      </c>
      <c r="B15587" s="1" t="n">
        <v>45497</v>
      </c>
      <c r="C15587" s="1" t="n">
        <v>45736</v>
      </c>
      <c r="D15587" t="inlineStr">
        <is>
          <t>VÄRMLANDS LÄN</t>
        </is>
      </c>
      <c r="E15587" t="inlineStr">
        <is>
          <t>GRUMS</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30859-2024</t>
        </is>
      </c>
      <c r="B15588" s="1" t="n">
        <v>45497</v>
      </c>
      <c r="C15588" s="1" t="n">
        <v>45736</v>
      </c>
      <c r="D15588" t="inlineStr">
        <is>
          <t>VÄRMLANDS LÄN</t>
        </is>
      </c>
      <c r="E15588" t="inlineStr">
        <is>
          <t>FORSHAGA</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30855-2024</t>
        </is>
      </c>
      <c r="B15589" s="1" t="n">
        <v>45497</v>
      </c>
      <c r="C15589" s="1" t="n">
        <v>45736</v>
      </c>
      <c r="D15589" t="inlineStr">
        <is>
          <t>VÄRMLANDS LÄN</t>
        </is>
      </c>
      <c r="E15589" t="inlineStr">
        <is>
          <t>SUNNE</t>
        </is>
      </c>
      <c r="F15589" t="inlineStr">
        <is>
          <t>Bergvik skog väst AB</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30832-2024</t>
        </is>
      </c>
      <c r="B15590" s="1" t="n">
        <v>45497</v>
      </c>
      <c r="C15590" s="1" t="n">
        <v>45736</v>
      </c>
      <c r="D15590" t="inlineStr">
        <is>
          <t>VÄRMLANDS LÄN</t>
        </is>
      </c>
      <c r="E15590" t="inlineStr">
        <is>
          <t>SUNNE</t>
        </is>
      </c>
      <c r="F15590" t="inlineStr">
        <is>
          <t>Bergvik skog väst AB</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30828-2024</t>
        </is>
      </c>
      <c r="B15591" s="1" t="n">
        <v>45497</v>
      </c>
      <c r="C15591" s="1" t="n">
        <v>45736</v>
      </c>
      <c r="D15591" t="inlineStr">
        <is>
          <t>VÄRMLANDS LÄN</t>
        </is>
      </c>
      <c r="E15591" t="inlineStr">
        <is>
          <t>GRUMS</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30790-2024</t>
        </is>
      </c>
      <c r="B15592" s="1" t="n">
        <v>45497</v>
      </c>
      <c r="C15592" s="1" t="n">
        <v>45736</v>
      </c>
      <c r="D15592" t="inlineStr">
        <is>
          <t>VÄRMLANDS LÄN</t>
        </is>
      </c>
      <c r="E15592" t="inlineStr">
        <is>
          <t>TORSBY</t>
        </is>
      </c>
      <c r="G15592" t="n">
        <v>49.9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30789-2024</t>
        </is>
      </c>
      <c r="B15593" s="1" t="n">
        <v>45497</v>
      </c>
      <c r="C15593" s="1" t="n">
        <v>45736</v>
      </c>
      <c r="D15593" t="inlineStr">
        <is>
          <t>VÄRMLANDS LÄN</t>
        </is>
      </c>
      <c r="E15593" t="inlineStr">
        <is>
          <t>TORSBY</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30869-2024</t>
        </is>
      </c>
      <c r="B15594" s="1" t="n">
        <v>45497</v>
      </c>
      <c r="C15594" s="1" t="n">
        <v>45736</v>
      </c>
      <c r="D15594" t="inlineStr">
        <is>
          <t>VÄRMLANDS LÄN</t>
        </is>
      </c>
      <c r="E15594" t="inlineStr">
        <is>
          <t>ARVIKA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30808-2024</t>
        </is>
      </c>
      <c r="B15595" s="1" t="n">
        <v>45497</v>
      </c>
      <c r="C15595" s="1" t="n">
        <v>45736</v>
      </c>
      <c r="D15595" t="inlineStr">
        <is>
          <t>VÄRMLANDS LÄN</t>
        </is>
      </c>
      <c r="E15595" t="inlineStr">
        <is>
          <t>SÄFFLE</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30827-2024</t>
        </is>
      </c>
      <c r="B15596" s="1" t="n">
        <v>45497</v>
      </c>
      <c r="C15596" s="1" t="n">
        <v>45736</v>
      </c>
      <c r="D15596" t="inlineStr">
        <is>
          <t>VÄRMLANDS LÄN</t>
        </is>
      </c>
      <c r="E15596" t="inlineStr">
        <is>
          <t>GRUMS</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30803-2024</t>
        </is>
      </c>
      <c r="B15597" s="1" t="n">
        <v>45497</v>
      </c>
      <c r="C15597" s="1" t="n">
        <v>45736</v>
      </c>
      <c r="D15597" t="inlineStr">
        <is>
          <t>VÄRMLANDS LÄN</t>
        </is>
      </c>
      <c r="E15597" t="inlineStr">
        <is>
          <t>TORSBY</t>
        </is>
      </c>
      <c r="F15597" t="inlineStr">
        <is>
          <t>Kyrkan</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30791-2024</t>
        </is>
      </c>
      <c r="B15598" s="1" t="n">
        <v>45497</v>
      </c>
      <c r="C15598" s="1" t="n">
        <v>45736</v>
      </c>
      <c r="D15598" t="inlineStr">
        <is>
          <t>VÄRMLANDS LÄN</t>
        </is>
      </c>
      <c r="E15598" t="inlineStr">
        <is>
          <t>TORSBY</t>
        </is>
      </c>
      <c r="G15598" t="n">
        <v>44.2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30887-2024</t>
        </is>
      </c>
      <c r="B15599" s="1" t="n">
        <v>45498</v>
      </c>
      <c r="C15599" s="1" t="n">
        <v>45736</v>
      </c>
      <c r="D15599" t="inlineStr">
        <is>
          <t>VÄRMLANDS LÄN</t>
        </is>
      </c>
      <c r="E15599" t="inlineStr">
        <is>
          <t>SUNNE</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30891-2024</t>
        </is>
      </c>
      <c r="B15600" s="1" t="n">
        <v>45498</v>
      </c>
      <c r="C15600" s="1" t="n">
        <v>45736</v>
      </c>
      <c r="D15600" t="inlineStr">
        <is>
          <t>VÄRMLANDS LÄN</t>
        </is>
      </c>
      <c r="E15600" t="inlineStr">
        <is>
          <t>ARVIKA</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30873-2024</t>
        </is>
      </c>
      <c r="B15601" s="1" t="n">
        <v>45498</v>
      </c>
      <c r="C15601" s="1" t="n">
        <v>45736</v>
      </c>
      <c r="D15601" t="inlineStr">
        <is>
          <t>VÄRMLANDS LÄN</t>
        </is>
      </c>
      <c r="E15601" t="inlineStr">
        <is>
          <t>TORSBY</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30895-2024</t>
        </is>
      </c>
      <c r="B15602" s="1" t="n">
        <v>45498</v>
      </c>
      <c r="C15602" s="1" t="n">
        <v>45736</v>
      </c>
      <c r="D15602" t="inlineStr">
        <is>
          <t>VÄRMLANDS LÄN</t>
        </is>
      </c>
      <c r="E15602" t="inlineStr">
        <is>
          <t>EDA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30940-2024</t>
        </is>
      </c>
      <c r="B15603" s="1" t="n">
        <v>45498</v>
      </c>
      <c r="C15603" s="1" t="n">
        <v>45736</v>
      </c>
      <c r="D15603" t="inlineStr">
        <is>
          <t>VÄRMLANDS LÄN</t>
        </is>
      </c>
      <c r="E15603" t="inlineStr">
        <is>
          <t>ARVIKA</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30878-2024</t>
        </is>
      </c>
      <c r="B15604" s="1" t="n">
        <v>45498</v>
      </c>
      <c r="C15604" s="1" t="n">
        <v>45736</v>
      </c>
      <c r="D15604" t="inlineStr">
        <is>
          <t>VÄRMLANDS LÄN</t>
        </is>
      </c>
      <c r="E15604" t="inlineStr">
        <is>
          <t>SÄFFLE</t>
        </is>
      </c>
      <c r="G15604" t="n">
        <v>5.1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30952-2024</t>
        </is>
      </c>
      <c r="B15605" s="1" t="n">
        <v>45499</v>
      </c>
      <c r="C15605" s="1" t="n">
        <v>45736</v>
      </c>
      <c r="D15605" t="inlineStr">
        <is>
          <t>VÄRMLANDS LÄN</t>
        </is>
      </c>
      <c r="E15605" t="inlineStr">
        <is>
          <t>TORSBY</t>
        </is>
      </c>
      <c r="F15605" t="inlineStr">
        <is>
          <t>Bergvik skog väst AB</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30960-2024</t>
        </is>
      </c>
      <c r="B15606" s="1" t="n">
        <v>45499</v>
      </c>
      <c r="C15606" s="1" t="n">
        <v>45736</v>
      </c>
      <c r="D15606" t="inlineStr">
        <is>
          <t>VÄRMLANDS LÄN</t>
        </is>
      </c>
      <c r="E15606" t="inlineStr">
        <is>
          <t>ÅRJÄNG</t>
        </is>
      </c>
      <c r="F15606" t="inlineStr">
        <is>
          <t>Kyrkan</t>
        </is>
      </c>
      <c r="G15606" t="n">
        <v>5.9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30947-2024</t>
        </is>
      </c>
      <c r="B15607" s="1" t="n">
        <v>45499</v>
      </c>
      <c r="C15607" s="1" t="n">
        <v>45736</v>
      </c>
      <c r="D15607" t="inlineStr">
        <is>
          <t>VÄRMLANDS LÄN</t>
        </is>
      </c>
      <c r="E15607" t="inlineStr">
        <is>
          <t>TORSBY</t>
        </is>
      </c>
      <c r="F15607" t="inlineStr">
        <is>
          <t>Bergvik skog väst AB</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30955-2024</t>
        </is>
      </c>
      <c r="B15608" s="1" t="n">
        <v>45499</v>
      </c>
      <c r="C15608" s="1" t="n">
        <v>45736</v>
      </c>
      <c r="D15608" t="inlineStr">
        <is>
          <t>VÄRMLANDS LÄN</t>
        </is>
      </c>
      <c r="E15608" t="inlineStr">
        <is>
          <t>HAGFORS</t>
        </is>
      </c>
      <c r="F15608" t="inlineStr">
        <is>
          <t>Bergvik skog väst AB</t>
        </is>
      </c>
      <c r="G15608" t="n">
        <v>21.1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30993-2024</t>
        </is>
      </c>
      <c r="B15609" s="1" t="n">
        <v>45499</v>
      </c>
      <c r="C15609" s="1" t="n">
        <v>45736</v>
      </c>
      <c r="D15609" t="inlineStr">
        <is>
          <t>VÄRMLANDS LÄN</t>
        </is>
      </c>
      <c r="E15609" t="inlineStr">
        <is>
          <t>ÅRJÄNG</t>
        </is>
      </c>
      <c r="F15609" t="inlineStr">
        <is>
          <t>Kyrkan</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30996-2024</t>
        </is>
      </c>
      <c r="B15610" s="1" t="n">
        <v>45499</v>
      </c>
      <c r="C15610" s="1" t="n">
        <v>45736</v>
      </c>
      <c r="D15610" t="inlineStr">
        <is>
          <t>VÄRMLANDS LÄN</t>
        </is>
      </c>
      <c r="E15610" t="inlineStr">
        <is>
          <t>ÅRJÄNG</t>
        </is>
      </c>
      <c r="F15610" t="inlineStr">
        <is>
          <t>Kyrkan</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31005-2024</t>
        </is>
      </c>
      <c r="B15611" s="1" t="n">
        <v>45499</v>
      </c>
      <c r="C15611" s="1" t="n">
        <v>45736</v>
      </c>
      <c r="D15611" t="inlineStr">
        <is>
          <t>VÄRMLANDS LÄN</t>
        </is>
      </c>
      <c r="E15611" t="inlineStr">
        <is>
          <t>KIL</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31004-2024</t>
        </is>
      </c>
      <c r="B15612" s="1" t="n">
        <v>45499</v>
      </c>
      <c r="C15612" s="1" t="n">
        <v>45736</v>
      </c>
      <c r="D15612" t="inlineStr">
        <is>
          <t>VÄRMLANDS LÄN</t>
        </is>
      </c>
      <c r="E15612" t="inlineStr">
        <is>
          <t>TORSBY</t>
        </is>
      </c>
      <c r="F15612" t="inlineStr">
        <is>
          <t>Bergvik skog väst AB</t>
        </is>
      </c>
      <c r="G15612" t="n">
        <v>14.2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30942-2024</t>
        </is>
      </c>
      <c r="B15613" s="1" t="n">
        <v>45499</v>
      </c>
      <c r="C15613" s="1" t="n">
        <v>45736</v>
      </c>
      <c r="D15613" t="inlineStr">
        <is>
          <t>VÄRMLANDS LÄN</t>
        </is>
      </c>
      <c r="E15613" t="inlineStr">
        <is>
          <t>TORSBY</t>
        </is>
      </c>
      <c r="F15613" t="inlineStr">
        <is>
          <t>Bergvik skog väst AB</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31020-2024</t>
        </is>
      </c>
      <c r="B15614" s="1" t="n">
        <v>45499</v>
      </c>
      <c r="C15614" s="1" t="n">
        <v>45736</v>
      </c>
      <c r="D15614" t="inlineStr">
        <is>
          <t>VÄRMLANDS LÄN</t>
        </is>
      </c>
      <c r="E15614" t="inlineStr">
        <is>
          <t>SUNNE</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31032-2024</t>
        </is>
      </c>
      <c r="B15615" s="1" t="n">
        <v>45501</v>
      </c>
      <c r="C15615" s="1" t="n">
        <v>45736</v>
      </c>
      <c r="D15615" t="inlineStr">
        <is>
          <t>VÄRMLANDS LÄN</t>
        </is>
      </c>
      <c r="E15615" t="inlineStr">
        <is>
          <t>KIL</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31037-2024</t>
        </is>
      </c>
      <c r="B15616" s="1" t="n">
        <v>45501</v>
      </c>
      <c r="C15616" s="1" t="n">
        <v>45736</v>
      </c>
      <c r="D15616" t="inlineStr">
        <is>
          <t>VÄRMLANDS LÄN</t>
        </is>
      </c>
      <c r="E15616" t="inlineStr">
        <is>
          <t>STORFORS</t>
        </is>
      </c>
      <c r="F15616" t="inlineStr">
        <is>
          <t>Bergvik skog väst AB</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31033-2024</t>
        </is>
      </c>
      <c r="B15617" s="1" t="n">
        <v>45501</v>
      </c>
      <c r="C15617" s="1" t="n">
        <v>45736</v>
      </c>
      <c r="D15617" t="inlineStr">
        <is>
          <t>VÄRMLANDS LÄN</t>
        </is>
      </c>
      <c r="E15617" t="inlineStr">
        <is>
          <t>KIL</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31026-2024</t>
        </is>
      </c>
      <c r="B15618" s="1" t="n">
        <v>45501</v>
      </c>
      <c r="C15618" s="1" t="n">
        <v>45736</v>
      </c>
      <c r="D15618" t="inlineStr">
        <is>
          <t>VÄRMLANDS LÄN</t>
        </is>
      </c>
      <c r="E15618" t="inlineStr">
        <is>
          <t>SÄFFLE</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31087-2024</t>
        </is>
      </c>
      <c r="B15619" s="1" t="n">
        <v>45502</v>
      </c>
      <c r="C15619" s="1" t="n">
        <v>45736</v>
      </c>
      <c r="D15619" t="inlineStr">
        <is>
          <t>VÄRMLANDS LÄN</t>
        </is>
      </c>
      <c r="E15619" t="inlineStr">
        <is>
          <t>HAGFORS</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31075-2024</t>
        </is>
      </c>
      <c r="B15620" s="1" t="n">
        <v>45502</v>
      </c>
      <c r="C15620" s="1" t="n">
        <v>45736</v>
      </c>
      <c r="D15620" t="inlineStr">
        <is>
          <t>VÄRMLANDS LÄN</t>
        </is>
      </c>
      <c r="E15620" t="inlineStr">
        <is>
          <t>SUNNE</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31086-2024</t>
        </is>
      </c>
      <c r="B15621" s="1" t="n">
        <v>45502</v>
      </c>
      <c r="C15621" s="1" t="n">
        <v>45736</v>
      </c>
      <c r="D15621" t="inlineStr">
        <is>
          <t>VÄRMLANDS LÄN</t>
        </is>
      </c>
      <c r="E15621" t="inlineStr">
        <is>
          <t>SUNNE</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31133-2024</t>
        </is>
      </c>
      <c r="B15622" s="1" t="n">
        <v>45502</v>
      </c>
      <c r="C15622" s="1" t="n">
        <v>45736</v>
      </c>
      <c r="D15622" t="inlineStr">
        <is>
          <t>VÄRMLANDS LÄN</t>
        </is>
      </c>
      <c r="E15622" t="inlineStr">
        <is>
          <t>GRUMS</t>
        </is>
      </c>
      <c r="G15622" t="n">
        <v>4.9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31121-2024</t>
        </is>
      </c>
      <c r="B15623" s="1" t="n">
        <v>45502</v>
      </c>
      <c r="C15623" s="1" t="n">
        <v>45736</v>
      </c>
      <c r="D15623" t="inlineStr">
        <is>
          <t>VÄRMLANDS LÄN</t>
        </is>
      </c>
      <c r="E15623" t="inlineStr">
        <is>
          <t>SUNNE</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31089-2024</t>
        </is>
      </c>
      <c r="B15624" s="1" t="n">
        <v>45502</v>
      </c>
      <c r="C15624" s="1" t="n">
        <v>45736</v>
      </c>
      <c r="D15624" t="inlineStr">
        <is>
          <t>VÄRMLANDS LÄN</t>
        </is>
      </c>
      <c r="E15624" t="inlineStr">
        <is>
          <t>TORSBY</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31077-2024</t>
        </is>
      </c>
      <c r="B15625" s="1" t="n">
        <v>45502</v>
      </c>
      <c r="C15625" s="1" t="n">
        <v>45736</v>
      </c>
      <c r="D15625" t="inlineStr">
        <is>
          <t>VÄRMLANDS LÄN</t>
        </is>
      </c>
      <c r="E15625" t="inlineStr">
        <is>
          <t>EDA</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31158-2024</t>
        </is>
      </c>
      <c r="B15626" s="1" t="n">
        <v>45503</v>
      </c>
      <c r="C15626" s="1" t="n">
        <v>45736</v>
      </c>
      <c r="D15626" t="inlineStr">
        <is>
          <t>VÄRMLANDS LÄN</t>
        </is>
      </c>
      <c r="E15626" t="inlineStr">
        <is>
          <t>TORSBY</t>
        </is>
      </c>
      <c r="F15626" t="inlineStr">
        <is>
          <t>Kyrkan</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31164-2024</t>
        </is>
      </c>
      <c r="B15627" s="1" t="n">
        <v>45503</v>
      </c>
      <c r="C15627" s="1" t="n">
        <v>45736</v>
      </c>
      <c r="D15627" t="inlineStr">
        <is>
          <t>VÄRMLANDS LÄN</t>
        </is>
      </c>
      <c r="E15627" t="inlineStr">
        <is>
          <t>TORSBY</t>
        </is>
      </c>
      <c r="F15627" t="inlineStr">
        <is>
          <t>Kyrkan</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31199-2024</t>
        </is>
      </c>
      <c r="B15628" s="1" t="n">
        <v>45503</v>
      </c>
      <c r="C15628" s="1" t="n">
        <v>45736</v>
      </c>
      <c r="D15628" t="inlineStr">
        <is>
          <t>VÄRMLANDS LÄN</t>
        </is>
      </c>
      <c r="E15628" t="inlineStr">
        <is>
          <t>SÄFFLE</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31203-2024</t>
        </is>
      </c>
      <c r="B15629" s="1" t="n">
        <v>45503</v>
      </c>
      <c r="C15629" s="1" t="n">
        <v>45736</v>
      </c>
      <c r="D15629" t="inlineStr">
        <is>
          <t>VÄRMLANDS LÄN</t>
        </is>
      </c>
      <c r="E15629" t="inlineStr">
        <is>
          <t>SÄFFLE</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31221-2024</t>
        </is>
      </c>
      <c r="B15630" s="1" t="n">
        <v>45503</v>
      </c>
      <c r="C15630" s="1" t="n">
        <v>45736</v>
      </c>
      <c r="D15630" t="inlineStr">
        <is>
          <t>VÄRMLANDS LÄN</t>
        </is>
      </c>
      <c r="E15630" t="inlineStr">
        <is>
          <t>SUNNE</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31226-2024</t>
        </is>
      </c>
      <c r="B15631" s="1" t="n">
        <v>45503</v>
      </c>
      <c r="C15631" s="1" t="n">
        <v>45736</v>
      </c>
      <c r="D15631" t="inlineStr">
        <is>
          <t>VÄRMLANDS LÄN</t>
        </is>
      </c>
      <c r="E15631" t="inlineStr">
        <is>
          <t>SUNNE</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31269-2024</t>
        </is>
      </c>
      <c r="B15632" s="1" t="n">
        <v>45504</v>
      </c>
      <c r="C15632" s="1" t="n">
        <v>45736</v>
      </c>
      <c r="D15632" t="inlineStr">
        <is>
          <t>VÄRMLANDS LÄN</t>
        </is>
      </c>
      <c r="E15632" t="inlineStr">
        <is>
          <t>ARVIKA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31303-2024</t>
        </is>
      </c>
      <c r="B15633" s="1" t="n">
        <v>45504</v>
      </c>
      <c r="C15633" s="1" t="n">
        <v>45736</v>
      </c>
      <c r="D15633" t="inlineStr">
        <is>
          <t>VÄRMLANDS LÄN</t>
        </is>
      </c>
      <c r="E15633" t="inlineStr">
        <is>
          <t>ARVIKA</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31285-2024</t>
        </is>
      </c>
      <c r="B15634" s="1" t="n">
        <v>45504</v>
      </c>
      <c r="C15634" s="1" t="n">
        <v>45736</v>
      </c>
      <c r="D15634" t="inlineStr">
        <is>
          <t>VÄRMLANDS LÄN</t>
        </is>
      </c>
      <c r="E15634" t="inlineStr">
        <is>
          <t>TORSBY</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31289-2024</t>
        </is>
      </c>
      <c r="B15635" s="1" t="n">
        <v>45504</v>
      </c>
      <c r="C15635" s="1" t="n">
        <v>45736</v>
      </c>
      <c r="D15635" t="inlineStr">
        <is>
          <t>VÄRMLANDS LÄN</t>
        </is>
      </c>
      <c r="E15635" t="inlineStr">
        <is>
          <t>TORSBY</t>
        </is>
      </c>
      <c r="G15635" t="n">
        <v>16.8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31380-2024</t>
        </is>
      </c>
      <c r="B15636" s="1" t="n">
        <v>45505</v>
      </c>
      <c r="C15636" s="1" t="n">
        <v>45736</v>
      </c>
      <c r="D15636" t="inlineStr">
        <is>
          <t>VÄRMLANDS LÄN</t>
        </is>
      </c>
      <c r="E15636" t="inlineStr">
        <is>
          <t>TORSBY</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31362-2024</t>
        </is>
      </c>
      <c r="B15637" s="1" t="n">
        <v>45505</v>
      </c>
      <c r="C15637" s="1" t="n">
        <v>45736</v>
      </c>
      <c r="D15637" t="inlineStr">
        <is>
          <t>VÄRMLANDS LÄN</t>
        </is>
      </c>
      <c r="E15637" t="inlineStr">
        <is>
          <t>GRUMS</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31409-2024</t>
        </is>
      </c>
      <c r="B15638" s="1" t="n">
        <v>45505</v>
      </c>
      <c r="C15638" s="1" t="n">
        <v>45736</v>
      </c>
      <c r="D15638" t="inlineStr">
        <is>
          <t>VÄRMLANDS LÄN</t>
        </is>
      </c>
      <c r="E15638" t="inlineStr">
        <is>
          <t>MUNKFORS</t>
        </is>
      </c>
      <c r="F15638" t="inlineStr">
        <is>
          <t>Bergvik skog väst AB</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31357-2024</t>
        </is>
      </c>
      <c r="B15639" s="1" t="n">
        <v>45505</v>
      </c>
      <c r="C15639" s="1" t="n">
        <v>45736</v>
      </c>
      <c r="D15639" t="inlineStr">
        <is>
          <t>VÄRMLANDS LÄN</t>
        </is>
      </c>
      <c r="E15639" t="inlineStr">
        <is>
          <t>GRUMS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31360-2024</t>
        </is>
      </c>
      <c r="B15640" s="1" t="n">
        <v>45505</v>
      </c>
      <c r="C15640" s="1" t="n">
        <v>45736</v>
      </c>
      <c r="D15640" t="inlineStr">
        <is>
          <t>VÄRMLANDS LÄN</t>
        </is>
      </c>
      <c r="E15640" t="inlineStr">
        <is>
          <t>GRUMS</t>
        </is>
      </c>
      <c r="G15640" t="n">
        <v>3.1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31402-2024</t>
        </is>
      </c>
      <c r="B15641" s="1" t="n">
        <v>45505</v>
      </c>
      <c r="C15641" s="1" t="n">
        <v>45736</v>
      </c>
      <c r="D15641" t="inlineStr">
        <is>
          <t>VÄRMLANDS LÄN</t>
        </is>
      </c>
      <c r="E15641" t="inlineStr">
        <is>
          <t>ARVIKA</t>
        </is>
      </c>
      <c r="F15641" t="inlineStr">
        <is>
          <t>Bergvik skog väst AB</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31432-2024</t>
        </is>
      </c>
      <c r="B15642" s="1" t="n">
        <v>45505</v>
      </c>
      <c r="C15642" s="1" t="n">
        <v>45736</v>
      </c>
      <c r="D15642" t="inlineStr">
        <is>
          <t>VÄRMLANDS LÄN</t>
        </is>
      </c>
      <c r="E15642" t="inlineStr">
        <is>
          <t>SUNNE</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31385-2024</t>
        </is>
      </c>
      <c r="B15643" s="1" t="n">
        <v>45505</v>
      </c>
      <c r="C15643" s="1" t="n">
        <v>45736</v>
      </c>
      <c r="D15643" t="inlineStr">
        <is>
          <t>VÄRMLANDS LÄN</t>
        </is>
      </c>
      <c r="E15643" t="inlineStr">
        <is>
          <t>TORSBY</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31377-2024</t>
        </is>
      </c>
      <c r="B15644" s="1" t="n">
        <v>45505</v>
      </c>
      <c r="C15644" s="1" t="n">
        <v>45736</v>
      </c>
      <c r="D15644" t="inlineStr">
        <is>
          <t>VÄRMLANDS LÄN</t>
        </is>
      </c>
      <c r="E15644" t="inlineStr">
        <is>
          <t>TORSBY</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31351-2024</t>
        </is>
      </c>
      <c r="B15645" s="1" t="n">
        <v>45505</v>
      </c>
      <c r="C15645" s="1" t="n">
        <v>45736</v>
      </c>
      <c r="D15645" t="inlineStr">
        <is>
          <t>VÄRMLANDS LÄN</t>
        </is>
      </c>
      <c r="E15645" t="inlineStr">
        <is>
          <t>TORSBY</t>
        </is>
      </c>
      <c r="F15645" t="inlineStr">
        <is>
          <t>Kyrkan</t>
        </is>
      </c>
      <c r="G15645" t="n">
        <v>6.5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31582-2024</t>
        </is>
      </c>
      <c r="B15646" s="1" t="n">
        <v>45506</v>
      </c>
      <c r="C15646" s="1" t="n">
        <v>45736</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31624-2024</t>
        </is>
      </c>
      <c r="B15647" s="1" t="n">
        <v>45506</v>
      </c>
      <c r="C15647" s="1" t="n">
        <v>45736</v>
      </c>
      <c r="D15647" t="inlineStr">
        <is>
          <t>VÄRMLANDS LÄN</t>
        </is>
      </c>
      <c r="E15647" t="inlineStr">
        <is>
          <t>SÄFFLE</t>
        </is>
      </c>
      <c r="F15647" t="inlineStr">
        <is>
          <t>Kyrkan</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31585-2024</t>
        </is>
      </c>
      <c r="B15648" s="1" t="n">
        <v>45506</v>
      </c>
      <c r="C15648" s="1" t="n">
        <v>45736</v>
      </c>
      <c r="D15648" t="inlineStr">
        <is>
          <t>VÄRMLANDS LÄN</t>
        </is>
      </c>
      <c r="E15648" t="inlineStr">
        <is>
          <t>ARVIKA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31576-2024</t>
        </is>
      </c>
      <c r="B15649" s="1" t="n">
        <v>45506</v>
      </c>
      <c r="C15649" s="1" t="n">
        <v>45736</v>
      </c>
      <c r="D15649" t="inlineStr">
        <is>
          <t>VÄRMLANDS LÄN</t>
        </is>
      </c>
      <c r="E15649" t="inlineStr">
        <is>
          <t>ARVIKA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31657-2024</t>
        </is>
      </c>
      <c r="B15650" s="1" t="n">
        <v>45506</v>
      </c>
      <c r="C15650" s="1" t="n">
        <v>45736</v>
      </c>
      <c r="D15650" t="inlineStr">
        <is>
          <t>VÄRMLANDS LÄN</t>
        </is>
      </c>
      <c r="E15650" t="inlineStr">
        <is>
          <t>HAGFORS</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31622-2024</t>
        </is>
      </c>
      <c r="B15651" s="1" t="n">
        <v>45506</v>
      </c>
      <c r="C15651" s="1" t="n">
        <v>45736</v>
      </c>
      <c r="D15651" t="inlineStr">
        <is>
          <t>VÄRMLANDS LÄN</t>
        </is>
      </c>
      <c r="E15651" t="inlineStr">
        <is>
          <t>ÅRJÄNG</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31630-2024</t>
        </is>
      </c>
      <c r="B15652" s="1" t="n">
        <v>45506</v>
      </c>
      <c r="C15652" s="1" t="n">
        <v>45736</v>
      </c>
      <c r="D15652" t="inlineStr">
        <is>
          <t>VÄRMLANDS LÄN</t>
        </is>
      </c>
      <c r="E15652" t="inlineStr">
        <is>
          <t>FILIPSTAD</t>
        </is>
      </c>
      <c r="F15652" t="inlineStr">
        <is>
          <t>Bergvik skog väst AB</t>
        </is>
      </c>
      <c r="G15652" t="n">
        <v>5.2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31591-2024</t>
        </is>
      </c>
      <c r="B15653" s="1" t="n">
        <v>45506</v>
      </c>
      <c r="C15653" s="1" t="n">
        <v>45736</v>
      </c>
      <c r="D15653" t="inlineStr">
        <is>
          <t>VÄRMLANDS LÄN</t>
        </is>
      </c>
      <c r="E15653" t="inlineStr">
        <is>
          <t>SÄFFLE</t>
        </is>
      </c>
      <c r="F15653" t="inlineStr">
        <is>
          <t>Kyrkan</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31632-2024</t>
        </is>
      </c>
      <c r="B15654" s="1" t="n">
        <v>45506</v>
      </c>
      <c r="C15654" s="1" t="n">
        <v>45736</v>
      </c>
      <c r="D15654" t="inlineStr">
        <is>
          <t>VÄRMLANDS LÄN</t>
        </is>
      </c>
      <c r="E15654" t="inlineStr">
        <is>
          <t>FILIPSTAD</t>
        </is>
      </c>
      <c r="F15654" t="inlineStr">
        <is>
          <t>Bergvik skog väst AB</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31715-2024</t>
        </is>
      </c>
      <c r="B15655" s="1" t="n">
        <v>45507</v>
      </c>
      <c r="C15655" s="1" t="n">
        <v>45736</v>
      </c>
      <c r="D15655" t="inlineStr">
        <is>
          <t>VÄRMLANDS LÄN</t>
        </is>
      </c>
      <c r="E15655" t="inlineStr">
        <is>
          <t>ÅRJÄNG</t>
        </is>
      </c>
      <c r="F15655" t="inlineStr">
        <is>
          <t>Övriga Aktiebolag</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31697-2024</t>
        </is>
      </c>
      <c r="B15656" s="1" t="n">
        <v>45508</v>
      </c>
      <c r="C15656" s="1" t="n">
        <v>45736</v>
      </c>
      <c r="D15656" t="inlineStr">
        <is>
          <t>VÄRMLANDS LÄN</t>
        </is>
      </c>
      <c r="E15656" t="inlineStr">
        <is>
          <t>EDA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31703-2024</t>
        </is>
      </c>
      <c r="B15657" s="1" t="n">
        <v>45508</v>
      </c>
      <c r="C15657" s="1" t="n">
        <v>45736</v>
      </c>
      <c r="D15657" t="inlineStr">
        <is>
          <t>VÄRMLANDS LÄN</t>
        </is>
      </c>
      <c r="E15657" t="inlineStr">
        <is>
          <t>ARVIKA</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31698-2024</t>
        </is>
      </c>
      <c r="B15658" s="1" t="n">
        <v>45508</v>
      </c>
      <c r="C15658" s="1" t="n">
        <v>45736</v>
      </c>
      <c r="D15658" t="inlineStr">
        <is>
          <t>VÄRMLANDS LÄN</t>
        </is>
      </c>
      <c r="E15658" t="inlineStr">
        <is>
          <t>EDA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31702-2024</t>
        </is>
      </c>
      <c r="B15659" s="1" t="n">
        <v>45508</v>
      </c>
      <c r="C15659" s="1" t="n">
        <v>45736</v>
      </c>
      <c r="D15659" t="inlineStr">
        <is>
          <t>VÄRMLANDS LÄN</t>
        </is>
      </c>
      <c r="E15659" t="inlineStr">
        <is>
          <t>SUNNE</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31813-2024</t>
        </is>
      </c>
      <c r="B15660" s="1" t="n">
        <v>45509</v>
      </c>
      <c r="C15660" s="1" t="n">
        <v>45736</v>
      </c>
      <c r="D15660" t="inlineStr">
        <is>
          <t>VÄRMLANDS LÄN</t>
        </is>
      </c>
      <c r="E15660" t="inlineStr">
        <is>
          <t>HAGFORS</t>
        </is>
      </c>
      <c r="F15660" t="inlineStr">
        <is>
          <t>Kommuner</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31821-2024</t>
        </is>
      </c>
      <c r="B15661" s="1" t="n">
        <v>45509</v>
      </c>
      <c r="C15661" s="1" t="n">
        <v>45736</v>
      </c>
      <c r="D15661" t="inlineStr">
        <is>
          <t>VÄRMLANDS LÄN</t>
        </is>
      </c>
      <c r="E15661" t="inlineStr">
        <is>
          <t>SUNNE</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31751-2024</t>
        </is>
      </c>
      <c r="B15662" s="1" t="n">
        <v>45509</v>
      </c>
      <c r="C15662" s="1" t="n">
        <v>45736</v>
      </c>
      <c r="D15662" t="inlineStr">
        <is>
          <t>VÄRMLANDS LÄN</t>
        </is>
      </c>
      <c r="E15662" t="inlineStr">
        <is>
          <t>ARVIKA</t>
        </is>
      </c>
      <c r="F15662" t="inlineStr">
        <is>
          <t>Bergvik skog väst AB</t>
        </is>
      </c>
      <c r="G15662" t="n">
        <v>6.9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31767-2024</t>
        </is>
      </c>
      <c r="B15663" s="1" t="n">
        <v>45509</v>
      </c>
      <c r="C15663" s="1" t="n">
        <v>45736</v>
      </c>
      <c r="D15663" t="inlineStr">
        <is>
          <t>VÄRMLANDS LÄN</t>
        </is>
      </c>
      <c r="E15663" t="inlineStr">
        <is>
          <t>TORSBY</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31815-2024</t>
        </is>
      </c>
      <c r="B15664" s="1" t="n">
        <v>45509</v>
      </c>
      <c r="C15664" s="1" t="n">
        <v>45736</v>
      </c>
      <c r="D15664" t="inlineStr">
        <is>
          <t>VÄRMLANDS LÄN</t>
        </is>
      </c>
      <c r="E15664" t="inlineStr">
        <is>
          <t>HAGFORS</t>
        </is>
      </c>
      <c r="F15664" t="inlineStr">
        <is>
          <t>Kommuner</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31716-2024</t>
        </is>
      </c>
      <c r="B15665" s="1" t="n">
        <v>45509</v>
      </c>
      <c r="C15665" s="1" t="n">
        <v>45736</v>
      </c>
      <c r="D15665" t="inlineStr">
        <is>
          <t>VÄRMLANDS LÄN</t>
        </is>
      </c>
      <c r="E15665" t="inlineStr">
        <is>
          <t>TORSBY</t>
        </is>
      </c>
      <c r="F15665" t="inlineStr">
        <is>
          <t>Bergvik skog väst AB</t>
        </is>
      </c>
      <c r="G15665" t="n">
        <v>19.3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31836-2024</t>
        </is>
      </c>
      <c r="B15666" s="1" t="n">
        <v>45509</v>
      </c>
      <c r="C15666" s="1" t="n">
        <v>45736</v>
      </c>
      <c r="D15666" t="inlineStr">
        <is>
          <t>VÄRMLANDS LÄN</t>
        </is>
      </c>
      <c r="E15666" t="inlineStr">
        <is>
          <t>TORSBY</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31824-2024</t>
        </is>
      </c>
      <c r="B15667" s="1" t="n">
        <v>45509</v>
      </c>
      <c r="C15667" s="1" t="n">
        <v>45736</v>
      </c>
      <c r="D15667" t="inlineStr">
        <is>
          <t>VÄRMLANDS LÄN</t>
        </is>
      </c>
      <c r="E15667" t="inlineStr">
        <is>
          <t>HAGFORS</t>
        </is>
      </c>
      <c r="F15667" t="inlineStr">
        <is>
          <t>Kommuner</t>
        </is>
      </c>
      <c r="G15667" t="n">
        <v>4.6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31812-2024</t>
        </is>
      </c>
      <c r="B15668" s="1" t="n">
        <v>45509</v>
      </c>
      <c r="C15668" s="1" t="n">
        <v>45736</v>
      </c>
      <c r="D15668" t="inlineStr">
        <is>
          <t>VÄRMLANDS LÄN</t>
        </is>
      </c>
      <c r="E15668" t="inlineStr">
        <is>
          <t>HAGFORS</t>
        </is>
      </c>
      <c r="F15668" t="inlineStr">
        <is>
          <t>Kommuner</t>
        </is>
      </c>
      <c r="G15668" t="n">
        <v>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31792-2024</t>
        </is>
      </c>
      <c r="B15669" s="1" t="n">
        <v>45509</v>
      </c>
      <c r="C15669" s="1" t="n">
        <v>45736</v>
      </c>
      <c r="D15669" t="inlineStr">
        <is>
          <t>VÄRMLANDS LÄN</t>
        </is>
      </c>
      <c r="E15669" t="inlineStr">
        <is>
          <t>EDA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31744-2024</t>
        </is>
      </c>
      <c r="B15670" s="1" t="n">
        <v>45509</v>
      </c>
      <c r="C15670" s="1" t="n">
        <v>45736</v>
      </c>
      <c r="D15670" t="inlineStr">
        <is>
          <t>VÄRMLANDS LÄN</t>
        </is>
      </c>
      <c r="E15670" t="inlineStr">
        <is>
          <t>KARLSTAD</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31830-2024</t>
        </is>
      </c>
      <c r="B15671" s="1" t="n">
        <v>45509</v>
      </c>
      <c r="C15671" s="1" t="n">
        <v>45736</v>
      </c>
      <c r="D15671" t="inlineStr">
        <is>
          <t>VÄRMLANDS LÄN</t>
        </is>
      </c>
      <c r="E15671" t="inlineStr">
        <is>
          <t>TORSBY</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31810-2024</t>
        </is>
      </c>
      <c r="B15672" s="1" t="n">
        <v>45509</v>
      </c>
      <c r="C15672" s="1" t="n">
        <v>45736</v>
      </c>
      <c r="D15672" t="inlineStr">
        <is>
          <t>VÄRMLANDS LÄN</t>
        </is>
      </c>
      <c r="E15672" t="inlineStr">
        <is>
          <t>HAGFORS</t>
        </is>
      </c>
      <c r="F15672" t="inlineStr">
        <is>
          <t>Kommuner</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31947-2024</t>
        </is>
      </c>
      <c r="B15673" s="1" t="n">
        <v>45510</v>
      </c>
      <c r="C15673" s="1" t="n">
        <v>45736</v>
      </c>
      <c r="D15673" t="inlineStr">
        <is>
          <t>VÄRMLANDS LÄN</t>
        </is>
      </c>
      <c r="E15673" t="inlineStr">
        <is>
          <t>EDA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31939-2024</t>
        </is>
      </c>
      <c r="B15674" s="1" t="n">
        <v>45510</v>
      </c>
      <c r="C15674" s="1" t="n">
        <v>45736</v>
      </c>
      <c r="D15674" t="inlineStr">
        <is>
          <t>VÄRMLANDS LÄN</t>
        </is>
      </c>
      <c r="E15674" t="inlineStr">
        <is>
          <t>EDA</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31930-2024</t>
        </is>
      </c>
      <c r="B15675" s="1" t="n">
        <v>45510</v>
      </c>
      <c r="C15675" s="1" t="n">
        <v>45736</v>
      </c>
      <c r="D15675" t="inlineStr">
        <is>
          <t>VÄRMLANDS LÄN</t>
        </is>
      </c>
      <c r="E15675" t="inlineStr">
        <is>
          <t>GRUMS</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32033-2024</t>
        </is>
      </c>
      <c r="B15676" s="1" t="n">
        <v>45510</v>
      </c>
      <c r="C15676" s="1" t="n">
        <v>45736</v>
      </c>
      <c r="D15676" t="inlineStr">
        <is>
          <t>VÄRMLANDS LÄN</t>
        </is>
      </c>
      <c r="E15676" t="inlineStr">
        <is>
          <t>HAGFORS</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32013-2024</t>
        </is>
      </c>
      <c r="B15677" s="1" t="n">
        <v>45510</v>
      </c>
      <c r="C15677" s="1" t="n">
        <v>45736</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31911-2024</t>
        </is>
      </c>
      <c r="B15678" s="1" t="n">
        <v>45510</v>
      </c>
      <c r="C15678" s="1" t="n">
        <v>45736</v>
      </c>
      <c r="D15678" t="inlineStr">
        <is>
          <t>VÄRMLANDS LÄN</t>
        </is>
      </c>
      <c r="E15678" t="inlineStr">
        <is>
          <t>ARVIKA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32043-2024</t>
        </is>
      </c>
      <c r="B15679" s="1" t="n">
        <v>45510</v>
      </c>
      <c r="C15679" s="1" t="n">
        <v>45736</v>
      </c>
      <c r="D15679" t="inlineStr">
        <is>
          <t>VÄRMLANDS LÄN</t>
        </is>
      </c>
      <c r="E15679" t="inlineStr">
        <is>
          <t>ÅRJÄNG</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32031-2024</t>
        </is>
      </c>
      <c r="B15680" s="1" t="n">
        <v>45510</v>
      </c>
      <c r="C15680" s="1" t="n">
        <v>45736</v>
      </c>
      <c r="D15680" t="inlineStr">
        <is>
          <t>VÄRMLANDS LÄN</t>
        </is>
      </c>
      <c r="E15680" t="inlineStr">
        <is>
          <t>HAGFORS</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31979-2024</t>
        </is>
      </c>
      <c r="B15681" s="1" t="n">
        <v>45510</v>
      </c>
      <c r="C15681" s="1" t="n">
        <v>45736</v>
      </c>
      <c r="D15681" t="inlineStr">
        <is>
          <t>VÄRMLANDS LÄN</t>
        </is>
      </c>
      <c r="E15681" t="inlineStr">
        <is>
          <t>SÄFFLE</t>
        </is>
      </c>
      <c r="F15681" t="inlineStr">
        <is>
          <t>Kyrkan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31899-2024</t>
        </is>
      </c>
      <c r="B15682" s="1" t="n">
        <v>45510</v>
      </c>
      <c r="C15682" s="1" t="n">
        <v>45736</v>
      </c>
      <c r="D15682" t="inlineStr">
        <is>
          <t>VÄRMLANDS LÄN</t>
        </is>
      </c>
      <c r="E15682" t="inlineStr">
        <is>
          <t>SUNNE</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31998-2024</t>
        </is>
      </c>
      <c r="B15683" s="1" t="n">
        <v>45510</v>
      </c>
      <c r="C15683" s="1" t="n">
        <v>45736</v>
      </c>
      <c r="D15683" t="inlineStr">
        <is>
          <t>VÄRMLANDS LÄN</t>
        </is>
      </c>
      <c r="E15683" t="inlineStr">
        <is>
          <t>ARVIKA</t>
        </is>
      </c>
      <c r="G15683" t="n">
        <v>4.5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31986-2024</t>
        </is>
      </c>
      <c r="B15684" s="1" t="n">
        <v>45510</v>
      </c>
      <c r="C15684" s="1" t="n">
        <v>45736</v>
      </c>
      <c r="D15684" t="inlineStr">
        <is>
          <t>VÄRMLANDS LÄN</t>
        </is>
      </c>
      <c r="E15684" t="inlineStr">
        <is>
          <t>KARLSTAD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31949-2024</t>
        </is>
      </c>
      <c r="B15685" s="1" t="n">
        <v>45510</v>
      </c>
      <c r="C15685" s="1" t="n">
        <v>45736</v>
      </c>
      <c r="D15685" t="inlineStr">
        <is>
          <t>VÄRMLANDS LÄN</t>
        </is>
      </c>
      <c r="E15685" t="inlineStr">
        <is>
          <t>GRUMS</t>
        </is>
      </c>
      <c r="F15685" t="inlineStr">
        <is>
          <t>Bergvik skog väst AB</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31945-2024</t>
        </is>
      </c>
      <c r="B15686" s="1" t="n">
        <v>45510</v>
      </c>
      <c r="C15686" s="1" t="n">
        <v>45736</v>
      </c>
      <c r="D15686" t="inlineStr">
        <is>
          <t>VÄRMLANDS LÄN</t>
        </is>
      </c>
      <c r="E15686" t="inlineStr">
        <is>
          <t>TORSBY</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31932-2024</t>
        </is>
      </c>
      <c r="B15687" s="1" t="n">
        <v>45510</v>
      </c>
      <c r="C15687" s="1" t="n">
        <v>45736</v>
      </c>
      <c r="D15687" t="inlineStr">
        <is>
          <t>VÄRMLANDS LÄN</t>
        </is>
      </c>
      <c r="E15687" t="inlineStr">
        <is>
          <t>EDA</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31924-2024</t>
        </is>
      </c>
      <c r="B15688" s="1" t="n">
        <v>45510</v>
      </c>
      <c r="C15688" s="1" t="n">
        <v>45736</v>
      </c>
      <c r="D15688" t="inlineStr">
        <is>
          <t>VÄRMLANDS LÄN</t>
        </is>
      </c>
      <c r="E15688" t="inlineStr">
        <is>
          <t>EDA</t>
        </is>
      </c>
      <c r="G15688" t="n">
        <v>3.2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31908-2024</t>
        </is>
      </c>
      <c r="B15689" s="1" t="n">
        <v>45510</v>
      </c>
      <c r="C15689" s="1" t="n">
        <v>45736</v>
      </c>
      <c r="D15689" t="inlineStr">
        <is>
          <t>VÄRMLANDS LÄN</t>
        </is>
      </c>
      <c r="E15689" t="inlineStr">
        <is>
          <t>HAGFORS</t>
        </is>
      </c>
      <c r="F15689" t="inlineStr">
        <is>
          <t>Kyrkan</t>
        </is>
      </c>
      <c r="G15689" t="n">
        <v>5.7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32095-2024</t>
        </is>
      </c>
      <c r="B15690" s="1" t="n">
        <v>45511</v>
      </c>
      <c r="C15690" s="1" t="n">
        <v>45736</v>
      </c>
      <c r="D15690" t="inlineStr">
        <is>
          <t>VÄRMLANDS LÄN</t>
        </is>
      </c>
      <c r="E15690" t="inlineStr">
        <is>
          <t>ÅRJÄNG</t>
        </is>
      </c>
      <c r="G15690" t="n">
        <v>4.6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32155-2024</t>
        </is>
      </c>
      <c r="B15691" s="1" t="n">
        <v>45511</v>
      </c>
      <c r="C15691" s="1" t="n">
        <v>45736</v>
      </c>
      <c r="D15691" t="inlineStr">
        <is>
          <t>VÄRMLANDS LÄN</t>
        </is>
      </c>
      <c r="E15691" t="inlineStr">
        <is>
          <t>TORSBY</t>
        </is>
      </c>
      <c r="F15691" t="inlineStr">
        <is>
          <t>Bergvik skog väst AB</t>
        </is>
      </c>
      <c r="G15691" t="n">
        <v>13.5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32082-2024</t>
        </is>
      </c>
      <c r="B15692" s="1" t="n">
        <v>45511</v>
      </c>
      <c r="C15692" s="1" t="n">
        <v>45736</v>
      </c>
      <c r="D15692" t="inlineStr">
        <is>
          <t>VÄRMLANDS LÄN</t>
        </is>
      </c>
      <c r="E15692" t="inlineStr">
        <is>
          <t>ÅRJÄNG</t>
        </is>
      </c>
      <c r="G15692" t="n">
        <v>4.8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32090-2024</t>
        </is>
      </c>
      <c r="B15693" s="1" t="n">
        <v>45511</v>
      </c>
      <c r="C15693" s="1" t="n">
        <v>45736</v>
      </c>
      <c r="D15693" t="inlineStr">
        <is>
          <t>VÄRMLANDS LÄN</t>
        </is>
      </c>
      <c r="E15693" t="inlineStr">
        <is>
          <t>HAGFORS</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32094-2024</t>
        </is>
      </c>
      <c r="B15694" s="1" t="n">
        <v>45511</v>
      </c>
      <c r="C15694" s="1" t="n">
        <v>45736</v>
      </c>
      <c r="D15694" t="inlineStr">
        <is>
          <t>VÄRMLANDS LÄN</t>
        </is>
      </c>
      <c r="E15694" t="inlineStr">
        <is>
          <t>FILIPSTAD</t>
        </is>
      </c>
      <c r="F15694" t="inlineStr">
        <is>
          <t>Bergvik skog väst AB</t>
        </is>
      </c>
      <c r="G15694" t="n">
        <v>13.9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32138-2024</t>
        </is>
      </c>
      <c r="B15695" s="1" t="n">
        <v>45511</v>
      </c>
      <c r="C15695" s="1" t="n">
        <v>45736</v>
      </c>
      <c r="D15695" t="inlineStr">
        <is>
          <t>VÄRMLANDS LÄN</t>
        </is>
      </c>
      <c r="E15695" t="inlineStr">
        <is>
          <t>TORSBY</t>
        </is>
      </c>
      <c r="F15695" t="inlineStr">
        <is>
          <t>Bergvik skog väst AB</t>
        </is>
      </c>
      <c r="G15695" t="n">
        <v>26.3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32194-2024</t>
        </is>
      </c>
      <c r="B15696" s="1" t="n">
        <v>45511</v>
      </c>
      <c r="C15696" s="1" t="n">
        <v>45736</v>
      </c>
      <c r="D15696" t="inlineStr">
        <is>
          <t>VÄRMLANDS LÄN</t>
        </is>
      </c>
      <c r="E15696" t="inlineStr">
        <is>
          <t>ARVIKA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32116-2024</t>
        </is>
      </c>
      <c r="B15697" s="1" t="n">
        <v>45511</v>
      </c>
      <c r="C15697" s="1" t="n">
        <v>45736</v>
      </c>
      <c r="D15697" t="inlineStr">
        <is>
          <t>VÄRMLANDS LÄN</t>
        </is>
      </c>
      <c r="E15697" t="inlineStr">
        <is>
          <t>EDA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32172-2024</t>
        </is>
      </c>
      <c r="B15698" s="1" t="n">
        <v>45511</v>
      </c>
      <c r="C15698" s="1" t="n">
        <v>45736</v>
      </c>
      <c r="D15698" t="inlineStr">
        <is>
          <t>VÄRMLANDS LÄN</t>
        </is>
      </c>
      <c r="E15698" t="inlineStr">
        <is>
          <t>FILIPSTAD</t>
        </is>
      </c>
      <c r="F15698" t="inlineStr">
        <is>
          <t>Bergvik skog väst AB</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32213-2024</t>
        </is>
      </c>
      <c r="B15699" s="1" t="n">
        <v>45511</v>
      </c>
      <c r="C15699" s="1" t="n">
        <v>45736</v>
      </c>
      <c r="D15699" t="inlineStr">
        <is>
          <t>VÄRMLANDS LÄN</t>
        </is>
      </c>
      <c r="E15699" t="inlineStr">
        <is>
          <t>TORSBY</t>
        </is>
      </c>
      <c r="G15699" t="n">
        <v>10.3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32198-2024</t>
        </is>
      </c>
      <c r="B15700" s="1" t="n">
        <v>45511</v>
      </c>
      <c r="C15700" s="1" t="n">
        <v>45736</v>
      </c>
      <c r="D15700" t="inlineStr">
        <is>
          <t>VÄRMLANDS LÄN</t>
        </is>
      </c>
      <c r="E15700" t="inlineStr">
        <is>
          <t>KRISTINEHAMN</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32185-2024</t>
        </is>
      </c>
      <c r="B15701" s="1" t="n">
        <v>45511</v>
      </c>
      <c r="C15701" s="1" t="n">
        <v>45736</v>
      </c>
      <c r="D15701" t="inlineStr">
        <is>
          <t>VÄRMLANDS LÄN</t>
        </is>
      </c>
      <c r="E15701" t="inlineStr">
        <is>
          <t>FILIPSTAD</t>
        </is>
      </c>
      <c r="F15701" t="inlineStr">
        <is>
          <t>Bergvik skog väst AB</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32262-2024</t>
        </is>
      </c>
      <c r="B15702" s="1" t="n">
        <v>45512</v>
      </c>
      <c r="C15702" s="1" t="n">
        <v>45736</v>
      </c>
      <c r="D15702" t="inlineStr">
        <is>
          <t>VÄRMLANDS LÄN</t>
        </is>
      </c>
      <c r="E15702" t="inlineStr">
        <is>
          <t>ARVIKA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32302-2024</t>
        </is>
      </c>
      <c r="B15703" s="1" t="n">
        <v>45512</v>
      </c>
      <c r="C15703" s="1" t="n">
        <v>45736</v>
      </c>
      <c r="D15703" t="inlineStr">
        <is>
          <t>VÄRMLANDS LÄN</t>
        </is>
      </c>
      <c r="E15703" t="inlineStr">
        <is>
          <t>GRUMS</t>
        </is>
      </c>
      <c r="F15703" t="inlineStr">
        <is>
          <t>Bergvik skog väst AB</t>
        </is>
      </c>
      <c r="G15703" t="n">
        <v>3.3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32369-2024</t>
        </is>
      </c>
      <c r="B15704" s="1" t="n">
        <v>45512</v>
      </c>
      <c r="C15704" s="1" t="n">
        <v>45736</v>
      </c>
      <c r="D15704" t="inlineStr">
        <is>
          <t>VÄRMLANDS LÄN</t>
        </is>
      </c>
      <c r="E15704" t="inlineStr">
        <is>
          <t>KARLSTAD</t>
        </is>
      </c>
      <c r="F15704" t="inlineStr">
        <is>
          <t>Bergvik skog väst AB</t>
        </is>
      </c>
      <c r="G15704" t="n">
        <v>4.9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32390-2024</t>
        </is>
      </c>
      <c r="B15705" s="1" t="n">
        <v>45512</v>
      </c>
      <c r="C15705" s="1" t="n">
        <v>45736</v>
      </c>
      <c r="D15705" t="inlineStr">
        <is>
          <t>VÄRMLANDS LÄN</t>
        </is>
      </c>
      <c r="E15705" t="inlineStr">
        <is>
          <t>SUNNE</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32314-2024</t>
        </is>
      </c>
      <c r="B15706" s="1" t="n">
        <v>45512</v>
      </c>
      <c r="C15706" s="1" t="n">
        <v>45736</v>
      </c>
      <c r="D15706" t="inlineStr">
        <is>
          <t>VÄRMLANDS LÄN</t>
        </is>
      </c>
      <c r="E15706" t="inlineStr">
        <is>
          <t>TORSBY</t>
        </is>
      </c>
      <c r="F15706" t="inlineStr">
        <is>
          <t>Bergvik skog väst AB</t>
        </is>
      </c>
      <c r="G15706" t="n">
        <v>35.1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32338-2024</t>
        </is>
      </c>
      <c r="B15707" s="1" t="n">
        <v>45512</v>
      </c>
      <c r="C15707" s="1" t="n">
        <v>45736</v>
      </c>
      <c r="D15707" t="inlineStr">
        <is>
          <t>VÄRMLANDS LÄN</t>
        </is>
      </c>
      <c r="E15707" t="inlineStr">
        <is>
          <t>ÅRJÄNG</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32370-2024</t>
        </is>
      </c>
      <c r="B15708" s="1" t="n">
        <v>45512</v>
      </c>
      <c r="C15708" s="1" t="n">
        <v>45736</v>
      </c>
      <c r="D15708" t="inlineStr">
        <is>
          <t>VÄRMLANDS LÄN</t>
        </is>
      </c>
      <c r="E15708" t="inlineStr">
        <is>
          <t>SUNNE</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32400-2024</t>
        </is>
      </c>
      <c r="B15709" s="1" t="n">
        <v>45512</v>
      </c>
      <c r="C15709" s="1" t="n">
        <v>45736</v>
      </c>
      <c r="D15709" t="inlineStr">
        <is>
          <t>VÄRMLANDS LÄN</t>
        </is>
      </c>
      <c r="E15709" t="inlineStr">
        <is>
          <t>EDA</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32375-2024</t>
        </is>
      </c>
      <c r="B15710" s="1" t="n">
        <v>45512</v>
      </c>
      <c r="C15710" s="1" t="n">
        <v>45736</v>
      </c>
      <c r="D15710" t="inlineStr">
        <is>
          <t>VÄRMLANDS LÄN</t>
        </is>
      </c>
      <c r="E15710" t="inlineStr">
        <is>
          <t>ARVIKA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32371-2024</t>
        </is>
      </c>
      <c r="B15711" s="1" t="n">
        <v>45512</v>
      </c>
      <c r="C15711" s="1" t="n">
        <v>45736</v>
      </c>
      <c r="D15711" t="inlineStr">
        <is>
          <t>VÄRMLANDS LÄN</t>
        </is>
      </c>
      <c r="E15711" t="inlineStr">
        <is>
          <t>SUNNE</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32343-2024</t>
        </is>
      </c>
      <c r="B15712" s="1" t="n">
        <v>45512</v>
      </c>
      <c r="C15712" s="1" t="n">
        <v>45736</v>
      </c>
      <c r="D15712" t="inlineStr">
        <is>
          <t>VÄRMLANDS LÄN</t>
        </is>
      </c>
      <c r="E15712" t="inlineStr">
        <is>
          <t>TORSBY</t>
        </is>
      </c>
      <c r="G15712" t="n">
        <v>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32340-2024</t>
        </is>
      </c>
      <c r="B15713" s="1" t="n">
        <v>45512</v>
      </c>
      <c r="C15713" s="1" t="n">
        <v>45736</v>
      </c>
      <c r="D15713" t="inlineStr">
        <is>
          <t>VÄRMLANDS LÄN</t>
        </is>
      </c>
      <c r="E15713" t="inlineStr">
        <is>
          <t>TORSBY</t>
        </is>
      </c>
      <c r="G15713" t="n">
        <v>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32323-2024</t>
        </is>
      </c>
      <c r="B15714" s="1" t="n">
        <v>45512</v>
      </c>
      <c r="C15714" s="1" t="n">
        <v>45736</v>
      </c>
      <c r="D15714" t="inlineStr">
        <is>
          <t>VÄRMLANDS LÄN</t>
        </is>
      </c>
      <c r="E15714" t="inlineStr">
        <is>
          <t>EDA</t>
        </is>
      </c>
      <c r="G15714" t="n">
        <v>8.9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32319-2024</t>
        </is>
      </c>
      <c r="B15715" s="1" t="n">
        <v>45512</v>
      </c>
      <c r="C15715" s="1" t="n">
        <v>45736</v>
      </c>
      <c r="D15715" t="inlineStr">
        <is>
          <t>VÄRMLANDS LÄN</t>
        </is>
      </c>
      <c r="E15715" t="inlineStr">
        <is>
          <t>TORSBY</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32263-2024</t>
        </is>
      </c>
      <c r="B15716" s="1" t="n">
        <v>45512</v>
      </c>
      <c r="C15716" s="1" t="n">
        <v>45736</v>
      </c>
      <c r="D15716" t="inlineStr">
        <is>
          <t>VÄRMLANDS LÄN</t>
        </is>
      </c>
      <c r="E15716" t="inlineStr">
        <is>
          <t>ARVIKA</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32587-2024</t>
        </is>
      </c>
      <c r="B15717" s="1" t="n">
        <v>45513</v>
      </c>
      <c r="C15717" s="1" t="n">
        <v>45736</v>
      </c>
      <c r="D15717" t="inlineStr">
        <is>
          <t>VÄRMLANDS LÄN</t>
        </is>
      </c>
      <c r="E15717" t="inlineStr">
        <is>
          <t>SUNNE</t>
        </is>
      </c>
      <c r="F15717" t="inlineStr">
        <is>
          <t>Bergvik skog väst AB</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32595-2024</t>
        </is>
      </c>
      <c r="B15718" s="1" t="n">
        <v>45513</v>
      </c>
      <c r="C15718" s="1" t="n">
        <v>45736</v>
      </c>
      <c r="D15718" t="inlineStr">
        <is>
          <t>VÄRMLANDS LÄN</t>
        </is>
      </c>
      <c r="E15718" t="inlineStr">
        <is>
          <t>SUNNE</t>
        </is>
      </c>
      <c r="F15718" t="inlineStr">
        <is>
          <t>Bergvik skog väst AB</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32504-2024</t>
        </is>
      </c>
      <c r="B15719" s="1" t="n">
        <v>45513</v>
      </c>
      <c r="C15719" s="1" t="n">
        <v>45736</v>
      </c>
      <c r="D15719" t="inlineStr">
        <is>
          <t>VÄRMLANDS LÄN</t>
        </is>
      </c>
      <c r="E15719" t="inlineStr">
        <is>
          <t>MUNKFORS</t>
        </is>
      </c>
      <c r="F15719" t="inlineStr">
        <is>
          <t>Bergvik skog väst AB</t>
        </is>
      </c>
      <c r="G15719" t="n">
        <v>7.2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32505-2024</t>
        </is>
      </c>
      <c r="B15720" s="1" t="n">
        <v>45513</v>
      </c>
      <c r="C15720" s="1" t="n">
        <v>45736</v>
      </c>
      <c r="D15720" t="inlineStr">
        <is>
          <t>VÄRMLANDS LÄN</t>
        </is>
      </c>
      <c r="E15720" t="inlineStr">
        <is>
          <t>ARVIKA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32531-2024</t>
        </is>
      </c>
      <c r="B15721" s="1" t="n">
        <v>45513</v>
      </c>
      <c r="C15721" s="1" t="n">
        <v>45736</v>
      </c>
      <c r="D15721" t="inlineStr">
        <is>
          <t>VÄRMLANDS LÄN</t>
        </is>
      </c>
      <c r="E15721" t="inlineStr">
        <is>
          <t>GRUMS</t>
        </is>
      </c>
      <c r="G15721" t="n">
        <v>8.199999999999999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32503-2024</t>
        </is>
      </c>
      <c r="B15722" s="1" t="n">
        <v>45513</v>
      </c>
      <c r="C15722" s="1" t="n">
        <v>45736</v>
      </c>
      <c r="D15722" t="inlineStr">
        <is>
          <t>VÄRMLANDS LÄN</t>
        </is>
      </c>
      <c r="E15722" t="inlineStr">
        <is>
          <t>ARVIKA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32520-2024</t>
        </is>
      </c>
      <c r="B15723" s="1" t="n">
        <v>45513</v>
      </c>
      <c r="C15723" s="1" t="n">
        <v>45736</v>
      </c>
      <c r="D15723" t="inlineStr">
        <is>
          <t>VÄRMLANDS LÄN</t>
        </is>
      </c>
      <c r="E15723" t="inlineStr">
        <is>
          <t>ARVIKA</t>
        </is>
      </c>
      <c r="G15723" t="n">
        <v>4.2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32556-2024</t>
        </is>
      </c>
      <c r="B15724" s="1" t="n">
        <v>45513</v>
      </c>
      <c r="C15724" s="1" t="n">
        <v>45736</v>
      </c>
      <c r="D15724" t="inlineStr">
        <is>
          <t>VÄRMLANDS LÄN</t>
        </is>
      </c>
      <c r="E15724" t="inlineStr">
        <is>
          <t>ARVIKA</t>
        </is>
      </c>
      <c r="F15724" t="inlineStr">
        <is>
          <t>Bergvik skog väst AB</t>
        </is>
      </c>
      <c r="G15724" t="n">
        <v>5.3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32568-2024</t>
        </is>
      </c>
      <c r="B15725" s="1" t="n">
        <v>45513</v>
      </c>
      <c r="C15725" s="1" t="n">
        <v>45736</v>
      </c>
      <c r="D15725" t="inlineStr">
        <is>
          <t>VÄRMLANDS LÄN</t>
        </is>
      </c>
      <c r="E15725" t="inlineStr">
        <is>
          <t>FILIPSTAD</t>
        </is>
      </c>
      <c r="F15725" t="inlineStr">
        <is>
          <t>Bergvik skog väst AB</t>
        </is>
      </c>
      <c r="G15725" t="n">
        <v>11.8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32572-2024</t>
        </is>
      </c>
      <c r="B15726" s="1" t="n">
        <v>45513</v>
      </c>
      <c r="C15726" s="1" t="n">
        <v>45736</v>
      </c>
      <c r="D15726" t="inlineStr">
        <is>
          <t>VÄRMLANDS LÄN</t>
        </is>
      </c>
      <c r="E15726" t="inlineStr">
        <is>
          <t>SUNNE</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32588-2024</t>
        </is>
      </c>
      <c r="B15727" s="1" t="n">
        <v>45513</v>
      </c>
      <c r="C15727" s="1" t="n">
        <v>45736</v>
      </c>
      <c r="D15727" t="inlineStr">
        <is>
          <t>VÄRMLANDS LÄN</t>
        </is>
      </c>
      <c r="E15727" t="inlineStr">
        <is>
          <t>TORSBY</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32624-2024</t>
        </is>
      </c>
      <c r="B15728" s="1" t="n">
        <v>45513</v>
      </c>
      <c r="C15728" s="1" t="n">
        <v>45736</v>
      </c>
      <c r="D15728" t="inlineStr">
        <is>
          <t>VÄRMLANDS LÄN</t>
        </is>
      </c>
      <c r="E15728" t="inlineStr">
        <is>
          <t>KRISTINEHAMN</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32509-2024</t>
        </is>
      </c>
      <c r="B15729" s="1" t="n">
        <v>45513</v>
      </c>
      <c r="C15729" s="1" t="n">
        <v>45736</v>
      </c>
      <c r="D15729" t="inlineStr">
        <is>
          <t>VÄRMLANDS LÄN</t>
        </is>
      </c>
      <c r="E15729" t="inlineStr">
        <is>
          <t>ARVIKA</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32522-2024</t>
        </is>
      </c>
      <c r="B15730" s="1" t="n">
        <v>45513</v>
      </c>
      <c r="C15730" s="1" t="n">
        <v>45736</v>
      </c>
      <c r="D15730" t="inlineStr">
        <is>
          <t>VÄRMLANDS LÄN</t>
        </is>
      </c>
      <c r="E15730" t="inlineStr">
        <is>
          <t>GRUMS</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32538-2024</t>
        </is>
      </c>
      <c r="B15731" s="1" t="n">
        <v>45513</v>
      </c>
      <c r="C15731" s="1" t="n">
        <v>45736</v>
      </c>
      <c r="D15731" t="inlineStr">
        <is>
          <t>VÄRMLANDS LÄN</t>
        </is>
      </c>
      <c r="E15731" t="inlineStr">
        <is>
          <t>EDA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32550-2024</t>
        </is>
      </c>
      <c r="B15732" s="1" t="n">
        <v>45513</v>
      </c>
      <c r="C15732" s="1" t="n">
        <v>45736</v>
      </c>
      <c r="D15732" t="inlineStr">
        <is>
          <t>VÄRMLANDS LÄN</t>
        </is>
      </c>
      <c r="E15732" t="inlineStr">
        <is>
          <t>ÅRJÄNG</t>
        </is>
      </c>
      <c r="F15732" t="inlineStr">
        <is>
          <t>Bergvik skog väst AB</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32562-2024</t>
        </is>
      </c>
      <c r="B15733" s="1" t="n">
        <v>45513</v>
      </c>
      <c r="C15733" s="1" t="n">
        <v>45736</v>
      </c>
      <c r="D15733" t="inlineStr">
        <is>
          <t>VÄRMLANDS LÄN</t>
        </is>
      </c>
      <c r="E15733" t="inlineStr">
        <is>
          <t>KARLSTAD</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32566-2024</t>
        </is>
      </c>
      <c r="B15734" s="1" t="n">
        <v>45513</v>
      </c>
      <c r="C15734" s="1" t="n">
        <v>45736</v>
      </c>
      <c r="D15734" t="inlineStr">
        <is>
          <t>VÄRMLANDS LÄN</t>
        </is>
      </c>
      <c r="E15734" t="inlineStr">
        <is>
          <t>ARVIKA</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32598-2024</t>
        </is>
      </c>
      <c r="B15735" s="1" t="n">
        <v>45513</v>
      </c>
      <c r="C15735" s="1" t="n">
        <v>45736</v>
      </c>
      <c r="D15735" t="inlineStr">
        <is>
          <t>VÄRMLANDS LÄN</t>
        </is>
      </c>
      <c r="E15735" t="inlineStr">
        <is>
          <t>SUNNE</t>
        </is>
      </c>
      <c r="F15735" t="inlineStr">
        <is>
          <t>Bergvik skog väst AB</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32533-2024</t>
        </is>
      </c>
      <c r="B15736" s="1" t="n">
        <v>45513</v>
      </c>
      <c r="C15736" s="1" t="n">
        <v>45736</v>
      </c>
      <c r="D15736" t="inlineStr">
        <is>
          <t>VÄRMLANDS LÄN</t>
        </is>
      </c>
      <c r="E15736" t="inlineStr">
        <is>
          <t>EDA</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32545-2024</t>
        </is>
      </c>
      <c r="B15737" s="1" t="n">
        <v>45513</v>
      </c>
      <c r="C15737" s="1" t="n">
        <v>45736</v>
      </c>
      <c r="D15737" t="inlineStr">
        <is>
          <t>VÄRMLANDS LÄN</t>
        </is>
      </c>
      <c r="E15737" t="inlineStr">
        <is>
          <t>EDA</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32535-2024</t>
        </is>
      </c>
      <c r="B15738" s="1" t="n">
        <v>45513</v>
      </c>
      <c r="C15738" s="1" t="n">
        <v>45736</v>
      </c>
      <c r="D15738" t="inlineStr">
        <is>
          <t>VÄRMLANDS LÄN</t>
        </is>
      </c>
      <c r="E15738" t="inlineStr">
        <is>
          <t>GRUMS</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32539-2024</t>
        </is>
      </c>
      <c r="B15739" s="1" t="n">
        <v>45513</v>
      </c>
      <c r="C15739" s="1" t="n">
        <v>45736</v>
      </c>
      <c r="D15739" t="inlineStr">
        <is>
          <t>VÄRMLANDS LÄN</t>
        </is>
      </c>
      <c r="E15739" t="inlineStr">
        <is>
          <t>KARLSTAD</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32603-2024</t>
        </is>
      </c>
      <c r="B15740" s="1" t="n">
        <v>45513</v>
      </c>
      <c r="C15740" s="1" t="n">
        <v>45736</v>
      </c>
      <c r="D15740" t="inlineStr">
        <is>
          <t>VÄRMLANDS LÄN</t>
        </is>
      </c>
      <c r="E15740" t="inlineStr">
        <is>
          <t>TORSBY</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32607-2024</t>
        </is>
      </c>
      <c r="B15741" s="1" t="n">
        <v>45513</v>
      </c>
      <c r="C15741" s="1" t="n">
        <v>45736</v>
      </c>
      <c r="D15741" t="inlineStr">
        <is>
          <t>VÄRMLANDS LÄN</t>
        </is>
      </c>
      <c r="E15741" t="inlineStr">
        <is>
          <t>ARVIKA</t>
        </is>
      </c>
      <c r="F15741" t="inlineStr">
        <is>
          <t>Bergvik skog väst AB</t>
        </is>
      </c>
      <c r="G15741" t="n">
        <v>5.7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32675-2024</t>
        </is>
      </c>
      <c r="B15742" s="1" t="n">
        <v>45514</v>
      </c>
      <c r="C15742" s="1" t="n">
        <v>45736</v>
      </c>
      <c r="D15742" t="inlineStr">
        <is>
          <t>VÄRMLANDS LÄN</t>
        </is>
      </c>
      <c r="E15742" t="inlineStr">
        <is>
          <t>ARVIKA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32685-2024</t>
        </is>
      </c>
      <c r="B15743" s="1" t="n">
        <v>45515</v>
      </c>
      <c r="C15743" s="1" t="n">
        <v>45736</v>
      </c>
      <c r="D15743" t="inlineStr">
        <is>
          <t>VÄRMLANDS LÄN</t>
        </is>
      </c>
      <c r="E15743" t="inlineStr">
        <is>
          <t>ARVIKA</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32764-2024</t>
        </is>
      </c>
      <c r="B15744" s="1" t="n">
        <v>45515</v>
      </c>
      <c r="C15744" s="1" t="n">
        <v>45736</v>
      </c>
      <c r="D15744" t="inlineStr">
        <is>
          <t>VÄRMLANDS LÄN</t>
        </is>
      </c>
      <c r="E15744" t="inlineStr">
        <is>
          <t>TORSBY</t>
        </is>
      </c>
      <c r="G15744" t="n">
        <v>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32755-2024</t>
        </is>
      </c>
      <c r="B15745" s="1" t="n">
        <v>45515</v>
      </c>
      <c r="C15745" s="1" t="n">
        <v>45736</v>
      </c>
      <c r="D15745" t="inlineStr">
        <is>
          <t>VÄRMLANDS LÄN</t>
        </is>
      </c>
      <c r="E15745" t="inlineStr">
        <is>
          <t>TORSBY</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32746-2024</t>
        </is>
      </c>
      <c r="B15746" s="1" t="n">
        <v>45515</v>
      </c>
      <c r="C15746" s="1" t="n">
        <v>45736</v>
      </c>
      <c r="D15746" t="inlineStr">
        <is>
          <t>VÄRMLANDS LÄN</t>
        </is>
      </c>
      <c r="E15746" t="inlineStr">
        <is>
          <t>TORSBY</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32691-2024</t>
        </is>
      </c>
      <c r="B15747" s="1" t="n">
        <v>45516</v>
      </c>
      <c r="C15747" s="1" t="n">
        <v>45736</v>
      </c>
      <c r="D15747" t="inlineStr">
        <is>
          <t>VÄRMLANDS LÄN</t>
        </is>
      </c>
      <c r="E15747" t="inlineStr">
        <is>
          <t>SUNNE</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32758-2024</t>
        </is>
      </c>
      <c r="B15748" s="1" t="n">
        <v>45515</v>
      </c>
      <c r="C15748" s="1" t="n">
        <v>45736</v>
      </c>
      <c r="D15748" t="inlineStr">
        <is>
          <t>VÄRMLANDS LÄN</t>
        </is>
      </c>
      <c r="E15748" t="inlineStr">
        <is>
          <t>TORSBY</t>
        </is>
      </c>
      <c r="G15748" t="n">
        <v>9.699999999999999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32877-2024</t>
        </is>
      </c>
      <c r="B15749" s="1" t="n">
        <v>45516</v>
      </c>
      <c r="C15749" s="1" t="n">
        <v>45736</v>
      </c>
      <c r="D15749" t="inlineStr">
        <is>
          <t>VÄRMLANDS LÄN</t>
        </is>
      </c>
      <c r="E15749" t="inlineStr">
        <is>
          <t>SÄFFLE</t>
        </is>
      </c>
      <c r="G15749" t="n">
        <v>10.2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32894-2024</t>
        </is>
      </c>
      <c r="B15750" s="1" t="n">
        <v>45516</v>
      </c>
      <c r="C15750" s="1" t="n">
        <v>45736</v>
      </c>
      <c r="D15750" t="inlineStr">
        <is>
          <t>VÄRMLANDS LÄN</t>
        </is>
      </c>
      <c r="E15750" t="inlineStr">
        <is>
          <t>FILIPSTAD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32786-2024</t>
        </is>
      </c>
      <c r="B15751" s="1" t="n">
        <v>45516</v>
      </c>
      <c r="C15751" s="1" t="n">
        <v>45736</v>
      </c>
      <c r="D15751" t="inlineStr">
        <is>
          <t>VÄRMLANDS LÄN</t>
        </is>
      </c>
      <c r="E15751" t="inlineStr">
        <is>
          <t>FILIPSTAD</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32776-2024</t>
        </is>
      </c>
      <c r="B15752" s="1" t="n">
        <v>45516</v>
      </c>
      <c r="C15752" s="1" t="n">
        <v>45736</v>
      </c>
      <c r="D15752" t="inlineStr">
        <is>
          <t>VÄRMLANDS LÄN</t>
        </is>
      </c>
      <c r="E15752" t="inlineStr">
        <is>
          <t>ÅRJÄNG</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32752-2024</t>
        </is>
      </c>
      <c r="B15753" s="1" t="n">
        <v>45516</v>
      </c>
      <c r="C15753" s="1" t="n">
        <v>45736</v>
      </c>
      <c r="D15753" t="inlineStr">
        <is>
          <t>VÄRMLANDS LÄN</t>
        </is>
      </c>
      <c r="E15753" t="inlineStr">
        <is>
          <t>SÄFFLE</t>
        </is>
      </c>
      <c r="F15753" t="inlineStr">
        <is>
          <t>Kyrkan</t>
        </is>
      </c>
      <c r="G15753" t="n">
        <v>5.4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32774-2024</t>
        </is>
      </c>
      <c r="B15754" s="1" t="n">
        <v>45516</v>
      </c>
      <c r="C15754" s="1" t="n">
        <v>45736</v>
      </c>
      <c r="D15754" t="inlineStr">
        <is>
          <t>VÄRMLANDS LÄN</t>
        </is>
      </c>
      <c r="E15754" t="inlineStr">
        <is>
          <t>SUNNE</t>
        </is>
      </c>
      <c r="G15754" t="n">
        <v>8.800000000000001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32763-2024</t>
        </is>
      </c>
      <c r="B15755" s="1" t="n">
        <v>45516</v>
      </c>
      <c r="C15755" s="1" t="n">
        <v>45736</v>
      </c>
      <c r="D15755" t="inlineStr">
        <is>
          <t>VÄRMLANDS LÄN</t>
        </is>
      </c>
      <c r="E15755" t="inlineStr">
        <is>
          <t>ÅRJÄNG</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32751-2024</t>
        </is>
      </c>
      <c r="B15756" s="1" t="n">
        <v>45516</v>
      </c>
      <c r="C15756" s="1" t="n">
        <v>45736</v>
      </c>
      <c r="D15756" t="inlineStr">
        <is>
          <t>VÄRMLANDS LÄN</t>
        </is>
      </c>
      <c r="E15756" t="inlineStr">
        <is>
          <t>SÄFFLE</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32747-2024</t>
        </is>
      </c>
      <c r="B15757" s="1" t="n">
        <v>45516</v>
      </c>
      <c r="C15757" s="1" t="n">
        <v>45736</v>
      </c>
      <c r="D15757" t="inlineStr">
        <is>
          <t>VÄRMLANDS LÄN</t>
        </is>
      </c>
      <c r="E15757" t="inlineStr">
        <is>
          <t>SÄFFLE</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32836-2024</t>
        </is>
      </c>
      <c r="B15758" s="1" t="n">
        <v>45516</v>
      </c>
      <c r="C15758" s="1" t="n">
        <v>45736</v>
      </c>
      <c r="D15758" t="inlineStr">
        <is>
          <t>VÄRMLANDS LÄN</t>
        </is>
      </c>
      <c r="E15758" t="inlineStr">
        <is>
          <t>ARVIKA</t>
        </is>
      </c>
      <c r="F15758" t="inlineStr">
        <is>
          <t>Bergvik skog väst AB</t>
        </is>
      </c>
      <c r="G15758" t="n">
        <v>12.5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32784-2024</t>
        </is>
      </c>
      <c r="B15759" s="1" t="n">
        <v>45516</v>
      </c>
      <c r="C15759" s="1" t="n">
        <v>45736</v>
      </c>
      <c r="D15759" t="inlineStr">
        <is>
          <t>VÄRMLANDS LÄN</t>
        </is>
      </c>
      <c r="E15759" t="inlineStr">
        <is>
          <t>FILIPSTAD</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32778-2024</t>
        </is>
      </c>
      <c r="B15760" s="1" t="n">
        <v>45516</v>
      </c>
      <c r="C15760" s="1" t="n">
        <v>45736</v>
      </c>
      <c r="D15760" t="inlineStr">
        <is>
          <t>VÄRMLANDS LÄN</t>
        </is>
      </c>
      <c r="E15760" t="inlineStr">
        <is>
          <t>ÅRJÄNG</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32773-2024</t>
        </is>
      </c>
      <c r="B15761" s="1" t="n">
        <v>45516</v>
      </c>
      <c r="C15761" s="1" t="n">
        <v>45736</v>
      </c>
      <c r="D15761" t="inlineStr">
        <is>
          <t>VÄRMLANDS LÄN</t>
        </is>
      </c>
      <c r="E15761" t="inlineStr">
        <is>
          <t>ÅRJÄNG</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32845-2024</t>
        </is>
      </c>
      <c r="B15762" s="1" t="n">
        <v>45516</v>
      </c>
      <c r="C15762" s="1" t="n">
        <v>45736</v>
      </c>
      <c r="D15762" t="inlineStr">
        <is>
          <t>VÄRMLANDS LÄN</t>
        </is>
      </c>
      <c r="E15762" t="inlineStr">
        <is>
          <t>TORSBY</t>
        </is>
      </c>
      <c r="F15762" t="inlineStr">
        <is>
          <t>Bergvik skog väst AB</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32847-2024</t>
        </is>
      </c>
      <c r="B15763" s="1" t="n">
        <v>45516</v>
      </c>
      <c r="C15763" s="1" t="n">
        <v>45736</v>
      </c>
      <c r="D15763" t="inlineStr">
        <is>
          <t>VÄRMLANDS LÄN</t>
        </is>
      </c>
      <c r="E15763" t="inlineStr">
        <is>
          <t>TORSBY</t>
        </is>
      </c>
      <c r="F15763" t="inlineStr">
        <is>
          <t>Bergvik skog väst AB</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32753-2024</t>
        </is>
      </c>
      <c r="B15764" s="1" t="n">
        <v>45516</v>
      </c>
      <c r="C15764" s="1" t="n">
        <v>45736</v>
      </c>
      <c r="D15764" t="inlineStr">
        <is>
          <t>VÄRMLANDS LÄN</t>
        </is>
      </c>
      <c r="E15764" t="inlineStr">
        <is>
          <t>SUNNE</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32723-2024</t>
        </is>
      </c>
      <c r="B15765" s="1" t="n">
        <v>45516</v>
      </c>
      <c r="C15765" s="1" t="n">
        <v>45736</v>
      </c>
      <c r="D15765" t="inlineStr">
        <is>
          <t>VÄRMLANDS LÄN</t>
        </is>
      </c>
      <c r="E15765" t="inlineStr">
        <is>
          <t>ÅRJÄNG</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32698-2024</t>
        </is>
      </c>
      <c r="B15766" s="1" t="n">
        <v>45516</v>
      </c>
      <c r="C15766" s="1" t="n">
        <v>45736</v>
      </c>
      <c r="D15766" t="inlineStr">
        <is>
          <t>VÄRMLANDS LÄN</t>
        </is>
      </c>
      <c r="E15766" t="inlineStr">
        <is>
          <t>EDA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33088-2024</t>
        </is>
      </c>
      <c r="B15767" s="1" t="n">
        <v>45517</v>
      </c>
      <c r="C15767" s="1" t="n">
        <v>45736</v>
      </c>
      <c r="D15767" t="inlineStr">
        <is>
          <t>VÄRMLANDS LÄN</t>
        </is>
      </c>
      <c r="E15767" t="inlineStr">
        <is>
          <t>TORSBY</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33078-2024</t>
        </is>
      </c>
      <c r="B15768" s="1" t="n">
        <v>45517</v>
      </c>
      <c r="C15768" s="1" t="n">
        <v>45736</v>
      </c>
      <c r="D15768" t="inlineStr">
        <is>
          <t>VÄRMLANDS LÄN</t>
        </is>
      </c>
      <c r="E15768" t="inlineStr">
        <is>
          <t>TORSBY</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33070-2024</t>
        </is>
      </c>
      <c r="B15769" s="1" t="n">
        <v>45517</v>
      </c>
      <c r="C15769" s="1" t="n">
        <v>45736</v>
      </c>
      <c r="D15769" t="inlineStr">
        <is>
          <t>VÄRMLANDS LÄN</t>
        </is>
      </c>
      <c r="E15769" t="inlineStr">
        <is>
          <t>FORSHAGA</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32973-2024</t>
        </is>
      </c>
      <c r="B15770" s="1" t="n">
        <v>45517</v>
      </c>
      <c r="C15770" s="1" t="n">
        <v>45736</v>
      </c>
      <c r="D15770" t="inlineStr">
        <is>
          <t>VÄRMLANDS LÄN</t>
        </is>
      </c>
      <c r="E15770" t="inlineStr">
        <is>
          <t>TORSBY</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33050-2024</t>
        </is>
      </c>
      <c r="B15771" s="1" t="n">
        <v>45517</v>
      </c>
      <c r="C15771" s="1" t="n">
        <v>45736</v>
      </c>
      <c r="D15771" t="inlineStr">
        <is>
          <t>VÄRMLANDS LÄN</t>
        </is>
      </c>
      <c r="E15771" t="inlineStr">
        <is>
          <t>ARVIKA</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33034-2024</t>
        </is>
      </c>
      <c r="B15772" s="1" t="n">
        <v>45517</v>
      </c>
      <c r="C15772" s="1" t="n">
        <v>45736</v>
      </c>
      <c r="D15772" t="inlineStr">
        <is>
          <t>VÄRMLANDS LÄN</t>
        </is>
      </c>
      <c r="E15772" t="inlineStr">
        <is>
          <t>FORSHAGA</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33036-2024</t>
        </is>
      </c>
      <c r="B15773" s="1" t="n">
        <v>45517</v>
      </c>
      <c r="C15773" s="1" t="n">
        <v>45736</v>
      </c>
      <c r="D15773" t="inlineStr">
        <is>
          <t>VÄRMLANDS LÄN</t>
        </is>
      </c>
      <c r="E15773" t="inlineStr">
        <is>
          <t>SUNNE</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33013-2024</t>
        </is>
      </c>
      <c r="B15774" s="1" t="n">
        <v>45517</v>
      </c>
      <c r="C15774" s="1" t="n">
        <v>45736</v>
      </c>
      <c r="D15774" t="inlineStr">
        <is>
          <t>VÄRMLANDS LÄN</t>
        </is>
      </c>
      <c r="E15774" t="inlineStr">
        <is>
          <t>FORSHAGA</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32968-2024</t>
        </is>
      </c>
      <c r="B15775" s="1" t="n">
        <v>45517</v>
      </c>
      <c r="C15775" s="1" t="n">
        <v>45736</v>
      </c>
      <c r="D15775" t="inlineStr">
        <is>
          <t>VÄRMLANDS LÄN</t>
        </is>
      </c>
      <c r="E15775" t="inlineStr">
        <is>
          <t>SÄFFLE</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33058-2024</t>
        </is>
      </c>
      <c r="B15776" s="1" t="n">
        <v>45517</v>
      </c>
      <c r="C15776" s="1" t="n">
        <v>45736</v>
      </c>
      <c r="D15776" t="inlineStr">
        <is>
          <t>VÄRMLANDS LÄN</t>
        </is>
      </c>
      <c r="E15776" t="inlineStr">
        <is>
          <t>FORSHAGA</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33085-2024</t>
        </is>
      </c>
      <c r="B15777" s="1" t="n">
        <v>45517</v>
      </c>
      <c r="C15777" s="1" t="n">
        <v>45736</v>
      </c>
      <c r="D15777" t="inlineStr">
        <is>
          <t>VÄRMLANDS LÄN</t>
        </is>
      </c>
      <c r="E15777" t="inlineStr">
        <is>
          <t>TORSBY</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33073-2024</t>
        </is>
      </c>
      <c r="B15778" s="1" t="n">
        <v>45517</v>
      </c>
      <c r="C15778" s="1" t="n">
        <v>45736</v>
      </c>
      <c r="D15778" t="inlineStr">
        <is>
          <t>VÄRMLANDS LÄN</t>
        </is>
      </c>
      <c r="E15778" t="inlineStr">
        <is>
          <t>TORSBY</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33065-2024</t>
        </is>
      </c>
      <c r="B15779" s="1" t="n">
        <v>45517</v>
      </c>
      <c r="C15779" s="1" t="n">
        <v>45736</v>
      </c>
      <c r="D15779" t="inlineStr">
        <is>
          <t>VÄRMLANDS LÄN</t>
        </is>
      </c>
      <c r="E15779" t="inlineStr">
        <is>
          <t>FORSHAGA</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33057-2024</t>
        </is>
      </c>
      <c r="B15780" s="1" t="n">
        <v>45517</v>
      </c>
      <c r="C15780" s="1" t="n">
        <v>45736</v>
      </c>
      <c r="D15780" t="inlineStr">
        <is>
          <t>VÄRMLANDS LÄN</t>
        </is>
      </c>
      <c r="E15780" t="inlineStr">
        <is>
          <t>SUNNE</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33008-2024</t>
        </is>
      </c>
      <c r="B15781" s="1" t="n">
        <v>45517</v>
      </c>
      <c r="C15781" s="1" t="n">
        <v>45736</v>
      </c>
      <c r="D15781" t="inlineStr">
        <is>
          <t>VÄRMLANDS LÄN</t>
        </is>
      </c>
      <c r="E15781" t="inlineStr">
        <is>
          <t>SUNNE</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32988-2024</t>
        </is>
      </c>
      <c r="B15782" s="1" t="n">
        <v>45517</v>
      </c>
      <c r="C15782" s="1" t="n">
        <v>45736</v>
      </c>
      <c r="D15782" t="inlineStr">
        <is>
          <t>VÄRMLANDS LÄN</t>
        </is>
      </c>
      <c r="E15782" t="inlineStr">
        <is>
          <t>TORSBY</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32950-2024</t>
        </is>
      </c>
      <c r="B15783" s="1" t="n">
        <v>45517</v>
      </c>
      <c r="C15783" s="1" t="n">
        <v>45736</v>
      </c>
      <c r="D15783" t="inlineStr">
        <is>
          <t>VÄRMLANDS LÄN</t>
        </is>
      </c>
      <c r="E15783" t="inlineStr">
        <is>
          <t>ÅRJÄNG</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32932-2024</t>
        </is>
      </c>
      <c r="B15784" s="1" t="n">
        <v>45517</v>
      </c>
      <c r="C15784" s="1" t="n">
        <v>45736</v>
      </c>
      <c r="D15784" t="inlineStr">
        <is>
          <t>VÄRMLANDS LÄN</t>
        </is>
      </c>
      <c r="E15784" t="inlineStr">
        <is>
          <t>TORSBY</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32936-2024</t>
        </is>
      </c>
      <c r="B15785" s="1" t="n">
        <v>45517</v>
      </c>
      <c r="C15785" s="1" t="n">
        <v>45736</v>
      </c>
      <c r="D15785" t="inlineStr">
        <is>
          <t>VÄRMLANDS LÄN</t>
        </is>
      </c>
      <c r="E15785" t="inlineStr">
        <is>
          <t>TORSBY</t>
        </is>
      </c>
      <c r="G15785" t="n">
        <v>8.300000000000001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33047-2024</t>
        </is>
      </c>
      <c r="B15786" s="1" t="n">
        <v>45517</v>
      </c>
      <c r="C15786" s="1" t="n">
        <v>45736</v>
      </c>
      <c r="D15786" t="inlineStr">
        <is>
          <t>VÄRMLANDS LÄN</t>
        </is>
      </c>
      <c r="E15786" t="inlineStr">
        <is>
          <t>ARVIKA</t>
        </is>
      </c>
      <c r="G15786" t="n">
        <v>1.5</v>
      </c>
      <c r="H15786" t="n">
        <v>0</v>
      </c>
      <c r="I15786" t="n">
        <v>0</v>
      </c>
      <c r="J15786" t="n">
        <v>0</v>
      </c>
      <c r="K15786" t="n">
        <v>0</v>
      </c>
      <c r="L15786" t="n">
        <v>0</v>
      </c>
      <c r="M15786" t="n">
        <v>0</v>
      </c>
      <c r="N15786" t="n">
        <v>0</v>
      </c>
      <c r="O15786" t="n">
        <v>0</v>
      </c>
      <c r="P15786" t="n">
        <v>0</v>
      </c>
      <c r="Q15786" t="n">
        <v>0</v>
      </c>
      <c r="R15786" s="2" t="inlineStr"/>
      <c r="U15786">
        <f>HYPERLINK("https://klasma.github.io/Logging_1784/knärot/A 33047-2024 karta knärot.png", "A 33047-2024")</f>
        <v/>
      </c>
      <c r="V15786">
        <f>HYPERLINK("https://klasma.github.io/Logging_1784/klagomål/A 33047-2024 FSC-klagomål.docx", "A 33047-2024")</f>
        <v/>
      </c>
      <c r="W15786">
        <f>HYPERLINK("https://klasma.github.io/Logging_1784/klagomålsmail/A 33047-2024 FSC-klagomål mail.docx", "A 33047-2024")</f>
        <v/>
      </c>
      <c r="X15786">
        <f>HYPERLINK("https://klasma.github.io/Logging_1784/tillsyn/A 33047-2024 tillsynsbegäran.docx", "A 33047-2024")</f>
        <v/>
      </c>
      <c r="Y15786">
        <f>HYPERLINK("https://klasma.github.io/Logging_1784/tillsynsmail/A 33047-2024 tillsynsbegäran mail.docx", "A 33047-2024")</f>
        <v/>
      </c>
    </row>
    <row r="15787" ht="15" customHeight="1">
      <c r="A15787" t="inlineStr">
        <is>
          <t>A 33010-2024</t>
        </is>
      </c>
      <c r="B15787" s="1" t="n">
        <v>45517</v>
      </c>
      <c r="C15787" s="1" t="n">
        <v>45736</v>
      </c>
      <c r="D15787" t="inlineStr">
        <is>
          <t>VÄRMLANDS LÄN</t>
        </is>
      </c>
      <c r="E15787" t="inlineStr">
        <is>
          <t>SUNNE</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32980-2024</t>
        </is>
      </c>
      <c r="B15788" s="1" t="n">
        <v>45517</v>
      </c>
      <c r="C15788" s="1" t="n">
        <v>45736</v>
      </c>
      <c r="D15788" t="inlineStr">
        <is>
          <t>VÄRMLANDS LÄN</t>
        </is>
      </c>
      <c r="E15788" t="inlineStr">
        <is>
          <t>SUNNE</t>
        </is>
      </c>
      <c r="G15788" t="n">
        <v>5.5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32939-2024</t>
        </is>
      </c>
      <c r="B15789" s="1" t="n">
        <v>45517</v>
      </c>
      <c r="C15789" s="1" t="n">
        <v>45736</v>
      </c>
      <c r="D15789" t="inlineStr">
        <is>
          <t>VÄRMLANDS LÄN</t>
        </is>
      </c>
      <c r="E15789" t="inlineStr">
        <is>
          <t>TORSBY</t>
        </is>
      </c>
      <c r="G15789" t="n">
        <v>7.1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33185-2024</t>
        </is>
      </c>
      <c r="B15790" s="1" t="n">
        <v>45518</v>
      </c>
      <c r="C15790" s="1" t="n">
        <v>45736</v>
      </c>
      <c r="D15790" t="inlineStr">
        <is>
          <t>VÄRMLANDS LÄN</t>
        </is>
      </c>
      <c r="E15790" t="inlineStr">
        <is>
          <t>TORSBY</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33181-2024</t>
        </is>
      </c>
      <c r="B15791" s="1" t="n">
        <v>45518</v>
      </c>
      <c r="C15791" s="1" t="n">
        <v>45736</v>
      </c>
      <c r="D15791" t="inlineStr">
        <is>
          <t>VÄRMLANDS LÄN</t>
        </is>
      </c>
      <c r="E15791" t="inlineStr">
        <is>
          <t>HAGFORS</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33152-2024</t>
        </is>
      </c>
      <c r="B15792" s="1" t="n">
        <v>45518</v>
      </c>
      <c r="C15792" s="1" t="n">
        <v>45736</v>
      </c>
      <c r="D15792" t="inlineStr">
        <is>
          <t>VÄRMLANDS LÄN</t>
        </is>
      </c>
      <c r="E15792" t="inlineStr">
        <is>
          <t>HAGFORS</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33293-2024</t>
        </is>
      </c>
      <c r="B15793" s="1" t="n">
        <v>45518</v>
      </c>
      <c r="C15793" s="1" t="n">
        <v>45736</v>
      </c>
      <c r="D15793" t="inlineStr">
        <is>
          <t>VÄRMLANDS LÄN</t>
        </is>
      </c>
      <c r="E15793" t="inlineStr">
        <is>
          <t>TORSBY</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33270-2024</t>
        </is>
      </c>
      <c r="B15794" s="1" t="n">
        <v>45518</v>
      </c>
      <c r="C15794" s="1" t="n">
        <v>45736</v>
      </c>
      <c r="D15794" t="inlineStr">
        <is>
          <t>VÄRMLANDS LÄN</t>
        </is>
      </c>
      <c r="E15794" t="inlineStr">
        <is>
          <t>GRUMS</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33218-2024</t>
        </is>
      </c>
      <c r="B15795" s="1" t="n">
        <v>45518</v>
      </c>
      <c r="C15795" s="1" t="n">
        <v>45736</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33232-2024</t>
        </is>
      </c>
      <c r="B15796" s="1" t="n">
        <v>45518</v>
      </c>
      <c r="C15796" s="1" t="n">
        <v>45736</v>
      </c>
      <c r="D15796" t="inlineStr">
        <is>
          <t>VÄRMLANDS LÄN</t>
        </is>
      </c>
      <c r="E15796" t="inlineStr">
        <is>
          <t>TORSBY</t>
        </is>
      </c>
      <c r="F15796" t="inlineStr">
        <is>
          <t>Bergvik skog väst AB</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33133-2024</t>
        </is>
      </c>
      <c r="B15797" s="1" t="n">
        <v>45518</v>
      </c>
      <c r="C15797" s="1" t="n">
        <v>45736</v>
      </c>
      <c r="D15797" t="inlineStr">
        <is>
          <t>VÄRMLANDS LÄN</t>
        </is>
      </c>
      <c r="E15797" t="inlineStr">
        <is>
          <t>TORSBY</t>
        </is>
      </c>
      <c r="F15797" t="inlineStr">
        <is>
          <t>Bergvik skog väst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33247-2024</t>
        </is>
      </c>
      <c r="B15798" s="1" t="n">
        <v>45518</v>
      </c>
      <c r="C15798" s="1" t="n">
        <v>45736</v>
      </c>
      <c r="D15798" t="inlineStr">
        <is>
          <t>VÄRMLANDS LÄN</t>
        </is>
      </c>
      <c r="E15798" t="inlineStr">
        <is>
          <t>SUNNE</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33227-2024</t>
        </is>
      </c>
      <c r="B15799" s="1" t="n">
        <v>45518</v>
      </c>
      <c r="C15799" s="1" t="n">
        <v>45736</v>
      </c>
      <c r="D15799" t="inlineStr">
        <is>
          <t>VÄRMLANDS LÄN</t>
        </is>
      </c>
      <c r="E15799" t="inlineStr">
        <is>
          <t>TORSBY</t>
        </is>
      </c>
      <c r="F15799" t="inlineStr">
        <is>
          <t>Bergvik skog väst AB</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33203-2024</t>
        </is>
      </c>
      <c r="B15800" s="1" t="n">
        <v>45518</v>
      </c>
      <c r="C15800" s="1" t="n">
        <v>45736</v>
      </c>
      <c r="D15800" t="inlineStr">
        <is>
          <t>VÄRMLANDS LÄN</t>
        </is>
      </c>
      <c r="E15800" t="inlineStr">
        <is>
          <t>ARVIKA</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33220-2024</t>
        </is>
      </c>
      <c r="B15801" s="1" t="n">
        <v>45518</v>
      </c>
      <c r="C15801" s="1" t="n">
        <v>45736</v>
      </c>
      <c r="D15801" t="inlineStr">
        <is>
          <t>VÄRMLANDS LÄN</t>
        </is>
      </c>
      <c r="E15801" t="inlineStr">
        <is>
          <t>TORSBY</t>
        </is>
      </c>
      <c r="F15801" t="inlineStr">
        <is>
          <t>Bergvik skog väst AB</t>
        </is>
      </c>
      <c r="G15801" t="n">
        <v>4.6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33146-2024</t>
        </is>
      </c>
      <c r="B15802" s="1" t="n">
        <v>45518</v>
      </c>
      <c r="C15802" s="1" t="n">
        <v>45736</v>
      </c>
      <c r="D15802" t="inlineStr">
        <is>
          <t>VÄRMLANDS LÄN</t>
        </is>
      </c>
      <c r="E15802" t="inlineStr">
        <is>
          <t>HAGFORS</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33172-2024</t>
        </is>
      </c>
      <c r="B15803" s="1" t="n">
        <v>45518</v>
      </c>
      <c r="C15803" s="1" t="n">
        <v>45736</v>
      </c>
      <c r="D15803" t="inlineStr">
        <is>
          <t>VÄRMLANDS LÄN</t>
        </is>
      </c>
      <c r="E15803" t="inlineStr">
        <is>
          <t>TORSBY</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33151-2024</t>
        </is>
      </c>
      <c r="B15804" s="1" t="n">
        <v>45518</v>
      </c>
      <c r="C15804" s="1" t="n">
        <v>45736</v>
      </c>
      <c r="D15804" t="inlineStr">
        <is>
          <t>VÄRMLANDS LÄN</t>
        </is>
      </c>
      <c r="E15804" t="inlineStr">
        <is>
          <t>TORSBY</t>
        </is>
      </c>
      <c r="F15804" t="inlineStr">
        <is>
          <t>Bergvik skog väst AB</t>
        </is>
      </c>
      <c r="G15804" t="n">
        <v>28.2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33360-2024</t>
        </is>
      </c>
      <c r="B15805" s="1" t="n">
        <v>45519</v>
      </c>
      <c r="C15805" s="1" t="n">
        <v>45736</v>
      </c>
      <c r="D15805" t="inlineStr">
        <is>
          <t>VÄRMLANDS LÄN</t>
        </is>
      </c>
      <c r="E15805" t="inlineStr">
        <is>
          <t>ARVIKA</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33393-2024</t>
        </is>
      </c>
      <c r="B15806" s="1" t="n">
        <v>45519</v>
      </c>
      <c r="C15806" s="1" t="n">
        <v>45736</v>
      </c>
      <c r="D15806" t="inlineStr">
        <is>
          <t>VÄRMLANDS LÄN</t>
        </is>
      </c>
      <c r="E15806" t="inlineStr">
        <is>
          <t>MUNKFORS</t>
        </is>
      </c>
      <c r="F15806" t="inlineStr">
        <is>
          <t>Bergvik skog väst AB</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33338-2024</t>
        </is>
      </c>
      <c r="B15807" s="1" t="n">
        <v>45519</v>
      </c>
      <c r="C15807" s="1" t="n">
        <v>45736</v>
      </c>
      <c r="D15807" t="inlineStr">
        <is>
          <t>VÄRMLANDS LÄN</t>
        </is>
      </c>
      <c r="E15807" t="inlineStr">
        <is>
          <t>TORSBY</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33342-2024</t>
        </is>
      </c>
      <c r="B15808" s="1" t="n">
        <v>45519</v>
      </c>
      <c r="C15808" s="1" t="n">
        <v>45736</v>
      </c>
      <c r="D15808" t="inlineStr">
        <is>
          <t>VÄRMLANDS LÄN</t>
        </is>
      </c>
      <c r="E15808" t="inlineStr">
        <is>
          <t>KIL</t>
        </is>
      </c>
      <c r="G15808" t="n">
        <v>6.3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33370-2024</t>
        </is>
      </c>
      <c r="B15809" s="1" t="n">
        <v>45519</v>
      </c>
      <c r="C15809" s="1" t="n">
        <v>45736</v>
      </c>
      <c r="D15809" t="inlineStr">
        <is>
          <t>VÄRMLANDS LÄN</t>
        </is>
      </c>
      <c r="E15809" t="inlineStr">
        <is>
          <t>TORSBY</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33378-2024</t>
        </is>
      </c>
      <c r="B15810" s="1" t="n">
        <v>45519</v>
      </c>
      <c r="C15810" s="1" t="n">
        <v>45736</v>
      </c>
      <c r="D15810" t="inlineStr">
        <is>
          <t>VÄRMLANDS LÄN</t>
        </is>
      </c>
      <c r="E15810" t="inlineStr">
        <is>
          <t>HAGFORS</t>
        </is>
      </c>
      <c r="F15810" t="inlineStr">
        <is>
          <t>Bergvik skog väst AB</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33382-2024</t>
        </is>
      </c>
      <c r="B15811" s="1" t="n">
        <v>45519</v>
      </c>
      <c r="C15811" s="1" t="n">
        <v>45736</v>
      </c>
      <c r="D15811" t="inlineStr">
        <is>
          <t>VÄRMLANDS LÄN</t>
        </is>
      </c>
      <c r="E15811" t="inlineStr">
        <is>
          <t>SÄFFLE</t>
        </is>
      </c>
      <c r="G15811" t="n">
        <v>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33399-2024</t>
        </is>
      </c>
      <c r="B15812" s="1" t="n">
        <v>45519</v>
      </c>
      <c r="C15812" s="1" t="n">
        <v>45736</v>
      </c>
      <c r="D15812" t="inlineStr">
        <is>
          <t>VÄRMLANDS LÄN</t>
        </is>
      </c>
      <c r="E15812" t="inlineStr">
        <is>
          <t>HAGFORS</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33337-2024</t>
        </is>
      </c>
      <c r="B15813" s="1" t="n">
        <v>45519</v>
      </c>
      <c r="C15813" s="1" t="n">
        <v>45736</v>
      </c>
      <c r="D15813" t="inlineStr">
        <is>
          <t>VÄRMLANDS LÄN</t>
        </is>
      </c>
      <c r="E15813" t="inlineStr">
        <is>
          <t>TORSBY</t>
        </is>
      </c>
      <c r="F15813" t="inlineStr">
        <is>
          <t>Bergvik skog väst AB</t>
        </is>
      </c>
      <c r="G15813" t="n">
        <v>4.6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33341-2024</t>
        </is>
      </c>
      <c r="B15814" s="1" t="n">
        <v>45519</v>
      </c>
      <c r="C15814" s="1" t="n">
        <v>45736</v>
      </c>
      <c r="D15814" t="inlineStr">
        <is>
          <t>VÄRMLANDS LÄN</t>
        </is>
      </c>
      <c r="E15814" t="inlineStr">
        <is>
          <t>TORSBY</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33405-2024</t>
        </is>
      </c>
      <c r="B15815" s="1" t="n">
        <v>45519</v>
      </c>
      <c r="C15815" s="1" t="n">
        <v>45736</v>
      </c>
      <c r="D15815" t="inlineStr">
        <is>
          <t>VÄRMLANDS LÄN</t>
        </is>
      </c>
      <c r="E15815" t="inlineStr">
        <is>
          <t>HAGFORS</t>
        </is>
      </c>
      <c r="F15815" t="inlineStr">
        <is>
          <t>Bergvik skog väst AB</t>
        </is>
      </c>
      <c r="G15815" t="n">
        <v>5.2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33421-2024</t>
        </is>
      </c>
      <c r="B15816" s="1" t="n">
        <v>45519</v>
      </c>
      <c r="C15816" s="1" t="n">
        <v>45736</v>
      </c>
      <c r="D15816" t="inlineStr">
        <is>
          <t>VÄRMLANDS LÄN</t>
        </is>
      </c>
      <c r="E15816" t="inlineStr">
        <is>
          <t>ARVIKA</t>
        </is>
      </c>
      <c r="F15816" t="inlineStr">
        <is>
          <t>Bergvik skog väst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33425-2024</t>
        </is>
      </c>
      <c r="B15817" s="1" t="n">
        <v>45519</v>
      </c>
      <c r="C15817" s="1" t="n">
        <v>45736</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33429-2024</t>
        </is>
      </c>
      <c r="B15818" s="1" t="n">
        <v>45519</v>
      </c>
      <c r="C15818" s="1" t="n">
        <v>45736</v>
      </c>
      <c r="D15818" t="inlineStr">
        <is>
          <t>VÄRMLANDS LÄN</t>
        </is>
      </c>
      <c r="E15818" t="inlineStr">
        <is>
          <t>TORSBY</t>
        </is>
      </c>
      <c r="F15818" t="inlineStr">
        <is>
          <t>Bergvik skog väst AB</t>
        </is>
      </c>
      <c r="G15818" t="n">
        <v>7.9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33457-2024</t>
        </is>
      </c>
      <c r="B15819" s="1" t="n">
        <v>45519</v>
      </c>
      <c r="C15819" s="1" t="n">
        <v>45736</v>
      </c>
      <c r="D15819" t="inlineStr">
        <is>
          <t>VÄRMLANDS LÄN</t>
        </is>
      </c>
      <c r="E15819" t="inlineStr">
        <is>
          <t>HAGFORS</t>
        </is>
      </c>
      <c r="F15819" t="inlineStr">
        <is>
          <t>Bergvik skog väst AB</t>
        </is>
      </c>
      <c r="G15819" t="n">
        <v>13.6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33469-2024</t>
        </is>
      </c>
      <c r="B15820" s="1" t="n">
        <v>45519</v>
      </c>
      <c r="C15820" s="1" t="n">
        <v>45736</v>
      </c>
      <c r="D15820" t="inlineStr">
        <is>
          <t>VÄRMLANDS LÄN</t>
        </is>
      </c>
      <c r="E15820" t="inlineStr">
        <is>
          <t>TORSBY</t>
        </is>
      </c>
      <c r="F15820" t="inlineStr">
        <is>
          <t>Bergvik skog väst AB</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33485-2024</t>
        </is>
      </c>
      <c r="B15821" s="1" t="n">
        <v>45519</v>
      </c>
      <c r="C15821" s="1" t="n">
        <v>45736</v>
      </c>
      <c r="D15821" t="inlineStr">
        <is>
          <t>VÄRMLANDS LÄN</t>
        </is>
      </c>
      <c r="E15821" t="inlineStr">
        <is>
          <t>KIL</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33546-2024</t>
        </is>
      </c>
      <c r="B15822" s="1" t="n">
        <v>45519</v>
      </c>
      <c r="C15822" s="1" t="n">
        <v>45736</v>
      </c>
      <c r="D15822" t="inlineStr">
        <is>
          <t>VÄRMLANDS LÄN</t>
        </is>
      </c>
      <c r="E15822" t="inlineStr">
        <is>
          <t>TORSBY</t>
        </is>
      </c>
      <c r="G15822" t="n">
        <v>7.2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33418-2024</t>
        </is>
      </c>
      <c r="B15823" s="1" t="n">
        <v>45519</v>
      </c>
      <c r="C15823" s="1" t="n">
        <v>45736</v>
      </c>
      <c r="D15823" t="inlineStr">
        <is>
          <t>VÄRMLANDS LÄN</t>
        </is>
      </c>
      <c r="E15823" t="inlineStr">
        <is>
          <t>TORSBY</t>
        </is>
      </c>
      <c r="F15823" t="inlineStr">
        <is>
          <t>Bergvik skog väst AB</t>
        </is>
      </c>
      <c r="G15823" t="n">
        <v>27.6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33411-2024</t>
        </is>
      </c>
      <c r="B15824" s="1" t="n">
        <v>45519</v>
      </c>
      <c r="C15824" s="1" t="n">
        <v>45736</v>
      </c>
      <c r="D15824" t="inlineStr">
        <is>
          <t>VÄRMLANDS LÄN</t>
        </is>
      </c>
      <c r="E15824" t="inlineStr">
        <is>
          <t>ARVIKA</t>
        </is>
      </c>
      <c r="F15824" t="inlineStr">
        <is>
          <t>Bergvik skog väst AB</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33486-2024</t>
        </is>
      </c>
      <c r="B15825" s="1" t="n">
        <v>45519</v>
      </c>
      <c r="C15825" s="1" t="n">
        <v>45736</v>
      </c>
      <c r="D15825" t="inlineStr">
        <is>
          <t>VÄRMLANDS LÄN</t>
        </is>
      </c>
      <c r="E15825" t="inlineStr">
        <is>
          <t>FILIPSTAD</t>
        </is>
      </c>
      <c r="F15825" t="inlineStr">
        <is>
          <t>Bergvik skog väst AB</t>
        </is>
      </c>
      <c r="G15825" t="n">
        <v>12.4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33494-2024</t>
        </is>
      </c>
      <c r="B15826" s="1" t="n">
        <v>45519</v>
      </c>
      <c r="C15826" s="1" t="n">
        <v>45736</v>
      </c>
      <c r="D15826" t="inlineStr">
        <is>
          <t>VÄRMLANDS LÄN</t>
        </is>
      </c>
      <c r="E15826" t="inlineStr">
        <is>
          <t>SUNNE</t>
        </is>
      </c>
      <c r="F15826" t="inlineStr">
        <is>
          <t>Bergvik skog väst AB</t>
        </is>
      </c>
      <c r="G15826" t="n">
        <v>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33459-2024</t>
        </is>
      </c>
      <c r="B15827" s="1" t="n">
        <v>45519</v>
      </c>
      <c r="C15827" s="1" t="n">
        <v>45736</v>
      </c>
      <c r="D15827" t="inlineStr">
        <is>
          <t>VÄRMLANDS LÄN</t>
        </is>
      </c>
      <c r="E15827" t="inlineStr">
        <is>
          <t>SUNNE</t>
        </is>
      </c>
      <c r="F15827" t="inlineStr">
        <is>
          <t>Bergvik skog väst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33511-2024</t>
        </is>
      </c>
      <c r="B15828" s="1" t="n">
        <v>45519</v>
      </c>
      <c r="C15828" s="1" t="n">
        <v>45736</v>
      </c>
      <c r="D15828" t="inlineStr">
        <is>
          <t>VÄRMLANDS LÄN</t>
        </is>
      </c>
      <c r="E15828" t="inlineStr">
        <is>
          <t>TORSBY</t>
        </is>
      </c>
      <c r="F15828" t="inlineStr">
        <is>
          <t>Bergvik skog väst AB</t>
        </is>
      </c>
      <c r="G15828" t="n">
        <v>12.1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33547-2024</t>
        </is>
      </c>
      <c r="B15829" s="1" t="n">
        <v>45519</v>
      </c>
      <c r="C15829" s="1" t="n">
        <v>45736</v>
      </c>
      <c r="D15829" t="inlineStr">
        <is>
          <t>VÄRMLANDS LÄN</t>
        </is>
      </c>
      <c r="E15829" t="inlineStr">
        <is>
          <t>TORSBY</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33475-2024</t>
        </is>
      </c>
      <c r="B15830" s="1" t="n">
        <v>45519</v>
      </c>
      <c r="C15830" s="1" t="n">
        <v>45736</v>
      </c>
      <c r="D15830" t="inlineStr">
        <is>
          <t>VÄRMLANDS LÄN</t>
        </is>
      </c>
      <c r="E15830" t="inlineStr">
        <is>
          <t>KIL</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33495-2024</t>
        </is>
      </c>
      <c r="B15831" s="1" t="n">
        <v>45519</v>
      </c>
      <c r="C15831" s="1" t="n">
        <v>45736</v>
      </c>
      <c r="D15831" t="inlineStr">
        <is>
          <t>VÄRMLANDS LÄN</t>
        </is>
      </c>
      <c r="E15831" t="inlineStr">
        <is>
          <t>TORSBY</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33499-2024</t>
        </is>
      </c>
      <c r="B15832" s="1" t="n">
        <v>45519</v>
      </c>
      <c r="C15832" s="1" t="n">
        <v>45736</v>
      </c>
      <c r="D15832" t="inlineStr">
        <is>
          <t>VÄRMLANDS LÄN</t>
        </is>
      </c>
      <c r="E15832" t="inlineStr">
        <is>
          <t>TORSBY</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33516-2024</t>
        </is>
      </c>
      <c r="B15833" s="1" t="n">
        <v>45519</v>
      </c>
      <c r="C15833" s="1" t="n">
        <v>45736</v>
      </c>
      <c r="D15833" t="inlineStr">
        <is>
          <t>VÄRMLANDS LÄN</t>
        </is>
      </c>
      <c r="E15833" t="inlineStr">
        <is>
          <t>KIL</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33548-2024</t>
        </is>
      </c>
      <c r="B15834" s="1" t="n">
        <v>45519</v>
      </c>
      <c r="C15834" s="1" t="n">
        <v>45736</v>
      </c>
      <c r="D15834" t="inlineStr">
        <is>
          <t>VÄRMLANDS LÄN</t>
        </is>
      </c>
      <c r="E15834" t="inlineStr">
        <is>
          <t>TORSBY</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33367-2024</t>
        </is>
      </c>
      <c r="B15835" s="1" t="n">
        <v>45519</v>
      </c>
      <c r="C15835" s="1" t="n">
        <v>45736</v>
      </c>
      <c r="D15835" t="inlineStr">
        <is>
          <t>VÄRMLANDS LÄN</t>
        </is>
      </c>
      <c r="E15835" t="inlineStr">
        <is>
          <t>TORSBY</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33371-2024</t>
        </is>
      </c>
      <c r="B15836" s="1" t="n">
        <v>45519</v>
      </c>
      <c r="C15836" s="1" t="n">
        <v>45736</v>
      </c>
      <c r="D15836" t="inlineStr">
        <is>
          <t>VÄRMLANDS LÄN</t>
        </is>
      </c>
      <c r="E15836" t="inlineStr">
        <is>
          <t>TORSBY</t>
        </is>
      </c>
      <c r="F15836" t="inlineStr">
        <is>
          <t>Bergvik skog väst AB</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33388-2024</t>
        </is>
      </c>
      <c r="B15837" s="1" t="n">
        <v>45519</v>
      </c>
      <c r="C15837" s="1" t="n">
        <v>45736</v>
      </c>
      <c r="D15837" t="inlineStr">
        <is>
          <t>VÄRMLANDS LÄN</t>
        </is>
      </c>
      <c r="E15837" t="inlineStr">
        <is>
          <t>ARVIKA</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33452-2024</t>
        </is>
      </c>
      <c r="B15838" s="1" t="n">
        <v>45519</v>
      </c>
      <c r="C15838" s="1" t="n">
        <v>45736</v>
      </c>
      <c r="D15838" t="inlineStr">
        <is>
          <t>VÄRMLANDS LÄN</t>
        </is>
      </c>
      <c r="E15838" t="inlineStr">
        <is>
          <t>HAGFORS</t>
        </is>
      </c>
      <c r="F15838" t="inlineStr">
        <is>
          <t>Bergvik skog väst AB</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33505-2024</t>
        </is>
      </c>
      <c r="B15839" s="1" t="n">
        <v>45519</v>
      </c>
      <c r="C15839" s="1" t="n">
        <v>45736</v>
      </c>
      <c r="D15839" t="inlineStr">
        <is>
          <t>VÄRMLANDS LÄN</t>
        </is>
      </c>
      <c r="E15839" t="inlineStr">
        <is>
          <t>FILIPSTAD</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33509-2024</t>
        </is>
      </c>
      <c r="B15840" s="1" t="n">
        <v>45519</v>
      </c>
      <c r="C15840" s="1" t="n">
        <v>45736</v>
      </c>
      <c r="D15840" t="inlineStr">
        <is>
          <t>VÄRMLANDS LÄN</t>
        </is>
      </c>
      <c r="E15840" t="inlineStr">
        <is>
          <t>KIL</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33521-2024</t>
        </is>
      </c>
      <c r="B15841" s="1" t="n">
        <v>45519</v>
      </c>
      <c r="C15841" s="1" t="n">
        <v>45736</v>
      </c>
      <c r="D15841" t="inlineStr">
        <is>
          <t>VÄRMLANDS LÄN</t>
        </is>
      </c>
      <c r="E15841" t="inlineStr">
        <is>
          <t>TORSBY</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33525-2024</t>
        </is>
      </c>
      <c r="B15842" s="1" t="n">
        <v>45519</v>
      </c>
      <c r="C15842" s="1" t="n">
        <v>45736</v>
      </c>
      <c r="D15842" t="inlineStr">
        <is>
          <t>VÄRMLANDS LÄN</t>
        </is>
      </c>
      <c r="E15842" t="inlineStr">
        <is>
          <t>HAGFORS</t>
        </is>
      </c>
      <c r="F15842" t="inlineStr">
        <is>
          <t>Bergvik skog väst AB</t>
        </is>
      </c>
      <c r="G15842" t="n">
        <v>12.5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33545-2024</t>
        </is>
      </c>
      <c r="B15843" s="1" t="n">
        <v>45519</v>
      </c>
      <c r="C15843" s="1" t="n">
        <v>45736</v>
      </c>
      <c r="D15843" t="inlineStr">
        <is>
          <t>VÄRMLANDS LÄN</t>
        </is>
      </c>
      <c r="E15843" t="inlineStr">
        <is>
          <t>HAGFORS</t>
        </is>
      </c>
      <c r="F15843" t="inlineStr">
        <is>
          <t>Bergvik skog väst AB</t>
        </is>
      </c>
      <c r="G15843" t="n">
        <v>21.5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33582-2024</t>
        </is>
      </c>
      <c r="B15844" s="1" t="n">
        <v>45520</v>
      </c>
      <c r="C15844" s="1" t="n">
        <v>45736</v>
      </c>
      <c r="D15844" t="inlineStr">
        <is>
          <t>VÄRMLANDS LÄN</t>
        </is>
      </c>
      <c r="E15844" t="inlineStr">
        <is>
          <t>SUNNE</t>
        </is>
      </c>
      <c r="F15844" t="inlineStr">
        <is>
          <t>Bergvik skog väst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33590-2024</t>
        </is>
      </c>
      <c r="B15845" s="1" t="n">
        <v>45520</v>
      </c>
      <c r="C15845" s="1" t="n">
        <v>45736</v>
      </c>
      <c r="D15845" t="inlineStr">
        <is>
          <t>VÄRMLANDS LÄN</t>
        </is>
      </c>
      <c r="E15845" t="inlineStr">
        <is>
          <t>FORSHAGA</t>
        </is>
      </c>
      <c r="F15845" t="inlineStr">
        <is>
          <t>Bergvik skog väst AB</t>
        </is>
      </c>
      <c r="G15845" t="n">
        <v>7.8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33598-2024</t>
        </is>
      </c>
      <c r="B15846" s="1" t="n">
        <v>45520</v>
      </c>
      <c r="C15846" s="1" t="n">
        <v>45736</v>
      </c>
      <c r="D15846" t="inlineStr">
        <is>
          <t>VÄRMLANDS LÄN</t>
        </is>
      </c>
      <c r="E15846" t="inlineStr">
        <is>
          <t>ARVIKA</t>
        </is>
      </c>
      <c r="F15846" t="inlineStr">
        <is>
          <t>Bergvik skog väst AB</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33614-2024</t>
        </is>
      </c>
      <c r="B15847" s="1" t="n">
        <v>45520</v>
      </c>
      <c r="C15847" s="1" t="n">
        <v>45736</v>
      </c>
      <c r="D15847" t="inlineStr">
        <is>
          <t>VÄRMLANDS LÄN</t>
        </is>
      </c>
      <c r="E15847" t="inlineStr">
        <is>
          <t>FILIPSTAD</t>
        </is>
      </c>
      <c r="F15847" t="inlineStr">
        <is>
          <t>Bergvik skog väst AB</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33566-2024</t>
        </is>
      </c>
      <c r="B15848" s="1" t="n">
        <v>45520</v>
      </c>
      <c r="C15848" s="1" t="n">
        <v>45736</v>
      </c>
      <c r="D15848" t="inlineStr">
        <is>
          <t>VÄRMLANDS LÄN</t>
        </is>
      </c>
      <c r="E15848" t="inlineStr">
        <is>
          <t>KIL</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33620-2024</t>
        </is>
      </c>
      <c r="B15849" s="1" t="n">
        <v>45520</v>
      </c>
      <c r="C15849" s="1" t="n">
        <v>45736</v>
      </c>
      <c r="D15849" t="inlineStr">
        <is>
          <t>VÄRMLANDS LÄN</t>
        </is>
      </c>
      <c r="E15849" t="inlineStr">
        <is>
          <t>TORSBY</t>
        </is>
      </c>
      <c r="F15849" t="inlineStr">
        <is>
          <t>Bergvik skog väst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33569-2024</t>
        </is>
      </c>
      <c r="B15850" s="1" t="n">
        <v>45520</v>
      </c>
      <c r="C15850" s="1" t="n">
        <v>45736</v>
      </c>
      <c r="D15850" t="inlineStr">
        <is>
          <t>VÄRMLANDS LÄN</t>
        </is>
      </c>
      <c r="E15850" t="inlineStr">
        <is>
          <t>FORSHAGA</t>
        </is>
      </c>
      <c r="F15850" t="inlineStr">
        <is>
          <t>Bergvik skog väst AB</t>
        </is>
      </c>
      <c r="G15850" t="n">
        <v>14.8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33585-2024</t>
        </is>
      </c>
      <c r="B15851" s="1" t="n">
        <v>45520</v>
      </c>
      <c r="C15851" s="1" t="n">
        <v>45736</v>
      </c>
      <c r="D15851" t="inlineStr">
        <is>
          <t>VÄRMLANDS LÄN</t>
        </is>
      </c>
      <c r="E15851" t="inlineStr">
        <is>
          <t>SUNNE</t>
        </is>
      </c>
      <c r="F15851" t="inlineStr">
        <is>
          <t>Bergvik skog väst AB</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33605-2024</t>
        </is>
      </c>
      <c r="B15852" s="1" t="n">
        <v>45520</v>
      </c>
      <c r="C15852" s="1" t="n">
        <v>45736</v>
      </c>
      <c r="D15852" t="inlineStr">
        <is>
          <t>VÄRMLANDS LÄN</t>
        </is>
      </c>
      <c r="E15852" t="inlineStr">
        <is>
          <t>ARVIKA</t>
        </is>
      </c>
      <c r="F15852" t="inlineStr">
        <is>
          <t>Bergvik skog väst AB</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33626-2024</t>
        </is>
      </c>
      <c r="B15853" s="1" t="n">
        <v>45520</v>
      </c>
      <c r="C15853" s="1" t="n">
        <v>45736</v>
      </c>
      <c r="D15853" t="inlineStr">
        <is>
          <t>VÄRMLANDS LÄN</t>
        </is>
      </c>
      <c r="E15853" t="inlineStr">
        <is>
          <t>SUNNE</t>
        </is>
      </c>
      <c r="F15853" t="inlineStr">
        <is>
          <t>Bergvik skog väst AB</t>
        </is>
      </c>
      <c r="G15853" t="n">
        <v>2.2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33641-2024</t>
        </is>
      </c>
      <c r="B15854" s="1" t="n">
        <v>45520</v>
      </c>
      <c r="C15854" s="1" t="n">
        <v>45736</v>
      </c>
      <c r="D15854" t="inlineStr">
        <is>
          <t>VÄRMLANDS LÄN</t>
        </is>
      </c>
      <c r="E15854" t="inlineStr">
        <is>
          <t>ARVIKA</t>
        </is>
      </c>
      <c r="F15854" t="inlineStr">
        <is>
          <t>Bergvik skog väst AB</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33645-2024</t>
        </is>
      </c>
      <c r="B15855" s="1" t="n">
        <v>45520</v>
      </c>
      <c r="C15855" s="1" t="n">
        <v>45736</v>
      </c>
      <c r="D15855" t="inlineStr">
        <is>
          <t>VÄRMLANDS LÄN</t>
        </is>
      </c>
      <c r="E15855" t="inlineStr">
        <is>
          <t>ARVIKA</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33649-2024</t>
        </is>
      </c>
      <c r="B15856" s="1" t="n">
        <v>45520</v>
      </c>
      <c r="C15856" s="1" t="n">
        <v>45736</v>
      </c>
      <c r="D15856" t="inlineStr">
        <is>
          <t>VÄRMLANDS LÄN</t>
        </is>
      </c>
      <c r="E15856" t="inlineStr">
        <is>
          <t>TORSBY</t>
        </is>
      </c>
      <c r="F15856" t="inlineStr">
        <is>
          <t>Bergvik skog väst AB</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33639-2024</t>
        </is>
      </c>
      <c r="B15857" s="1" t="n">
        <v>45520</v>
      </c>
      <c r="C15857" s="1" t="n">
        <v>45736</v>
      </c>
      <c r="D15857" t="inlineStr">
        <is>
          <t>VÄRMLANDS LÄN</t>
        </is>
      </c>
      <c r="E15857" t="inlineStr">
        <is>
          <t>ARVIKA</t>
        </is>
      </c>
      <c r="F15857" t="inlineStr">
        <is>
          <t>Bergvik skog väst AB</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33757-2024</t>
        </is>
      </c>
      <c r="B15858" s="1" t="n">
        <v>45520</v>
      </c>
      <c r="C15858" s="1" t="n">
        <v>45736</v>
      </c>
      <c r="D15858" t="inlineStr">
        <is>
          <t>VÄRMLANDS LÄN</t>
        </is>
      </c>
      <c r="E15858" t="inlineStr">
        <is>
          <t>SUNNE</t>
        </is>
      </c>
      <c r="F15858" t="inlineStr">
        <is>
          <t>Bergvik skog väst AB</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33765-2024</t>
        </is>
      </c>
      <c r="B15859" s="1" t="n">
        <v>45520</v>
      </c>
      <c r="C15859" s="1" t="n">
        <v>45736</v>
      </c>
      <c r="D15859" t="inlineStr">
        <is>
          <t>VÄRMLANDS LÄN</t>
        </is>
      </c>
      <c r="E15859" t="inlineStr">
        <is>
          <t>ARVIKA</t>
        </is>
      </c>
      <c r="F15859" t="inlineStr">
        <is>
          <t>Bergvik skog väst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33769-2024</t>
        </is>
      </c>
      <c r="B15860" s="1" t="n">
        <v>45520</v>
      </c>
      <c r="C15860" s="1" t="n">
        <v>45736</v>
      </c>
      <c r="D15860" t="inlineStr">
        <is>
          <t>VÄRMLANDS LÄN</t>
        </is>
      </c>
      <c r="E15860" t="inlineStr">
        <is>
          <t>TORSBY</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33806-2024</t>
        </is>
      </c>
      <c r="B15861" s="1" t="n">
        <v>45520</v>
      </c>
      <c r="C15861" s="1" t="n">
        <v>45736</v>
      </c>
      <c r="D15861" t="inlineStr">
        <is>
          <t>VÄRMLANDS LÄN</t>
        </is>
      </c>
      <c r="E15861" t="inlineStr">
        <is>
          <t>STORFORS</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33814-2024</t>
        </is>
      </c>
      <c r="B15862" s="1" t="n">
        <v>45520</v>
      </c>
      <c r="C15862" s="1" t="n">
        <v>45736</v>
      </c>
      <c r="D15862" t="inlineStr">
        <is>
          <t>VÄRMLANDS LÄN</t>
        </is>
      </c>
      <c r="E15862" t="inlineStr">
        <is>
          <t>FILIPSTAD</t>
        </is>
      </c>
      <c r="F15862" t="inlineStr">
        <is>
          <t>Bergvik skog väst AB</t>
        </is>
      </c>
      <c r="G15862" t="n">
        <v>8.9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33818-2024</t>
        </is>
      </c>
      <c r="B15863" s="1" t="n">
        <v>45520</v>
      </c>
      <c r="C15863" s="1" t="n">
        <v>45736</v>
      </c>
      <c r="D15863" t="inlineStr">
        <is>
          <t>VÄRMLANDS LÄN</t>
        </is>
      </c>
      <c r="E15863" t="inlineStr">
        <is>
          <t>FILIPSTAD</t>
        </is>
      </c>
      <c r="F15863" t="inlineStr">
        <is>
          <t>Bergvik skog väst AB</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33842-2024</t>
        </is>
      </c>
      <c r="B15864" s="1" t="n">
        <v>45520</v>
      </c>
      <c r="C15864" s="1" t="n">
        <v>45736</v>
      </c>
      <c r="D15864" t="inlineStr">
        <is>
          <t>VÄRMLANDS LÄN</t>
        </is>
      </c>
      <c r="E15864" t="inlineStr">
        <is>
          <t>EDA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33862-2024</t>
        </is>
      </c>
      <c r="B15865" s="1" t="n">
        <v>45520</v>
      </c>
      <c r="C15865" s="1" t="n">
        <v>45736</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33660-2024</t>
        </is>
      </c>
      <c r="B15866" s="1" t="n">
        <v>45520</v>
      </c>
      <c r="C15866" s="1" t="n">
        <v>45736</v>
      </c>
      <c r="D15866" t="inlineStr">
        <is>
          <t>VÄRMLANDS LÄN</t>
        </is>
      </c>
      <c r="E15866" t="inlineStr">
        <is>
          <t>STORFORS</t>
        </is>
      </c>
      <c r="F15866" t="inlineStr">
        <is>
          <t>Bergvik skog väst AB</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33672-2024</t>
        </is>
      </c>
      <c r="B15867" s="1" t="n">
        <v>45520</v>
      </c>
      <c r="C15867" s="1" t="n">
        <v>45736</v>
      </c>
      <c r="D15867" t="inlineStr">
        <is>
          <t>VÄRMLANDS LÄN</t>
        </is>
      </c>
      <c r="E15867" t="inlineStr">
        <is>
          <t>SÄFFLE</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33791-2024</t>
        </is>
      </c>
      <c r="B15868" s="1" t="n">
        <v>45520</v>
      </c>
      <c r="C15868" s="1" t="n">
        <v>45736</v>
      </c>
      <c r="D15868" t="inlineStr">
        <is>
          <t>VÄRMLANDS LÄN</t>
        </is>
      </c>
      <c r="E15868" t="inlineStr">
        <is>
          <t>TORSBY</t>
        </is>
      </c>
      <c r="F15868" t="inlineStr">
        <is>
          <t>Bergvik skog väst AB</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33804-2024</t>
        </is>
      </c>
      <c r="B15869" s="1" t="n">
        <v>45520</v>
      </c>
      <c r="C15869" s="1" t="n">
        <v>45736</v>
      </c>
      <c r="D15869" t="inlineStr">
        <is>
          <t>VÄRMLANDS LÄN</t>
        </is>
      </c>
      <c r="E15869" t="inlineStr">
        <is>
          <t>KARLSTAD</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33844-2024</t>
        </is>
      </c>
      <c r="B15870" s="1" t="n">
        <v>45520</v>
      </c>
      <c r="C15870" s="1" t="n">
        <v>45736</v>
      </c>
      <c r="D15870" t="inlineStr">
        <is>
          <t>VÄRMLANDS LÄN</t>
        </is>
      </c>
      <c r="E15870" t="inlineStr">
        <is>
          <t>FILIPSTAD</t>
        </is>
      </c>
      <c r="F15870" t="inlineStr">
        <is>
          <t>Bergvik skog väst AB</t>
        </is>
      </c>
      <c r="G15870" t="n">
        <v>8.199999999999999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33720-2024</t>
        </is>
      </c>
      <c r="B15871" s="1" t="n">
        <v>45520</v>
      </c>
      <c r="C15871" s="1" t="n">
        <v>45736</v>
      </c>
      <c r="D15871" t="inlineStr">
        <is>
          <t>VÄRMLANDS LÄN</t>
        </is>
      </c>
      <c r="E15871" t="inlineStr">
        <is>
          <t>ARVIKA</t>
        </is>
      </c>
      <c r="F15871" t="inlineStr">
        <is>
          <t>Bergvik skog väst AB</t>
        </is>
      </c>
      <c r="G15871" t="n">
        <v>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33780-2024</t>
        </is>
      </c>
      <c r="B15872" s="1" t="n">
        <v>45520</v>
      </c>
      <c r="C15872" s="1" t="n">
        <v>45736</v>
      </c>
      <c r="D15872" t="inlineStr">
        <is>
          <t>VÄRMLANDS LÄN</t>
        </is>
      </c>
      <c r="E15872" t="inlineStr">
        <is>
          <t>ARVIKA</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33809-2024</t>
        </is>
      </c>
      <c r="B15873" s="1" t="n">
        <v>45520</v>
      </c>
      <c r="C15873" s="1" t="n">
        <v>45736</v>
      </c>
      <c r="D15873" t="inlineStr">
        <is>
          <t>VÄRMLANDS LÄN</t>
        </is>
      </c>
      <c r="E15873" t="inlineStr">
        <is>
          <t>KARLSTAD</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33866-2024</t>
        </is>
      </c>
      <c r="B15874" s="1" t="n">
        <v>45520</v>
      </c>
      <c r="C15874" s="1" t="n">
        <v>45736</v>
      </c>
      <c r="D15874" t="inlineStr">
        <is>
          <t>VÄRMLANDS LÄN</t>
        </is>
      </c>
      <c r="E15874" t="inlineStr">
        <is>
          <t>ARVIKA</t>
        </is>
      </c>
      <c r="F15874" t="inlineStr">
        <is>
          <t>Bergvik skog väst AB</t>
        </is>
      </c>
      <c r="G15874" t="n">
        <v>3.8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33718-2024</t>
        </is>
      </c>
      <c r="B15875" s="1" t="n">
        <v>45520</v>
      </c>
      <c r="C15875" s="1" t="n">
        <v>45736</v>
      </c>
      <c r="D15875" t="inlineStr">
        <is>
          <t>VÄRMLANDS LÄN</t>
        </is>
      </c>
      <c r="E15875" t="inlineStr">
        <is>
          <t>STORFORS</t>
        </is>
      </c>
      <c r="F15875" t="inlineStr">
        <is>
          <t>Bergvik skog väst AB</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33807-2024</t>
        </is>
      </c>
      <c r="B15876" s="1" t="n">
        <v>45520</v>
      </c>
      <c r="C15876" s="1" t="n">
        <v>45736</v>
      </c>
      <c r="D15876" t="inlineStr">
        <is>
          <t>VÄRMLANDS LÄN</t>
        </is>
      </c>
      <c r="E15876" t="inlineStr">
        <is>
          <t>KARLSTAD</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33811-2024</t>
        </is>
      </c>
      <c r="B15877" s="1" t="n">
        <v>45520</v>
      </c>
      <c r="C15877" s="1" t="n">
        <v>45736</v>
      </c>
      <c r="D15877" t="inlineStr">
        <is>
          <t>VÄRMLANDS LÄN</t>
        </is>
      </c>
      <c r="E15877" t="inlineStr">
        <is>
          <t>FORSHAGA</t>
        </is>
      </c>
      <c r="G15877" t="n">
        <v>4.5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33847-2024</t>
        </is>
      </c>
      <c r="B15878" s="1" t="n">
        <v>45520</v>
      </c>
      <c r="C15878" s="1" t="n">
        <v>45736</v>
      </c>
      <c r="D15878" t="inlineStr">
        <is>
          <t>VÄRMLANDS LÄN</t>
        </is>
      </c>
      <c r="E15878" t="inlineStr">
        <is>
          <t>EDA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33869-2024</t>
        </is>
      </c>
      <c r="B15879" s="1" t="n">
        <v>45520</v>
      </c>
      <c r="C15879" s="1" t="n">
        <v>45736</v>
      </c>
      <c r="D15879" t="inlineStr">
        <is>
          <t>VÄRMLANDS LÄN</t>
        </is>
      </c>
      <c r="E15879" t="inlineStr">
        <is>
          <t>ARVIKA</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33877-2024</t>
        </is>
      </c>
      <c r="B15880" s="1" t="n">
        <v>45522</v>
      </c>
      <c r="C15880" s="1" t="n">
        <v>45736</v>
      </c>
      <c r="D15880" t="inlineStr">
        <is>
          <t>VÄRMLANDS LÄN</t>
        </is>
      </c>
      <c r="E15880" t="inlineStr">
        <is>
          <t>ARVIKA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33881-2024</t>
        </is>
      </c>
      <c r="B15881" s="1" t="n">
        <v>45522</v>
      </c>
      <c r="C15881" s="1" t="n">
        <v>45736</v>
      </c>
      <c r="D15881" t="inlineStr">
        <is>
          <t>VÄRMLANDS LÄN</t>
        </is>
      </c>
      <c r="E15881" t="inlineStr">
        <is>
          <t>SÄFFLE</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33916-2024</t>
        </is>
      </c>
      <c r="B15882" s="1" t="n">
        <v>45523</v>
      </c>
      <c r="C15882" s="1" t="n">
        <v>45736</v>
      </c>
      <c r="D15882" t="inlineStr">
        <is>
          <t>VÄRMLANDS LÄN</t>
        </is>
      </c>
      <c r="E15882" t="inlineStr">
        <is>
          <t>SÄFFLE</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33930-2024</t>
        </is>
      </c>
      <c r="B15883" s="1" t="n">
        <v>45523</v>
      </c>
      <c r="C15883" s="1" t="n">
        <v>45736</v>
      </c>
      <c r="D15883" t="inlineStr">
        <is>
          <t>VÄRMLANDS LÄN</t>
        </is>
      </c>
      <c r="E15883" t="inlineStr">
        <is>
          <t>SÄFFLE</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33940-2024</t>
        </is>
      </c>
      <c r="B15884" s="1" t="n">
        <v>45523</v>
      </c>
      <c r="C15884" s="1" t="n">
        <v>45736</v>
      </c>
      <c r="D15884" t="inlineStr">
        <is>
          <t>VÄRMLANDS LÄN</t>
        </is>
      </c>
      <c r="E15884" t="inlineStr">
        <is>
          <t>SUNNE</t>
        </is>
      </c>
      <c r="G15884" t="n">
        <v>11.1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33964-2024</t>
        </is>
      </c>
      <c r="B15885" s="1" t="n">
        <v>45523</v>
      </c>
      <c r="C15885" s="1" t="n">
        <v>45736</v>
      </c>
      <c r="D15885" t="inlineStr">
        <is>
          <t>VÄRMLANDS LÄN</t>
        </is>
      </c>
      <c r="E15885" t="inlineStr">
        <is>
          <t>TORSBY</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33999-2024</t>
        </is>
      </c>
      <c r="B15886" s="1" t="n">
        <v>45523</v>
      </c>
      <c r="C15886" s="1" t="n">
        <v>45736</v>
      </c>
      <c r="D15886" t="inlineStr">
        <is>
          <t>VÄRMLANDS LÄN</t>
        </is>
      </c>
      <c r="E15886" t="inlineStr">
        <is>
          <t>SÄFFLE</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34034-2024</t>
        </is>
      </c>
      <c r="B15887" s="1" t="n">
        <v>45523</v>
      </c>
      <c r="C15887" s="1" t="n">
        <v>45736</v>
      </c>
      <c r="D15887" t="inlineStr">
        <is>
          <t>VÄRMLANDS LÄN</t>
        </is>
      </c>
      <c r="E15887" t="inlineStr">
        <is>
          <t>TORSBY</t>
        </is>
      </c>
      <c r="F15887" t="inlineStr">
        <is>
          <t>Bergvik skog väst AB</t>
        </is>
      </c>
      <c r="G15887" t="n">
        <v>5.5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33885-2024</t>
        </is>
      </c>
      <c r="B15888" s="1" t="n">
        <v>45523</v>
      </c>
      <c r="C15888" s="1" t="n">
        <v>45736</v>
      </c>
      <c r="D15888" t="inlineStr">
        <is>
          <t>VÄRMLANDS LÄN</t>
        </is>
      </c>
      <c r="E15888" t="inlineStr">
        <is>
          <t>ARVIKA</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33942-2024</t>
        </is>
      </c>
      <c r="B15889" s="1" t="n">
        <v>45523</v>
      </c>
      <c r="C15889" s="1" t="n">
        <v>45736</v>
      </c>
      <c r="D15889" t="inlineStr">
        <is>
          <t>VÄRMLANDS LÄN</t>
        </is>
      </c>
      <c r="E15889" t="inlineStr">
        <is>
          <t>KARLSTAD</t>
        </is>
      </c>
      <c r="G15889" t="n">
        <v>3.5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33992-2024</t>
        </is>
      </c>
      <c r="B15890" s="1" t="n">
        <v>45523</v>
      </c>
      <c r="C15890" s="1" t="n">
        <v>45736</v>
      </c>
      <c r="D15890" t="inlineStr">
        <is>
          <t>VÄRMLANDS LÄN</t>
        </is>
      </c>
      <c r="E15890" t="inlineStr">
        <is>
          <t>SUNNE</t>
        </is>
      </c>
      <c r="G15890" t="n">
        <v>0.3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34000-2024</t>
        </is>
      </c>
      <c r="B15891" s="1" t="n">
        <v>45523</v>
      </c>
      <c r="C15891" s="1" t="n">
        <v>45736</v>
      </c>
      <c r="D15891" t="inlineStr">
        <is>
          <t>VÄRMLANDS LÄN</t>
        </is>
      </c>
      <c r="E15891" t="inlineStr">
        <is>
          <t>ARVIKA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34004-2024</t>
        </is>
      </c>
      <c r="B15892" s="1" t="n">
        <v>45523</v>
      </c>
      <c r="C15892" s="1" t="n">
        <v>45736</v>
      </c>
      <c r="D15892" t="inlineStr">
        <is>
          <t>VÄRMLANDS LÄN</t>
        </is>
      </c>
      <c r="E15892" t="inlineStr">
        <is>
          <t>SUNNE</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34017-2024</t>
        </is>
      </c>
      <c r="B15893" s="1" t="n">
        <v>45523</v>
      </c>
      <c r="C15893" s="1" t="n">
        <v>45736</v>
      </c>
      <c r="D15893" t="inlineStr">
        <is>
          <t>VÄRMLANDS LÄN</t>
        </is>
      </c>
      <c r="E15893" t="inlineStr">
        <is>
          <t>SUNNE</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34031-2024</t>
        </is>
      </c>
      <c r="B15894" s="1" t="n">
        <v>45523</v>
      </c>
      <c r="C15894" s="1" t="n">
        <v>45736</v>
      </c>
      <c r="D15894" t="inlineStr">
        <is>
          <t>VÄRMLANDS LÄN</t>
        </is>
      </c>
      <c r="E15894" t="inlineStr">
        <is>
          <t>TORSBY</t>
        </is>
      </c>
      <c r="F15894" t="inlineStr">
        <is>
          <t>Bergvik skog väst AB</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33963-2024</t>
        </is>
      </c>
      <c r="B15895" s="1" t="n">
        <v>45523</v>
      </c>
      <c r="C15895" s="1" t="n">
        <v>45736</v>
      </c>
      <c r="D15895" t="inlineStr">
        <is>
          <t>VÄRMLANDS LÄN</t>
        </is>
      </c>
      <c r="E15895" t="inlineStr">
        <is>
          <t>SUNNE</t>
        </is>
      </c>
      <c r="G15895" t="n">
        <v>6.4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33993-2024</t>
        </is>
      </c>
      <c r="B15896" s="1" t="n">
        <v>45523</v>
      </c>
      <c r="C15896" s="1" t="n">
        <v>45736</v>
      </c>
      <c r="D15896" t="inlineStr">
        <is>
          <t>VÄRMLANDS LÄN</t>
        </is>
      </c>
      <c r="E15896" t="inlineStr">
        <is>
          <t>SÄFFLE</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34014-2024</t>
        </is>
      </c>
      <c r="B15897" s="1" t="n">
        <v>45523</v>
      </c>
      <c r="C15897" s="1" t="n">
        <v>45736</v>
      </c>
      <c r="D15897" t="inlineStr">
        <is>
          <t>VÄRMLANDS LÄN</t>
        </is>
      </c>
      <c r="E15897" t="inlineStr">
        <is>
          <t>SUNNE</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34081-2024</t>
        </is>
      </c>
      <c r="B15898" s="1" t="n">
        <v>45523</v>
      </c>
      <c r="C15898" s="1" t="n">
        <v>45736</v>
      </c>
      <c r="D15898" t="inlineStr">
        <is>
          <t>VÄRMLANDS LÄN</t>
        </is>
      </c>
      <c r="E15898" t="inlineStr">
        <is>
          <t>TORSBY</t>
        </is>
      </c>
      <c r="F15898" t="inlineStr">
        <is>
          <t>Bergvik skog väst AB</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34093-2024</t>
        </is>
      </c>
      <c r="B15899" s="1" t="n">
        <v>45523</v>
      </c>
      <c r="C15899" s="1" t="n">
        <v>45736</v>
      </c>
      <c r="D15899" t="inlineStr">
        <is>
          <t>VÄRMLANDS LÄN</t>
        </is>
      </c>
      <c r="E15899" t="inlineStr">
        <is>
          <t>TORSBY</t>
        </is>
      </c>
      <c r="F15899" t="inlineStr">
        <is>
          <t>Bergvik skog väst AB</t>
        </is>
      </c>
      <c r="G15899" t="n">
        <v>5.9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34106-2024</t>
        </is>
      </c>
      <c r="B15900" s="1" t="n">
        <v>45523</v>
      </c>
      <c r="C15900" s="1" t="n">
        <v>45736</v>
      </c>
      <c r="D15900" t="inlineStr">
        <is>
          <t>VÄRMLANDS LÄN</t>
        </is>
      </c>
      <c r="E15900" t="inlineStr">
        <is>
          <t>ÅRJÄNG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34047-2024</t>
        </is>
      </c>
      <c r="B15901" s="1" t="n">
        <v>45523</v>
      </c>
      <c r="C15901" s="1" t="n">
        <v>45736</v>
      </c>
      <c r="D15901" t="inlineStr">
        <is>
          <t>VÄRMLANDS LÄN</t>
        </is>
      </c>
      <c r="E15901" t="inlineStr">
        <is>
          <t>SUNNE</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34187-2024</t>
        </is>
      </c>
      <c r="B15902" s="1" t="n">
        <v>45524</v>
      </c>
      <c r="C15902" s="1" t="n">
        <v>45736</v>
      </c>
      <c r="D15902" t="inlineStr">
        <is>
          <t>VÄRMLANDS LÄN</t>
        </is>
      </c>
      <c r="E15902" t="inlineStr">
        <is>
          <t>ÅRJÄNG</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34207-2024</t>
        </is>
      </c>
      <c r="B15903" s="1" t="n">
        <v>45524</v>
      </c>
      <c r="C15903" s="1" t="n">
        <v>45736</v>
      </c>
      <c r="D15903" t="inlineStr">
        <is>
          <t>VÄRMLANDS LÄN</t>
        </is>
      </c>
      <c r="E15903" t="inlineStr">
        <is>
          <t>TORSBY</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34121-2024</t>
        </is>
      </c>
      <c r="B15904" s="1" t="n">
        <v>45524</v>
      </c>
      <c r="C15904" s="1" t="n">
        <v>45736</v>
      </c>
      <c r="D15904" t="inlineStr">
        <is>
          <t>VÄRMLANDS LÄN</t>
        </is>
      </c>
      <c r="E15904" t="inlineStr">
        <is>
          <t>SÄFFLE</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34145-2024</t>
        </is>
      </c>
      <c r="B15905" s="1" t="n">
        <v>45524</v>
      </c>
      <c r="C15905" s="1" t="n">
        <v>45736</v>
      </c>
      <c r="D15905" t="inlineStr">
        <is>
          <t>VÄRMLANDS LÄN</t>
        </is>
      </c>
      <c r="E15905" t="inlineStr">
        <is>
          <t>FILIPSTAD</t>
        </is>
      </c>
      <c r="F15905" t="inlineStr">
        <is>
          <t>Bergvik skog väst AB</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34177-2024</t>
        </is>
      </c>
      <c r="B15906" s="1" t="n">
        <v>45524</v>
      </c>
      <c r="C15906" s="1" t="n">
        <v>45736</v>
      </c>
      <c r="D15906" t="inlineStr">
        <is>
          <t>VÄRMLANDS LÄN</t>
        </is>
      </c>
      <c r="E15906" t="inlineStr">
        <is>
          <t>ÅRJÄNG</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34181-2024</t>
        </is>
      </c>
      <c r="B15907" s="1" t="n">
        <v>45524</v>
      </c>
      <c r="C15907" s="1" t="n">
        <v>45736</v>
      </c>
      <c r="D15907" t="inlineStr">
        <is>
          <t>VÄRMLANDS LÄN</t>
        </is>
      </c>
      <c r="E15907" t="inlineStr">
        <is>
          <t>ÅRJÄNG</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34210-2024</t>
        </is>
      </c>
      <c r="B15908" s="1" t="n">
        <v>45524</v>
      </c>
      <c r="C15908" s="1" t="n">
        <v>45736</v>
      </c>
      <c r="D15908" t="inlineStr">
        <is>
          <t>VÄRMLANDS LÄN</t>
        </is>
      </c>
      <c r="E15908" t="inlineStr">
        <is>
          <t>HAGFORS</t>
        </is>
      </c>
      <c r="F15908" t="inlineStr">
        <is>
          <t>Bergvik skog väst AB</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34219-2024</t>
        </is>
      </c>
      <c r="B15909" s="1" t="n">
        <v>45524</v>
      </c>
      <c r="C15909" s="1" t="n">
        <v>45736</v>
      </c>
      <c r="D15909" t="inlineStr">
        <is>
          <t>VÄRMLANDS LÄN</t>
        </is>
      </c>
      <c r="E15909" t="inlineStr">
        <is>
          <t>TORSBY</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34239-2024</t>
        </is>
      </c>
      <c r="B15910" s="1" t="n">
        <v>45524</v>
      </c>
      <c r="C15910" s="1" t="n">
        <v>45736</v>
      </c>
      <c r="D15910" t="inlineStr">
        <is>
          <t>VÄRMLANDS LÄN</t>
        </is>
      </c>
      <c r="E15910" t="inlineStr">
        <is>
          <t>HAGFORS</t>
        </is>
      </c>
      <c r="F15910" t="inlineStr">
        <is>
          <t>Bergvik skog väst AB</t>
        </is>
      </c>
      <c r="G15910" t="n">
        <v>5.7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34116-2024</t>
        </is>
      </c>
      <c r="B15911" s="1" t="n">
        <v>45524</v>
      </c>
      <c r="C15911" s="1" t="n">
        <v>45736</v>
      </c>
      <c r="D15911" t="inlineStr">
        <is>
          <t>VÄRMLANDS LÄN</t>
        </is>
      </c>
      <c r="E15911" t="inlineStr">
        <is>
          <t>FILIPSTAD</t>
        </is>
      </c>
      <c r="F15911" t="inlineStr">
        <is>
          <t>Bergvik skog väst AB</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34156-2024</t>
        </is>
      </c>
      <c r="B15912" s="1" t="n">
        <v>45524</v>
      </c>
      <c r="C15912" s="1" t="n">
        <v>45736</v>
      </c>
      <c r="D15912" t="inlineStr">
        <is>
          <t>VÄRMLANDS LÄN</t>
        </is>
      </c>
      <c r="E15912" t="inlineStr">
        <is>
          <t>KIL</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34164-2024</t>
        </is>
      </c>
      <c r="B15913" s="1" t="n">
        <v>45524</v>
      </c>
      <c r="C15913" s="1" t="n">
        <v>45736</v>
      </c>
      <c r="D15913" t="inlineStr">
        <is>
          <t>VÄRMLANDS LÄN</t>
        </is>
      </c>
      <c r="E15913" t="inlineStr">
        <is>
          <t>TORSBY</t>
        </is>
      </c>
      <c r="F15913" t="inlineStr">
        <is>
          <t>Bergvik skog väst AB</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34172-2024</t>
        </is>
      </c>
      <c r="B15914" s="1" t="n">
        <v>45524</v>
      </c>
      <c r="C15914" s="1" t="n">
        <v>45736</v>
      </c>
      <c r="D15914" t="inlineStr">
        <is>
          <t>VÄRMLANDS LÄN</t>
        </is>
      </c>
      <c r="E15914" t="inlineStr">
        <is>
          <t>ÅRJÄNG</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34176-2024</t>
        </is>
      </c>
      <c r="B15915" s="1" t="n">
        <v>45524</v>
      </c>
      <c r="C15915" s="1" t="n">
        <v>45736</v>
      </c>
      <c r="D15915" t="inlineStr">
        <is>
          <t>VÄRMLANDS LÄN</t>
        </is>
      </c>
      <c r="E15915" t="inlineStr">
        <is>
          <t>ÅRJÄNG</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34184-2024</t>
        </is>
      </c>
      <c r="B15916" s="1" t="n">
        <v>45524</v>
      </c>
      <c r="C15916" s="1" t="n">
        <v>45736</v>
      </c>
      <c r="D15916" t="inlineStr">
        <is>
          <t>VÄRMLANDS LÄN</t>
        </is>
      </c>
      <c r="E15916" t="inlineStr">
        <is>
          <t>ÅRJÄNG</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34204-2024</t>
        </is>
      </c>
      <c r="B15917" s="1" t="n">
        <v>45524</v>
      </c>
      <c r="C15917" s="1" t="n">
        <v>45736</v>
      </c>
      <c r="D15917" t="inlineStr">
        <is>
          <t>VÄRMLANDS LÄN</t>
        </is>
      </c>
      <c r="E15917" t="inlineStr">
        <is>
          <t>SÄFFLE</t>
        </is>
      </c>
      <c r="G15917" t="n">
        <v>10.1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34226-2024</t>
        </is>
      </c>
      <c r="B15918" s="1" t="n">
        <v>45524</v>
      </c>
      <c r="C15918" s="1" t="n">
        <v>45736</v>
      </c>
      <c r="D15918" t="inlineStr">
        <is>
          <t>VÄRMLANDS LÄN</t>
        </is>
      </c>
      <c r="E15918" t="inlineStr">
        <is>
          <t>TORSBY</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34146-2024</t>
        </is>
      </c>
      <c r="B15919" s="1" t="n">
        <v>45524</v>
      </c>
      <c r="C15919" s="1" t="n">
        <v>45736</v>
      </c>
      <c r="D15919" t="inlineStr">
        <is>
          <t>VÄRMLANDS LÄN</t>
        </is>
      </c>
      <c r="E15919" t="inlineStr">
        <is>
          <t>SUNNE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34174-2024</t>
        </is>
      </c>
      <c r="B15920" s="1" t="n">
        <v>45524</v>
      </c>
      <c r="C15920" s="1" t="n">
        <v>45736</v>
      </c>
      <c r="D15920" t="inlineStr">
        <is>
          <t>VÄRMLANDS LÄN</t>
        </is>
      </c>
      <c r="E15920" t="inlineStr">
        <is>
          <t>ÅRJÄNG</t>
        </is>
      </c>
      <c r="G15920" t="n">
        <v>5.2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34206-2024</t>
        </is>
      </c>
      <c r="B15921" s="1" t="n">
        <v>45524</v>
      </c>
      <c r="C15921" s="1" t="n">
        <v>45736</v>
      </c>
      <c r="D15921" t="inlineStr">
        <is>
          <t>VÄRMLANDS LÄN</t>
        </is>
      </c>
      <c r="E15921" t="inlineStr">
        <is>
          <t>TORSBY</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34224-2024</t>
        </is>
      </c>
      <c r="B15922" s="1" t="n">
        <v>45524</v>
      </c>
      <c r="C15922" s="1" t="n">
        <v>45736</v>
      </c>
      <c r="D15922" t="inlineStr">
        <is>
          <t>VÄRMLANDS LÄN</t>
        </is>
      </c>
      <c r="E15922" t="inlineStr">
        <is>
          <t>FILIPSTAD</t>
        </is>
      </c>
      <c r="F15922" t="inlineStr">
        <is>
          <t>Bergvik skog väst AB</t>
        </is>
      </c>
      <c r="G15922" t="n">
        <v>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34236-2024</t>
        </is>
      </c>
      <c r="B15923" s="1" t="n">
        <v>45524</v>
      </c>
      <c r="C15923" s="1" t="n">
        <v>45736</v>
      </c>
      <c r="D15923" t="inlineStr">
        <is>
          <t>VÄRMLANDS LÄN</t>
        </is>
      </c>
      <c r="E15923" t="inlineStr">
        <is>
          <t>TORSBY</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34262-2024</t>
        </is>
      </c>
      <c r="B15924" s="1" t="n">
        <v>45524</v>
      </c>
      <c r="C15924" s="1" t="n">
        <v>45736</v>
      </c>
      <c r="D15924" t="inlineStr">
        <is>
          <t>VÄRMLANDS LÄN</t>
        </is>
      </c>
      <c r="E15924" t="inlineStr">
        <is>
          <t>FILIPSTAD</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34256-2024</t>
        </is>
      </c>
      <c r="B15925" s="1" t="n">
        <v>45524</v>
      </c>
      <c r="C15925" s="1" t="n">
        <v>45736</v>
      </c>
      <c r="D15925" t="inlineStr">
        <is>
          <t>VÄRMLANDS LÄN</t>
        </is>
      </c>
      <c r="E15925" t="inlineStr">
        <is>
          <t>TORSBY</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34260-2024</t>
        </is>
      </c>
      <c r="B15926" s="1" t="n">
        <v>45524</v>
      </c>
      <c r="C15926" s="1" t="n">
        <v>45736</v>
      </c>
      <c r="D15926" t="inlineStr">
        <is>
          <t>VÄRMLANDS LÄN</t>
        </is>
      </c>
      <c r="E15926" t="inlineStr">
        <is>
          <t>ARVIKA</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34281-2024</t>
        </is>
      </c>
      <c r="B15927" s="1" t="n">
        <v>45524</v>
      </c>
      <c r="C15927" s="1" t="n">
        <v>45736</v>
      </c>
      <c r="D15927" t="inlineStr">
        <is>
          <t>VÄRMLANDS LÄN</t>
        </is>
      </c>
      <c r="E15927" t="inlineStr">
        <is>
          <t>TORSBY</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34321-2024</t>
        </is>
      </c>
      <c r="B15928" s="1" t="n">
        <v>45524</v>
      </c>
      <c r="C15928" s="1" t="n">
        <v>45736</v>
      </c>
      <c r="D15928" t="inlineStr">
        <is>
          <t>VÄRMLANDS LÄN</t>
        </is>
      </c>
      <c r="E15928" t="inlineStr">
        <is>
          <t>KARLSTAD</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34267-2024</t>
        </is>
      </c>
      <c r="B15929" s="1" t="n">
        <v>45524</v>
      </c>
      <c r="C15929" s="1" t="n">
        <v>45736</v>
      </c>
      <c r="D15929" t="inlineStr">
        <is>
          <t>VÄRMLANDS LÄN</t>
        </is>
      </c>
      <c r="E15929" t="inlineStr">
        <is>
          <t>HAGFORS</t>
        </is>
      </c>
      <c r="F15929" t="inlineStr">
        <is>
          <t>Bergvik skog väst AB</t>
        </is>
      </c>
      <c r="G15929" t="n">
        <v>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34304-2024</t>
        </is>
      </c>
      <c r="B15930" s="1" t="n">
        <v>45524</v>
      </c>
      <c r="C15930" s="1" t="n">
        <v>45736</v>
      </c>
      <c r="D15930" t="inlineStr">
        <is>
          <t>VÄRMLANDS LÄN</t>
        </is>
      </c>
      <c r="E15930" t="inlineStr">
        <is>
          <t>TORSBY</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34308-2024</t>
        </is>
      </c>
      <c r="B15931" s="1" t="n">
        <v>45524</v>
      </c>
      <c r="C15931" s="1" t="n">
        <v>45736</v>
      </c>
      <c r="D15931" t="inlineStr">
        <is>
          <t>VÄRMLANDS LÄN</t>
        </is>
      </c>
      <c r="E15931" t="inlineStr">
        <is>
          <t>HAGFORS</t>
        </is>
      </c>
      <c r="F15931" t="inlineStr">
        <is>
          <t>Bergvik skog väst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34333-2024</t>
        </is>
      </c>
      <c r="B15932" s="1" t="n">
        <v>45524</v>
      </c>
      <c r="C15932" s="1" t="n">
        <v>45736</v>
      </c>
      <c r="D15932" t="inlineStr">
        <is>
          <t>VÄRMLANDS LÄN</t>
        </is>
      </c>
      <c r="E15932" t="inlineStr">
        <is>
          <t>KRISTINEHAMN</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34335-2024</t>
        </is>
      </c>
      <c r="B15933" s="1" t="n">
        <v>45525</v>
      </c>
      <c r="C15933" s="1" t="n">
        <v>45736</v>
      </c>
      <c r="D15933" t="inlineStr">
        <is>
          <t>VÄRMLANDS LÄN</t>
        </is>
      </c>
      <c r="E15933" t="inlineStr">
        <is>
          <t>KARLSTAD</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34334-2024</t>
        </is>
      </c>
      <c r="B15934" s="1" t="n">
        <v>45525</v>
      </c>
      <c r="C15934" s="1" t="n">
        <v>45736</v>
      </c>
      <c r="D15934" t="inlineStr">
        <is>
          <t>VÄRMLANDS LÄN</t>
        </is>
      </c>
      <c r="E15934" t="inlineStr">
        <is>
          <t>KARLSTAD</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34378-2024</t>
        </is>
      </c>
      <c r="B15935" s="1" t="n">
        <v>45525</v>
      </c>
      <c r="C15935" s="1" t="n">
        <v>45736</v>
      </c>
      <c r="D15935" t="inlineStr">
        <is>
          <t>VÄRMLANDS LÄN</t>
        </is>
      </c>
      <c r="E15935" t="inlineStr">
        <is>
          <t>EDA</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34427-2024</t>
        </is>
      </c>
      <c r="B15936" s="1" t="n">
        <v>45525</v>
      </c>
      <c r="C15936" s="1" t="n">
        <v>45736</v>
      </c>
      <c r="D15936" t="inlineStr">
        <is>
          <t>VÄRMLANDS LÄN</t>
        </is>
      </c>
      <c r="E15936" t="inlineStr">
        <is>
          <t>FORSHAGA</t>
        </is>
      </c>
      <c r="F15936" t="inlineStr">
        <is>
          <t>Bergvik skog väst AB</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34443-2024</t>
        </is>
      </c>
      <c r="B15937" s="1" t="n">
        <v>45525</v>
      </c>
      <c r="C15937" s="1" t="n">
        <v>45736</v>
      </c>
      <c r="D15937" t="inlineStr">
        <is>
          <t>VÄRMLANDS LÄN</t>
        </is>
      </c>
      <c r="E15937" t="inlineStr">
        <is>
          <t>ÅRJÄNG</t>
        </is>
      </c>
      <c r="G15937" t="n">
        <v>5.6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34479-2024</t>
        </is>
      </c>
      <c r="B15938" s="1" t="n">
        <v>45525</v>
      </c>
      <c r="C15938" s="1" t="n">
        <v>45736</v>
      </c>
      <c r="D15938" t="inlineStr">
        <is>
          <t>VÄRMLANDS LÄN</t>
        </is>
      </c>
      <c r="E15938" t="inlineStr">
        <is>
          <t>FILIPSTAD</t>
        </is>
      </c>
      <c r="F15938" t="inlineStr">
        <is>
          <t>Bergvik skog väst AB</t>
        </is>
      </c>
      <c r="G15938" t="n">
        <v>14.1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34500-2024</t>
        </is>
      </c>
      <c r="B15939" s="1" t="n">
        <v>45525</v>
      </c>
      <c r="C15939" s="1" t="n">
        <v>45736</v>
      </c>
      <c r="D15939" t="inlineStr">
        <is>
          <t>VÄRMLANDS LÄN</t>
        </is>
      </c>
      <c r="E15939" t="inlineStr">
        <is>
          <t>TORSBY</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34534-2024</t>
        </is>
      </c>
      <c r="B15940" s="1" t="n">
        <v>45525</v>
      </c>
      <c r="C15940" s="1" t="n">
        <v>45736</v>
      </c>
      <c r="D15940" t="inlineStr">
        <is>
          <t>VÄRMLANDS LÄN</t>
        </is>
      </c>
      <c r="E15940" t="inlineStr">
        <is>
          <t>TORSBY</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34528-2024</t>
        </is>
      </c>
      <c r="B15941" s="1" t="n">
        <v>45525</v>
      </c>
      <c r="C15941" s="1" t="n">
        <v>45736</v>
      </c>
      <c r="D15941" t="inlineStr">
        <is>
          <t>VÄRMLANDS LÄN</t>
        </is>
      </c>
      <c r="E15941" t="inlineStr">
        <is>
          <t>TORSBY</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34540-2024</t>
        </is>
      </c>
      <c r="B15942" s="1" t="n">
        <v>45525</v>
      </c>
      <c r="C15942" s="1" t="n">
        <v>45736</v>
      </c>
      <c r="D15942" t="inlineStr">
        <is>
          <t>VÄRMLANDS LÄN</t>
        </is>
      </c>
      <c r="E15942" t="inlineStr">
        <is>
          <t>HAGFORS</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34407-2024</t>
        </is>
      </c>
      <c r="B15943" s="1" t="n">
        <v>45525</v>
      </c>
      <c r="C15943" s="1" t="n">
        <v>45736</v>
      </c>
      <c r="D15943" t="inlineStr">
        <is>
          <t>VÄRMLANDS LÄN</t>
        </is>
      </c>
      <c r="E15943" t="inlineStr">
        <is>
          <t>FORSHAGA</t>
        </is>
      </c>
      <c r="F15943" t="inlineStr">
        <is>
          <t>Bergvik skog väst AB</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34548-2024</t>
        </is>
      </c>
      <c r="B15944" s="1" t="n">
        <v>45525</v>
      </c>
      <c r="C15944" s="1" t="n">
        <v>45736</v>
      </c>
      <c r="D15944" t="inlineStr">
        <is>
          <t>VÄRMLANDS LÄN</t>
        </is>
      </c>
      <c r="E15944" t="inlineStr">
        <is>
          <t>SÄFFLE</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34552-2024</t>
        </is>
      </c>
      <c r="B15945" s="1" t="n">
        <v>45525</v>
      </c>
      <c r="C15945" s="1" t="n">
        <v>45736</v>
      </c>
      <c r="D15945" t="inlineStr">
        <is>
          <t>VÄRMLANDS LÄN</t>
        </is>
      </c>
      <c r="E15945" t="inlineStr">
        <is>
          <t>ARVIKA</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34554-2024</t>
        </is>
      </c>
      <c r="B15946" s="1" t="n">
        <v>45525</v>
      </c>
      <c r="C15946" s="1" t="n">
        <v>45736</v>
      </c>
      <c r="D15946" t="inlineStr">
        <is>
          <t>VÄRMLANDS LÄN</t>
        </is>
      </c>
      <c r="E15946" t="inlineStr">
        <is>
          <t>TORSBY</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34413-2024</t>
        </is>
      </c>
      <c r="B15947" s="1" t="n">
        <v>45525</v>
      </c>
      <c r="C15947" s="1" t="n">
        <v>45736</v>
      </c>
      <c r="D15947" t="inlineStr">
        <is>
          <t>VÄRMLANDS LÄN</t>
        </is>
      </c>
      <c r="E15947" t="inlineStr">
        <is>
          <t>EDA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34380-2024</t>
        </is>
      </c>
      <c r="B15948" s="1" t="n">
        <v>45525</v>
      </c>
      <c r="C15948" s="1" t="n">
        <v>45736</v>
      </c>
      <c r="D15948" t="inlineStr">
        <is>
          <t>VÄRMLANDS LÄN</t>
        </is>
      </c>
      <c r="E15948" t="inlineStr">
        <is>
          <t>EDA</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34408-2024</t>
        </is>
      </c>
      <c r="B15949" s="1" t="n">
        <v>45525</v>
      </c>
      <c r="C15949" s="1" t="n">
        <v>45736</v>
      </c>
      <c r="D15949" t="inlineStr">
        <is>
          <t>VÄRMLANDS LÄN</t>
        </is>
      </c>
      <c r="E15949" t="inlineStr">
        <is>
          <t>KIL</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34472-2024</t>
        </is>
      </c>
      <c r="B15950" s="1" t="n">
        <v>45525</v>
      </c>
      <c r="C15950" s="1" t="n">
        <v>45736</v>
      </c>
      <c r="D15950" t="inlineStr">
        <is>
          <t>VÄRMLANDS LÄN</t>
        </is>
      </c>
      <c r="E15950" t="inlineStr">
        <is>
          <t>TORSBY</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34541-2024</t>
        </is>
      </c>
      <c r="B15951" s="1" t="n">
        <v>45525</v>
      </c>
      <c r="C15951" s="1" t="n">
        <v>45736</v>
      </c>
      <c r="D15951" t="inlineStr">
        <is>
          <t>VÄRMLANDS LÄN</t>
        </is>
      </c>
      <c r="E15951" t="inlineStr">
        <is>
          <t>HAGFORS</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34549-2024</t>
        </is>
      </c>
      <c r="B15952" s="1" t="n">
        <v>45525</v>
      </c>
      <c r="C15952" s="1" t="n">
        <v>45736</v>
      </c>
      <c r="D15952" t="inlineStr">
        <is>
          <t>VÄRMLANDS LÄN</t>
        </is>
      </c>
      <c r="E15952" t="inlineStr">
        <is>
          <t>TORSBY</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34553-2024</t>
        </is>
      </c>
      <c r="B15953" s="1" t="n">
        <v>45525</v>
      </c>
      <c r="C15953" s="1" t="n">
        <v>45736</v>
      </c>
      <c r="D15953" t="inlineStr">
        <is>
          <t>VÄRMLANDS LÄN</t>
        </is>
      </c>
      <c r="E15953" t="inlineStr">
        <is>
          <t>SUNNE</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34393-2024</t>
        </is>
      </c>
      <c r="B15954" s="1" t="n">
        <v>45525</v>
      </c>
      <c r="C15954" s="1" t="n">
        <v>45736</v>
      </c>
      <c r="D15954" t="inlineStr">
        <is>
          <t>VÄRMLANDS LÄN</t>
        </is>
      </c>
      <c r="E15954" t="inlineStr">
        <is>
          <t>EDA</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34385-2024</t>
        </is>
      </c>
      <c r="B15955" s="1" t="n">
        <v>45525</v>
      </c>
      <c r="C15955" s="1" t="n">
        <v>45736</v>
      </c>
      <c r="D15955" t="inlineStr">
        <is>
          <t>VÄRMLANDS LÄN</t>
        </is>
      </c>
      <c r="E15955" t="inlineStr">
        <is>
          <t>FILIPSTAD</t>
        </is>
      </c>
      <c r="F15955" t="inlineStr">
        <is>
          <t>Bergvik skog väst AB</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34551-2024</t>
        </is>
      </c>
      <c r="B15956" s="1" t="n">
        <v>45525</v>
      </c>
      <c r="C15956" s="1" t="n">
        <v>45736</v>
      </c>
      <c r="D15956" t="inlineStr">
        <is>
          <t>VÄRMLANDS LÄN</t>
        </is>
      </c>
      <c r="E15956" t="inlineStr">
        <is>
          <t>TORSBY</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34680-2024</t>
        </is>
      </c>
      <c r="B15957" s="1" t="n">
        <v>45526</v>
      </c>
      <c r="C15957" s="1" t="n">
        <v>45736</v>
      </c>
      <c r="D15957" t="inlineStr">
        <is>
          <t>VÄRMLANDS LÄN</t>
        </is>
      </c>
      <c r="E15957" t="inlineStr">
        <is>
          <t>TORSBY</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34796-2024</t>
        </is>
      </c>
      <c r="B15958" s="1" t="n">
        <v>45526</v>
      </c>
      <c r="C15958" s="1" t="n">
        <v>45736</v>
      </c>
      <c r="D15958" t="inlineStr">
        <is>
          <t>VÄRMLANDS LÄN</t>
        </is>
      </c>
      <c r="E15958" t="inlineStr">
        <is>
          <t>SUNNE</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34568-2024</t>
        </is>
      </c>
      <c r="B15959" s="1" t="n">
        <v>45526</v>
      </c>
      <c r="C15959" s="1" t="n">
        <v>45736</v>
      </c>
      <c r="D15959" t="inlineStr">
        <is>
          <t>VÄRMLANDS LÄN</t>
        </is>
      </c>
      <c r="E15959" t="inlineStr">
        <is>
          <t>TORSBY</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34758-2024</t>
        </is>
      </c>
      <c r="B15960" s="1" t="n">
        <v>45526</v>
      </c>
      <c r="C15960" s="1" t="n">
        <v>45736</v>
      </c>
      <c r="D15960" t="inlineStr">
        <is>
          <t>VÄRMLANDS LÄN</t>
        </is>
      </c>
      <c r="E15960" t="inlineStr">
        <is>
          <t>FORSHAGA</t>
        </is>
      </c>
      <c r="F15960" t="inlineStr">
        <is>
          <t>Bergvik skog väst AB</t>
        </is>
      </c>
      <c r="G15960" t="n">
        <v>6.2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34786-2024</t>
        </is>
      </c>
      <c r="B15961" s="1" t="n">
        <v>45526</v>
      </c>
      <c r="C15961" s="1" t="n">
        <v>45736</v>
      </c>
      <c r="D15961" t="inlineStr">
        <is>
          <t>VÄRMLANDS LÄN</t>
        </is>
      </c>
      <c r="E15961" t="inlineStr">
        <is>
          <t>FORSHAGA</t>
        </is>
      </c>
      <c r="F15961" t="inlineStr">
        <is>
          <t>Bergvik skog väst AB</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34569-2024</t>
        </is>
      </c>
      <c r="B15962" s="1" t="n">
        <v>45526</v>
      </c>
      <c r="C15962" s="1" t="n">
        <v>45736</v>
      </c>
      <c r="D15962" t="inlineStr">
        <is>
          <t>VÄRMLANDS LÄN</t>
        </is>
      </c>
      <c r="E15962" t="inlineStr">
        <is>
          <t>EDA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34573-2024</t>
        </is>
      </c>
      <c r="B15963" s="1" t="n">
        <v>45526</v>
      </c>
      <c r="C15963" s="1" t="n">
        <v>45736</v>
      </c>
      <c r="D15963" t="inlineStr">
        <is>
          <t>VÄRMLANDS LÄN</t>
        </is>
      </c>
      <c r="E15963" t="inlineStr">
        <is>
          <t>TORSBY</t>
        </is>
      </c>
      <c r="G15963" t="n">
        <v>3.9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34636-2024</t>
        </is>
      </c>
      <c r="B15964" s="1" t="n">
        <v>45526</v>
      </c>
      <c r="C15964" s="1" t="n">
        <v>45736</v>
      </c>
      <c r="D15964" t="inlineStr">
        <is>
          <t>VÄRMLANDS LÄN</t>
        </is>
      </c>
      <c r="E15964" t="inlineStr">
        <is>
          <t>HAGFORS</t>
        </is>
      </c>
      <c r="F15964" t="inlineStr">
        <is>
          <t>Bergvik skog väst AB</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34697-2024</t>
        </is>
      </c>
      <c r="B15965" s="1" t="n">
        <v>45526</v>
      </c>
      <c r="C15965" s="1" t="n">
        <v>45736</v>
      </c>
      <c r="D15965" t="inlineStr">
        <is>
          <t>VÄRMLANDS LÄN</t>
        </is>
      </c>
      <c r="E15965" t="inlineStr">
        <is>
          <t>TORSBY</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34717-2024</t>
        </is>
      </c>
      <c r="B15966" s="1" t="n">
        <v>45526</v>
      </c>
      <c r="C15966" s="1" t="n">
        <v>45736</v>
      </c>
      <c r="D15966" t="inlineStr">
        <is>
          <t>VÄRMLANDS LÄN</t>
        </is>
      </c>
      <c r="E15966" t="inlineStr">
        <is>
          <t>TORSBY</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34824-2024</t>
        </is>
      </c>
      <c r="B15967" s="1" t="n">
        <v>45526</v>
      </c>
      <c r="C15967" s="1" t="n">
        <v>45736</v>
      </c>
      <c r="D15967" t="inlineStr">
        <is>
          <t>VÄRMLANDS LÄN</t>
        </is>
      </c>
      <c r="E15967" t="inlineStr">
        <is>
          <t>TORSBY</t>
        </is>
      </c>
      <c r="F15967" t="inlineStr">
        <is>
          <t>Bergvik skog väst AB</t>
        </is>
      </c>
      <c r="G15967" t="n">
        <v>27.5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34643-2024</t>
        </is>
      </c>
      <c r="B15968" s="1" t="n">
        <v>45526</v>
      </c>
      <c r="C15968" s="1" t="n">
        <v>45736</v>
      </c>
      <c r="D15968" t="inlineStr">
        <is>
          <t>VÄRMLANDS LÄN</t>
        </is>
      </c>
      <c r="E15968" t="inlineStr">
        <is>
          <t>ÅRJÄNG</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34675-2024</t>
        </is>
      </c>
      <c r="B15969" s="1" t="n">
        <v>45526</v>
      </c>
      <c r="C15969" s="1" t="n">
        <v>45736</v>
      </c>
      <c r="D15969" t="inlineStr">
        <is>
          <t>VÄRMLANDS LÄN</t>
        </is>
      </c>
      <c r="E15969" t="inlineStr">
        <is>
          <t>SÄFFLE</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34683-2024</t>
        </is>
      </c>
      <c r="B15970" s="1" t="n">
        <v>45526</v>
      </c>
      <c r="C15970" s="1" t="n">
        <v>45736</v>
      </c>
      <c r="D15970" t="inlineStr">
        <is>
          <t>VÄRMLANDS LÄN</t>
        </is>
      </c>
      <c r="E15970" t="inlineStr">
        <is>
          <t>HAGFORS</t>
        </is>
      </c>
      <c r="F15970" t="inlineStr">
        <is>
          <t>Bergvik skog väst AB</t>
        </is>
      </c>
      <c r="G15970" t="n">
        <v>10.6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34749-2024</t>
        </is>
      </c>
      <c r="B15971" s="1" t="n">
        <v>45526</v>
      </c>
      <c r="C15971" s="1" t="n">
        <v>45736</v>
      </c>
      <c r="D15971" t="inlineStr">
        <is>
          <t>VÄRMLANDS LÄN</t>
        </is>
      </c>
      <c r="E15971" t="inlineStr">
        <is>
          <t>ARVIKA</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34686-2024</t>
        </is>
      </c>
      <c r="B15972" s="1" t="n">
        <v>45526</v>
      </c>
      <c r="C15972" s="1" t="n">
        <v>45736</v>
      </c>
      <c r="D15972" t="inlineStr">
        <is>
          <t>VÄRMLANDS LÄN</t>
        </is>
      </c>
      <c r="E15972" t="inlineStr">
        <is>
          <t>TORSBY</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34670-2024</t>
        </is>
      </c>
      <c r="B15973" s="1" t="n">
        <v>45526</v>
      </c>
      <c r="C15973" s="1" t="n">
        <v>45736</v>
      </c>
      <c r="D15973" t="inlineStr">
        <is>
          <t>VÄRMLANDS LÄN</t>
        </is>
      </c>
      <c r="E15973" t="inlineStr">
        <is>
          <t>HAGFORS</t>
        </is>
      </c>
      <c r="F15973" t="inlineStr">
        <is>
          <t>Bergvik skog väst AB</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34633-2024</t>
        </is>
      </c>
      <c r="B15974" s="1" t="n">
        <v>45526</v>
      </c>
      <c r="C15974" s="1" t="n">
        <v>45736</v>
      </c>
      <c r="D15974" t="inlineStr">
        <is>
          <t>VÄRMLANDS LÄN</t>
        </is>
      </c>
      <c r="E15974" t="inlineStr">
        <is>
          <t>ÅRJÄNG</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34780-2024</t>
        </is>
      </c>
      <c r="B15975" s="1" t="n">
        <v>45526</v>
      </c>
      <c r="C15975" s="1" t="n">
        <v>45736</v>
      </c>
      <c r="D15975" t="inlineStr">
        <is>
          <t>VÄRMLANDS LÄN</t>
        </is>
      </c>
      <c r="E15975" t="inlineStr">
        <is>
          <t>HAGFORS</t>
        </is>
      </c>
      <c r="F15975" t="inlineStr">
        <is>
          <t>Bergvik skog väst AB</t>
        </is>
      </c>
      <c r="G15975" t="n">
        <v>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35019-2024</t>
        </is>
      </c>
      <c r="B15976" s="1" t="n">
        <v>45527</v>
      </c>
      <c r="C15976" s="1" t="n">
        <v>45736</v>
      </c>
      <c r="D15976" t="inlineStr">
        <is>
          <t>VÄRMLANDS LÄN</t>
        </is>
      </c>
      <c r="E15976" t="inlineStr">
        <is>
          <t>TORSBY</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35075-2024</t>
        </is>
      </c>
      <c r="B15977" s="1" t="n">
        <v>45527</v>
      </c>
      <c r="C15977" s="1" t="n">
        <v>45736</v>
      </c>
      <c r="D15977" t="inlineStr">
        <is>
          <t>VÄRMLANDS LÄN</t>
        </is>
      </c>
      <c r="E15977" t="inlineStr">
        <is>
          <t>TORSBY</t>
        </is>
      </c>
      <c r="F15977" t="inlineStr">
        <is>
          <t>Bergvik skog väst AB</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35084-2024</t>
        </is>
      </c>
      <c r="B15978" s="1" t="n">
        <v>45527</v>
      </c>
      <c r="C15978" s="1" t="n">
        <v>45736</v>
      </c>
      <c r="D15978" t="inlineStr">
        <is>
          <t>VÄRMLANDS LÄN</t>
        </is>
      </c>
      <c r="E15978" t="inlineStr">
        <is>
          <t>KIL</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35088-2024</t>
        </is>
      </c>
      <c r="B15979" s="1" t="n">
        <v>45527</v>
      </c>
      <c r="C15979" s="1" t="n">
        <v>45736</v>
      </c>
      <c r="D15979" t="inlineStr">
        <is>
          <t>VÄRMLANDS LÄN</t>
        </is>
      </c>
      <c r="E15979" t="inlineStr">
        <is>
          <t>HAGFORS</t>
        </is>
      </c>
      <c r="F15979" t="inlineStr">
        <is>
          <t>Bergvik skog väst AB</t>
        </is>
      </c>
      <c r="G15979" t="n">
        <v>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35092-2024</t>
        </is>
      </c>
      <c r="B15980" s="1" t="n">
        <v>45527</v>
      </c>
      <c r="C15980" s="1" t="n">
        <v>45736</v>
      </c>
      <c r="D15980" t="inlineStr">
        <is>
          <t>VÄRMLANDS LÄN</t>
        </is>
      </c>
      <c r="E15980" t="inlineStr">
        <is>
          <t>SUNNE</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35043-2024</t>
        </is>
      </c>
      <c r="B15981" s="1" t="n">
        <v>45527</v>
      </c>
      <c r="C15981" s="1" t="n">
        <v>45736</v>
      </c>
      <c r="D15981" t="inlineStr">
        <is>
          <t>VÄRMLANDS LÄN</t>
        </is>
      </c>
      <c r="E15981" t="inlineStr">
        <is>
          <t>STORFORS</t>
        </is>
      </c>
      <c r="F15981" t="inlineStr">
        <is>
          <t>Bergvik skog väst AB</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34970-2024</t>
        </is>
      </c>
      <c r="B15982" s="1" t="n">
        <v>45527</v>
      </c>
      <c r="C15982" s="1" t="n">
        <v>45736</v>
      </c>
      <c r="D15982" t="inlineStr">
        <is>
          <t>VÄRMLANDS LÄN</t>
        </is>
      </c>
      <c r="E15982" t="inlineStr">
        <is>
          <t>TORSBY</t>
        </is>
      </c>
      <c r="F15982" t="inlineStr">
        <is>
          <t>Bergvik skog väst AB</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34966-2024</t>
        </is>
      </c>
      <c r="B15983" s="1" t="n">
        <v>45527</v>
      </c>
      <c r="C15983" s="1" t="n">
        <v>45736</v>
      </c>
      <c r="D15983" t="inlineStr">
        <is>
          <t>VÄRMLANDS LÄN</t>
        </is>
      </c>
      <c r="E15983" t="inlineStr">
        <is>
          <t>TORSBY</t>
        </is>
      </c>
      <c r="F15983" t="inlineStr">
        <is>
          <t>Bergvik skog väst AB</t>
        </is>
      </c>
      <c r="G15983" t="n">
        <v>5.2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34958-2024</t>
        </is>
      </c>
      <c r="B15984" s="1" t="n">
        <v>45527</v>
      </c>
      <c r="C15984" s="1" t="n">
        <v>45736</v>
      </c>
      <c r="D15984" t="inlineStr">
        <is>
          <t>VÄRMLANDS LÄN</t>
        </is>
      </c>
      <c r="E15984" t="inlineStr">
        <is>
          <t>TORSBY</t>
        </is>
      </c>
      <c r="F15984" t="inlineStr">
        <is>
          <t>Bergvik skog väst AB</t>
        </is>
      </c>
      <c r="G15984" t="n">
        <v>12.5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34946-2024</t>
        </is>
      </c>
      <c r="B15985" s="1" t="n">
        <v>45527</v>
      </c>
      <c r="C15985" s="1" t="n">
        <v>45736</v>
      </c>
      <c r="D15985" t="inlineStr">
        <is>
          <t>VÄRMLANDS LÄN</t>
        </is>
      </c>
      <c r="E15985" t="inlineStr">
        <is>
          <t>TORSBY</t>
        </is>
      </c>
      <c r="F15985" t="inlineStr">
        <is>
          <t>Bergvik skog väst AB</t>
        </is>
      </c>
      <c r="G15985" t="n">
        <v>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34938-2024</t>
        </is>
      </c>
      <c r="B15986" s="1" t="n">
        <v>45527</v>
      </c>
      <c r="C15986" s="1" t="n">
        <v>45736</v>
      </c>
      <c r="D15986" t="inlineStr">
        <is>
          <t>VÄRMLANDS LÄN</t>
        </is>
      </c>
      <c r="E15986" t="inlineStr">
        <is>
          <t>FILIPSTAD</t>
        </is>
      </c>
      <c r="F15986" t="inlineStr">
        <is>
          <t>Bergvik skog väst AB</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34906-2024</t>
        </is>
      </c>
      <c r="B15987" s="1" t="n">
        <v>45527</v>
      </c>
      <c r="C15987" s="1" t="n">
        <v>45736</v>
      </c>
      <c r="D15987" t="inlineStr">
        <is>
          <t>VÄRMLANDS LÄN</t>
        </is>
      </c>
      <c r="E15987" t="inlineStr">
        <is>
          <t>TORSBY</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34886-2024</t>
        </is>
      </c>
      <c r="B15988" s="1" t="n">
        <v>45527</v>
      </c>
      <c r="C15988" s="1" t="n">
        <v>45736</v>
      </c>
      <c r="D15988" t="inlineStr">
        <is>
          <t>VÄRMLANDS LÄN</t>
        </is>
      </c>
      <c r="E15988" t="inlineStr">
        <is>
          <t>FORSHAGA</t>
        </is>
      </c>
      <c r="F15988" t="inlineStr">
        <is>
          <t>Bergvik skog väst AB</t>
        </is>
      </c>
      <c r="G15988" t="n">
        <v>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35002-2024</t>
        </is>
      </c>
      <c r="B15989" s="1" t="n">
        <v>45527</v>
      </c>
      <c r="C15989" s="1" t="n">
        <v>45736</v>
      </c>
      <c r="D15989" t="inlineStr">
        <is>
          <t>VÄRMLANDS LÄN</t>
        </is>
      </c>
      <c r="E15989" t="inlineStr">
        <is>
          <t>HAGFORS</t>
        </is>
      </c>
      <c r="F15989" t="inlineStr">
        <is>
          <t>Bergvik skog väst AB</t>
        </is>
      </c>
      <c r="G15989" t="n">
        <v>23.1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34872-2024</t>
        </is>
      </c>
      <c r="B15990" s="1" t="n">
        <v>45527</v>
      </c>
      <c r="C15990" s="1" t="n">
        <v>45736</v>
      </c>
      <c r="D15990" t="inlineStr">
        <is>
          <t>VÄRMLANDS LÄN</t>
        </is>
      </c>
      <c r="E15990" t="inlineStr">
        <is>
          <t>EDA</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35066-2024</t>
        </is>
      </c>
      <c r="B15991" s="1" t="n">
        <v>45527</v>
      </c>
      <c r="C15991" s="1" t="n">
        <v>45736</v>
      </c>
      <c r="D15991" t="inlineStr">
        <is>
          <t>VÄRMLANDS LÄN</t>
        </is>
      </c>
      <c r="E15991" t="inlineStr">
        <is>
          <t>TORSBY</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35083-2024</t>
        </is>
      </c>
      <c r="B15992" s="1" t="n">
        <v>45527</v>
      </c>
      <c r="C15992" s="1" t="n">
        <v>45736</v>
      </c>
      <c r="D15992" t="inlineStr">
        <is>
          <t>VÄRMLANDS LÄN</t>
        </is>
      </c>
      <c r="E15992" t="inlineStr">
        <is>
          <t>KIL</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35117-2024</t>
        </is>
      </c>
      <c r="B15993" s="1" t="n">
        <v>45527</v>
      </c>
      <c r="C15993" s="1" t="n">
        <v>45736</v>
      </c>
      <c r="D15993" t="inlineStr">
        <is>
          <t>VÄRMLANDS LÄN</t>
        </is>
      </c>
      <c r="E15993" t="inlineStr">
        <is>
          <t>SÄFFLE</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34961-2024</t>
        </is>
      </c>
      <c r="B15994" s="1" t="n">
        <v>45527</v>
      </c>
      <c r="C15994" s="1" t="n">
        <v>45736</v>
      </c>
      <c r="D15994" t="inlineStr">
        <is>
          <t>VÄRMLANDS LÄN</t>
        </is>
      </c>
      <c r="E15994" t="inlineStr">
        <is>
          <t>TORSBY</t>
        </is>
      </c>
      <c r="F15994" t="inlineStr">
        <is>
          <t>Bergvik skog väst AB</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34937-2024</t>
        </is>
      </c>
      <c r="B15995" s="1" t="n">
        <v>45527</v>
      </c>
      <c r="C15995" s="1" t="n">
        <v>45736</v>
      </c>
      <c r="D15995" t="inlineStr">
        <is>
          <t>VÄRMLANDS LÄN</t>
        </is>
      </c>
      <c r="E15995" t="inlineStr">
        <is>
          <t>HAGFORS</t>
        </is>
      </c>
      <c r="F15995" t="inlineStr">
        <is>
          <t>Bergvik skog väst AB</t>
        </is>
      </c>
      <c r="G15995" t="n">
        <v>14.5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34933-2024</t>
        </is>
      </c>
      <c r="B15996" s="1" t="n">
        <v>45527</v>
      </c>
      <c r="C15996" s="1" t="n">
        <v>45736</v>
      </c>
      <c r="D15996" t="inlineStr">
        <is>
          <t>VÄRMLANDS LÄN</t>
        </is>
      </c>
      <c r="E15996" t="inlineStr">
        <is>
          <t>ARVIKA</t>
        </is>
      </c>
      <c r="F15996" t="inlineStr">
        <is>
          <t>Bergvik skog väst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34921-2024</t>
        </is>
      </c>
      <c r="B15997" s="1" t="n">
        <v>45527</v>
      </c>
      <c r="C15997" s="1" t="n">
        <v>45736</v>
      </c>
      <c r="D15997" t="inlineStr">
        <is>
          <t>VÄRMLANDS LÄN</t>
        </is>
      </c>
      <c r="E15997" t="inlineStr">
        <is>
          <t>TORSBY</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34901-2024</t>
        </is>
      </c>
      <c r="B15998" s="1" t="n">
        <v>45527</v>
      </c>
      <c r="C15998" s="1" t="n">
        <v>45736</v>
      </c>
      <c r="D15998" t="inlineStr">
        <is>
          <t>VÄRMLANDS LÄN</t>
        </is>
      </c>
      <c r="E15998" t="inlineStr">
        <is>
          <t>HAGFORS</t>
        </is>
      </c>
      <c r="F15998" t="inlineStr">
        <is>
          <t>Bergvik skog väst AB</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34849-2024</t>
        </is>
      </c>
      <c r="B15999" s="1" t="n">
        <v>45527</v>
      </c>
      <c r="C15999" s="1" t="n">
        <v>45736</v>
      </c>
      <c r="D15999" t="inlineStr">
        <is>
          <t>VÄRMLANDS LÄN</t>
        </is>
      </c>
      <c r="E15999" t="inlineStr">
        <is>
          <t>FORSHAGA</t>
        </is>
      </c>
      <c r="F15999" t="inlineStr">
        <is>
          <t>Bergvik skog väst AB</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34968-2024</t>
        </is>
      </c>
      <c r="B16000" s="1" t="n">
        <v>45527</v>
      </c>
      <c r="C16000" s="1" t="n">
        <v>45736</v>
      </c>
      <c r="D16000" t="inlineStr">
        <is>
          <t>VÄRMLANDS LÄN</t>
        </is>
      </c>
      <c r="E16000" t="inlineStr">
        <is>
          <t>TORSBY</t>
        </is>
      </c>
      <c r="F16000" t="inlineStr">
        <is>
          <t>Bergvik skog väst AB</t>
        </is>
      </c>
      <c r="G16000" t="n">
        <v>10.2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35021-2024</t>
        </is>
      </c>
      <c r="B16001" s="1" t="n">
        <v>45527</v>
      </c>
      <c r="C16001" s="1" t="n">
        <v>45736</v>
      </c>
      <c r="D16001" t="inlineStr">
        <is>
          <t>VÄRMLANDS LÄN</t>
        </is>
      </c>
      <c r="E16001" t="inlineStr">
        <is>
          <t>HAGFORS</t>
        </is>
      </c>
      <c r="G16001" t="n">
        <v>3.5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35116-2024</t>
        </is>
      </c>
      <c r="B16002" s="1" t="n">
        <v>45527</v>
      </c>
      <c r="C16002" s="1" t="n">
        <v>45736</v>
      </c>
      <c r="D16002" t="inlineStr">
        <is>
          <t>VÄRMLANDS LÄN</t>
        </is>
      </c>
      <c r="E16002" t="inlineStr">
        <is>
          <t>SÄFFLE</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34971-2024</t>
        </is>
      </c>
      <c r="B16003" s="1" t="n">
        <v>45527</v>
      </c>
      <c r="C16003" s="1" t="n">
        <v>45736</v>
      </c>
      <c r="D16003" t="inlineStr">
        <is>
          <t>VÄRMLANDS LÄN</t>
        </is>
      </c>
      <c r="E16003" t="inlineStr">
        <is>
          <t>STORFORS</t>
        </is>
      </c>
      <c r="F16003" t="inlineStr">
        <is>
          <t>Kyrkan</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34939-2024</t>
        </is>
      </c>
      <c r="B16004" s="1" t="n">
        <v>45527</v>
      </c>
      <c r="C16004" s="1" t="n">
        <v>45736</v>
      </c>
      <c r="D16004" t="inlineStr">
        <is>
          <t>VÄRMLANDS LÄN</t>
        </is>
      </c>
      <c r="E16004" t="inlineStr">
        <is>
          <t>TORSBY</t>
        </is>
      </c>
      <c r="F16004" t="inlineStr">
        <is>
          <t>Bergvik skog väst AB</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34895-2024</t>
        </is>
      </c>
      <c r="B16005" s="1" t="n">
        <v>45527</v>
      </c>
      <c r="C16005" s="1" t="n">
        <v>45736</v>
      </c>
      <c r="D16005" t="inlineStr">
        <is>
          <t>VÄRMLANDS LÄN</t>
        </is>
      </c>
      <c r="E16005" t="inlineStr">
        <is>
          <t>HAGFORS</t>
        </is>
      </c>
      <c r="F16005" t="inlineStr">
        <is>
          <t>Bergvik skog väst AB</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34863-2024</t>
        </is>
      </c>
      <c r="B16006" s="1" t="n">
        <v>45527</v>
      </c>
      <c r="C16006" s="1" t="n">
        <v>45736</v>
      </c>
      <c r="D16006" t="inlineStr">
        <is>
          <t>VÄRMLANDS LÄN</t>
        </is>
      </c>
      <c r="E16006" t="inlineStr">
        <is>
          <t>SÄFFLE</t>
        </is>
      </c>
      <c r="F16006" t="inlineStr">
        <is>
          <t>Kyrkan</t>
        </is>
      </c>
      <c r="G16006" t="n">
        <v>9.9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34851-2024</t>
        </is>
      </c>
      <c r="B16007" s="1" t="n">
        <v>45527</v>
      </c>
      <c r="C16007" s="1" t="n">
        <v>45736</v>
      </c>
      <c r="D16007" t="inlineStr">
        <is>
          <t>VÄRMLANDS LÄN</t>
        </is>
      </c>
      <c r="E16007" t="inlineStr">
        <is>
          <t>SÄFFLE</t>
        </is>
      </c>
      <c r="F16007" t="inlineStr">
        <is>
          <t>Kyrkan</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35133-2024</t>
        </is>
      </c>
      <c r="B16008" s="1" t="n">
        <v>45529</v>
      </c>
      <c r="C16008" s="1" t="n">
        <v>45736</v>
      </c>
      <c r="D16008" t="inlineStr">
        <is>
          <t>VÄRMLANDS LÄN</t>
        </is>
      </c>
      <c r="E16008" t="inlineStr">
        <is>
          <t>ÅRJÄNG</t>
        </is>
      </c>
      <c r="G16008" t="n">
        <v>10.2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35107-2024</t>
        </is>
      </c>
      <c r="B16009" s="1" t="n">
        <v>45529</v>
      </c>
      <c r="C16009" s="1" t="n">
        <v>45736</v>
      </c>
      <c r="D16009" t="inlineStr">
        <is>
          <t>VÄRMLANDS LÄN</t>
        </is>
      </c>
      <c r="E16009" t="inlineStr">
        <is>
          <t>TORSBY</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35106-2024</t>
        </is>
      </c>
      <c r="B16010" s="1" t="n">
        <v>45529</v>
      </c>
      <c r="C16010" s="1" t="n">
        <v>45736</v>
      </c>
      <c r="D16010" t="inlineStr">
        <is>
          <t>VÄRMLANDS LÄN</t>
        </is>
      </c>
      <c r="E16010" t="inlineStr">
        <is>
          <t>FILIPSTAD</t>
        </is>
      </c>
      <c r="F16010" t="inlineStr">
        <is>
          <t>Bergvik skog väst AB</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35277-2024</t>
        </is>
      </c>
      <c r="B16011" s="1" t="n">
        <v>45530</v>
      </c>
      <c r="C16011" s="1" t="n">
        <v>45736</v>
      </c>
      <c r="D16011" t="inlineStr">
        <is>
          <t>VÄRMLANDS LÄN</t>
        </is>
      </c>
      <c r="E16011" t="inlineStr">
        <is>
          <t>EDA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35303-2024</t>
        </is>
      </c>
      <c r="B16012" s="1" t="n">
        <v>45530</v>
      </c>
      <c r="C16012" s="1" t="n">
        <v>45736</v>
      </c>
      <c r="D16012" t="inlineStr">
        <is>
          <t>VÄRMLANDS LÄN</t>
        </is>
      </c>
      <c r="E16012" t="inlineStr">
        <is>
          <t>FILIPSTAD</t>
        </is>
      </c>
      <c r="F16012" t="inlineStr">
        <is>
          <t>Bergvik skog väst AB</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35336-2024</t>
        </is>
      </c>
      <c r="B16013" s="1" t="n">
        <v>45530</v>
      </c>
      <c r="C16013" s="1" t="n">
        <v>45736</v>
      </c>
      <c r="D16013" t="inlineStr">
        <is>
          <t>VÄRMLANDS LÄN</t>
        </is>
      </c>
      <c r="E16013" t="inlineStr">
        <is>
          <t>FORSHAGA</t>
        </is>
      </c>
      <c r="F16013" t="inlineStr">
        <is>
          <t>Kommuner</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35335-2024</t>
        </is>
      </c>
      <c r="B16014" s="1" t="n">
        <v>45530</v>
      </c>
      <c r="C16014" s="1" t="n">
        <v>45736</v>
      </c>
      <c r="D16014" t="inlineStr">
        <is>
          <t>VÄRMLANDS LÄN</t>
        </is>
      </c>
      <c r="E16014" t="inlineStr">
        <is>
          <t>FORSHAGA</t>
        </is>
      </c>
      <c r="F16014" t="inlineStr">
        <is>
          <t>Kommuner</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35275-2024</t>
        </is>
      </c>
      <c r="B16015" s="1" t="n">
        <v>45530</v>
      </c>
      <c r="C16015" s="1" t="n">
        <v>45736</v>
      </c>
      <c r="D16015" t="inlineStr">
        <is>
          <t>VÄRMLANDS LÄN</t>
        </is>
      </c>
      <c r="E16015" t="inlineStr">
        <is>
          <t>HAGFORS</t>
        </is>
      </c>
      <c r="F16015" t="inlineStr">
        <is>
          <t>Bergvik skog väst AB</t>
        </is>
      </c>
      <c r="G16015" t="n">
        <v>7.2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35215-2024</t>
        </is>
      </c>
      <c r="B16016" s="1" t="n">
        <v>45530</v>
      </c>
      <c r="C16016" s="1" t="n">
        <v>45736</v>
      </c>
      <c r="D16016" t="inlineStr">
        <is>
          <t>VÄRMLANDS LÄN</t>
        </is>
      </c>
      <c r="E16016" t="inlineStr">
        <is>
          <t>FORSHAGA</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35333-2024</t>
        </is>
      </c>
      <c r="B16017" s="1" t="n">
        <v>45530</v>
      </c>
      <c r="C16017" s="1" t="n">
        <v>45736</v>
      </c>
      <c r="D16017" t="inlineStr">
        <is>
          <t>VÄRMLANDS LÄN</t>
        </is>
      </c>
      <c r="E16017" t="inlineStr">
        <is>
          <t>FORSHAGA</t>
        </is>
      </c>
      <c r="F16017" t="inlineStr">
        <is>
          <t>Kommuner</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35339-2024</t>
        </is>
      </c>
      <c r="B16018" s="1" t="n">
        <v>45530</v>
      </c>
      <c r="C16018" s="1" t="n">
        <v>45736</v>
      </c>
      <c r="D16018" t="inlineStr">
        <is>
          <t>VÄRMLANDS LÄN</t>
        </is>
      </c>
      <c r="E16018" t="inlineStr">
        <is>
          <t>ARVIKA</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35304-2024</t>
        </is>
      </c>
      <c r="B16019" s="1" t="n">
        <v>45530</v>
      </c>
      <c r="C16019" s="1" t="n">
        <v>45736</v>
      </c>
      <c r="D16019" t="inlineStr">
        <is>
          <t>VÄRMLANDS LÄN</t>
        </is>
      </c>
      <c r="E16019" t="inlineStr">
        <is>
          <t>FILIPSTAD</t>
        </is>
      </c>
      <c r="F16019" t="inlineStr">
        <is>
          <t>Bergvik skog väst AB</t>
        </is>
      </c>
      <c r="G16019" t="n">
        <v>6.6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35458-2024</t>
        </is>
      </c>
      <c r="B16020" s="1" t="n">
        <v>45531</v>
      </c>
      <c r="C16020" s="1" t="n">
        <v>45736</v>
      </c>
      <c r="D16020" t="inlineStr">
        <is>
          <t>VÄRMLANDS LÄN</t>
        </is>
      </c>
      <c r="E16020" t="inlineStr">
        <is>
          <t>KIL</t>
        </is>
      </c>
      <c r="G16020" t="n">
        <v>6.3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35503-2024</t>
        </is>
      </c>
      <c r="B16021" s="1" t="n">
        <v>45531</v>
      </c>
      <c r="C16021" s="1" t="n">
        <v>45736</v>
      </c>
      <c r="D16021" t="inlineStr">
        <is>
          <t>VÄRMLANDS LÄN</t>
        </is>
      </c>
      <c r="E16021" t="inlineStr">
        <is>
          <t>ARVIKA</t>
        </is>
      </c>
      <c r="F16021" t="inlineStr">
        <is>
          <t>Bergvik skog väst AB</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35525-2024</t>
        </is>
      </c>
      <c r="B16022" s="1" t="n">
        <v>45531</v>
      </c>
      <c r="C16022" s="1" t="n">
        <v>45736</v>
      </c>
      <c r="D16022" t="inlineStr">
        <is>
          <t>VÄRMLANDS LÄN</t>
        </is>
      </c>
      <c r="E16022" t="inlineStr">
        <is>
          <t>KARLSTAD</t>
        </is>
      </c>
      <c r="F16022" t="inlineStr">
        <is>
          <t>Bergvik skog väst AB</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35533-2024</t>
        </is>
      </c>
      <c r="B16023" s="1" t="n">
        <v>45531</v>
      </c>
      <c r="C16023" s="1" t="n">
        <v>45736</v>
      </c>
      <c r="D16023" t="inlineStr">
        <is>
          <t>VÄRMLANDS LÄN</t>
        </is>
      </c>
      <c r="E16023" t="inlineStr">
        <is>
          <t>SUNNE</t>
        </is>
      </c>
      <c r="F16023" t="inlineStr">
        <is>
          <t>Bergvik skog väst AB</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35357-2024</t>
        </is>
      </c>
      <c r="B16024" s="1" t="n">
        <v>45531</v>
      </c>
      <c r="C16024" s="1" t="n">
        <v>45736</v>
      </c>
      <c r="D16024" t="inlineStr">
        <is>
          <t>VÄRMLANDS LÄN</t>
        </is>
      </c>
      <c r="E16024" t="inlineStr">
        <is>
          <t>FILIPSTAD</t>
        </is>
      </c>
      <c r="F16024" t="inlineStr">
        <is>
          <t>Bergvik skog väst AB</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35449-2024</t>
        </is>
      </c>
      <c r="B16025" s="1" t="n">
        <v>45531</v>
      </c>
      <c r="C16025" s="1" t="n">
        <v>45736</v>
      </c>
      <c r="D16025" t="inlineStr">
        <is>
          <t>VÄRMLANDS LÄN</t>
        </is>
      </c>
      <c r="E16025" t="inlineStr">
        <is>
          <t>KIL</t>
        </is>
      </c>
      <c r="G16025" t="n">
        <v>6.8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35453-2024</t>
        </is>
      </c>
      <c r="B16026" s="1" t="n">
        <v>45531</v>
      </c>
      <c r="C16026" s="1" t="n">
        <v>45736</v>
      </c>
      <c r="D16026" t="inlineStr">
        <is>
          <t>VÄRMLANDS LÄN</t>
        </is>
      </c>
      <c r="E16026" t="inlineStr">
        <is>
          <t>KIL</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35524-2024</t>
        </is>
      </c>
      <c r="B16027" s="1" t="n">
        <v>45531</v>
      </c>
      <c r="C16027" s="1" t="n">
        <v>45736</v>
      </c>
      <c r="D16027" t="inlineStr">
        <is>
          <t>VÄRMLANDS LÄN</t>
        </is>
      </c>
      <c r="E16027" t="inlineStr">
        <is>
          <t>TORSBY</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35536-2024</t>
        </is>
      </c>
      <c r="B16028" s="1" t="n">
        <v>45531</v>
      </c>
      <c r="C16028" s="1" t="n">
        <v>45736</v>
      </c>
      <c r="D16028" t="inlineStr">
        <is>
          <t>VÄRMLANDS LÄN</t>
        </is>
      </c>
      <c r="E16028" t="inlineStr">
        <is>
          <t>FILIPSTAD</t>
        </is>
      </c>
      <c r="F16028" t="inlineStr">
        <is>
          <t>Bergvik skog väst AB</t>
        </is>
      </c>
      <c r="G16028" t="n">
        <v>4.7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35493-2024</t>
        </is>
      </c>
      <c r="B16029" s="1" t="n">
        <v>45531</v>
      </c>
      <c r="C16029" s="1" t="n">
        <v>45736</v>
      </c>
      <c r="D16029" t="inlineStr">
        <is>
          <t>VÄRMLANDS LÄN</t>
        </is>
      </c>
      <c r="E16029" t="inlineStr">
        <is>
          <t>TORSBY</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35497-2024</t>
        </is>
      </c>
      <c r="B16030" s="1" t="n">
        <v>45531</v>
      </c>
      <c r="C16030" s="1" t="n">
        <v>45736</v>
      </c>
      <c r="D16030" t="inlineStr">
        <is>
          <t>VÄRMLANDS LÄN</t>
        </is>
      </c>
      <c r="E16030" t="inlineStr">
        <is>
          <t>TORSBY</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35501-2024</t>
        </is>
      </c>
      <c r="B16031" s="1" t="n">
        <v>45531</v>
      </c>
      <c r="C16031" s="1" t="n">
        <v>45736</v>
      </c>
      <c r="D16031" t="inlineStr">
        <is>
          <t>VÄRMLANDS LÄN</t>
        </is>
      </c>
      <c r="E16031" t="inlineStr">
        <is>
          <t>SUNNE</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35492-2024</t>
        </is>
      </c>
      <c r="B16032" s="1" t="n">
        <v>45531</v>
      </c>
      <c r="C16032" s="1" t="n">
        <v>45736</v>
      </c>
      <c r="D16032" t="inlineStr">
        <is>
          <t>VÄRMLANDS LÄN</t>
        </is>
      </c>
      <c r="E16032" t="inlineStr">
        <is>
          <t>ARVIKA</t>
        </is>
      </c>
      <c r="F16032" t="inlineStr">
        <is>
          <t>Bergvik skog väst AB</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35500-2024</t>
        </is>
      </c>
      <c r="B16033" s="1" t="n">
        <v>45531</v>
      </c>
      <c r="C16033" s="1" t="n">
        <v>45736</v>
      </c>
      <c r="D16033" t="inlineStr">
        <is>
          <t>VÄRMLANDS LÄN</t>
        </is>
      </c>
      <c r="E16033" t="inlineStr">
        <is>
          <t>SÄFFLE</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35609-2024</t>
        </is>
      </c>
      <c r="B16034" s="1" t="n">
        <v>45531</v>
      </c>
      <c r="C16034" s="1" t="n">
        <v>45736</v>
      </c>
      <c r="D16034" t="inlineStr">
        <is>
          <t>VÄRMLANDS LÄN</t>
        </is>
      </c>
      <c r="E16034" t="inlineStr">
        <is>
          <t>TORSBY</t>
        </is>
      </c>
      <c r="G16034" t="n">
        <v>38.3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35629-2024</t>
        </is>
      </c>
      <c r="B16035" s="1" t="n">
        <v>45531</v>
      </c>
      <c r="C16035" s="1" t="n">
        <v>45736</v>
      </c>
      <c r="D16035" t="inlineStr">
        <is>
          <t>VÄRMLANDS LÄN</t>
        </is>
      </c>
      <c r="E16035" t="inlineStr">
        <is>
          <t>SUNNE</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35633-2024</t>
        </is>
      </c>
      <c r="B16036" s="1" t="n">
        <v>45531</v>
      </c>
      <c r="C16036" s="1" t="n">
        <v>45736</v>
      </c>
      <c r="D16036" t="inlineStr">
        <is>
          <t>VÄRMLANDS LÄN</t>
        </is>
      </c>
      <c r="E16036" t="inlineStr">
        <is>
          <t>SUNNE</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35611-2024</t>
        </is>
      </c>
      <c r="B16037" s="1" t="n">
        <v>45531</v>
      </c>
      <c r="C16037" s="1" t="n">
        <v>45736</v>
      </c>
      <c r="D16037" t="inlineStr">
        <is>
          <t>VÄRMLANDS LÄN</t>
        </is>
      </c>
      <c r="E16037" t="inlineStr">
        <is>
          <t>KIL</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35634-2024</t>
        </is>
      </c>
      <c r="B16038" s="1" t="n">
        <v>45531</v>
      </c>
      <c r="C16038" s="1" t="n">
        <v>45736</v>
      </c>
      <c r="D16038" t="inlineStr">
        <is>
          <t>VÄRMLANDS LÄN</t>
        </is>
      </c>
      <c r="E16038" t="inlineStr">
        <is>
          <t>SUNNE</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35628-2024</t>
        </is>
      </c>
      <c r="B16039" s="1" t="n">
        <v>45531</v>
      </c>
      <c r="C16039" s="1" t="n">
        <v>45736</v>
      </c>
      <c r="D16039" t="inlineStr">
        <is>
          <t>VÄRMLANDS LÄN</t>
        </is>
      </c>
      <c r="E16039" t="inlineStr">
        <is>
          <t>SUNNE</t>
        </is>
      </c>
      <c r="G16039" t="n">
        <v>9.5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35632-2024</t>
        </is>
      </c>
      <c r="B16040" s="1" t="n">
        <v>45531</v>
      </c>
      <c r="C16040" s="1" t="n">
        <v>45736</v>
      </c>
      <c r="D16040" t="inlineStr">
        <is>
          <t>VÄRMLANDS LÄN</t>
        </is>
      </c>
      <c r="E16040" t="inlineStr">
        <is>
          <t>TORSBY</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35636-2024</t>
        </is>
      </c>
      <c r="B16041" s="1" t="n">
        <v>45531</v>
      </c>
      <c r="C16041" s="1" t="n">
        <v>45736</v>
      </c>
      <c r="D16041" t="inlineStr">
        <is>
          <t>VÄRMLANDS LÄN</t>
        </is>
      </c>
      <c r="E16041" t="inlineStr">
        <is>
          <t>SUNNE</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35702-2024</t>
        </is>
      </c>
      <c r="B16042" s="1" t="n">
        <v>45532</v>
      </c>
      <c r="C16042" s="1" t="n">
        <v>45736</v>
      </c>
      <c r="D16042" t="inlineStr">
        <is>
          <t>VÄRMLANDS LÄN</t>
        </is>
      </c>
      <c r="E16042" t="inlineStr">
        <is>
          <t>EDA</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35714-2024</t>
        </is>
      </c>
      <c r="B16043" s="1" t="n">
        <v>45532</v>
      </c>
      <c r="C16043" s="1" t="n">
        <v>45736</v>
      </c>
      <c r="D16043" t="inlineStr">
        <is>
          <t>VÄRMLANDS LÄN</t>
        </is>
      </c>
      <c r="E16043" t="inlineStr">
        <is>
          <t>SUNNE</t>
        </is>
      </c>
      <c r="G16043" t="n">
        <v>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35654-2024</t>
        </is>
      </c>
      <c r="B16044" s="1" t="n">
        <v>45532</v>
      </c>
      <c r="C16044" s="1" t="n">
        <v>45736</v>
      </c>
      <c r="D16044" t="inlineStr">
        <is>
          <t>VÄRMLANDS LÄN</t>
        </is>
      </c>
      <c r="E16044" t="inlineStr">
        <is>
          <t>FORSHAGA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35722-2024</t>
        </is>
      </c>
      <c r="B16045" s="1" t="n">
        <v>45532</v>
      </c>
      <c r="C16045" s="1" t="n">
        <v>45736</v>
      </c>
      <c r="D16045" t="inlineStr">
        <is>
          <t>VÄRMLANDS LÄN</t>
        </is>
      </c>
      <c r="E16045" t="inlineStr">
        <is>
          <t>EDA</t>
        </is>
      </c>
      <c r="G16045" t="n">
        <v>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35705-2024</t>
        </is>
      </c>
      <c r="B16046" s="1" t="n">
        <v>45532</v>
      </c>
      <c r="C16046" s="1" t="n">
        <v>45736</v>
      </c>
      <c r="D16046" t="inlineStr">
        <is>
          <t>VÄRMLANDS LÄN</t>
        </is>
      </c>
      <c r="E16046" t="inlineStr">
        <is>
          <t>EDA</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35762-2024</t>
        </is>
      </c>
      <c r="B16047" s="1" t="n">
        <v>45532</v>
      </c>
      <c r="C16047" s="1" t="n">
        <v>45736</v>
      </c>
      <c r="D16047" t="inlineStr">
        <is>
          <t>VÄRMLANDS LÄN</t>
        </is>
      </c>
      <c r="E16047" t="inlineStr">
        <is>
          <t>TORSBY</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35774-2024</t>
        </is>
      </c>
      <c r="B16048" s="1" t="n">
        <v>45532</v>
      </c>
      <c r="C16048" s="1" t="n">
        <v>45736</v>
      </c>
      <c r="D16048" t="inlineStr">
        <is>
          <t>VÄRMLANDS LÄN</t>
        </is>
      </c>
      <c r="E16048" t="inlineStr">
        <is>
          <t>TORSBY</t>
        </is>
      </c>
      <c r="G16048" t="n">
        <v>7.1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35775-2024</t>
        </is>
      </c>
      <c r="B16049" s="1" t="n">
        <v>45532</v>
      </c>
      <c r="C16049" s="1" t="n">
        <v>45736</v>
      </c>
      <c r="D16049" t="inlineStr">
        <is>
          <t>VÄRMLANDS LÄN</t>
        </is>
      </c>
      <c r="E16049" t="inlineStr">
        <is>
          <t>HAGFORS</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35787-2024</t>
        </is>
      </c>
      <c r="B16050" s="1" t="n">
        <v>45532</v>
      </c>
      <c r="C16050" s="1" t="n">
        <v>45736</v>
      </c>
      <c r="D16050" t="inlineStr">
        <is>
          <t>VÄRMLANDS LÄN</t>
        </is>
      </c>
      <c r="E16050" t="inlineStr">
        <is>
          <t>TORSBY</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35791-2024</t>
        </is>
      </c>
      <c r="B16051" s="1" t="n">
        <v>45532</v>
      </c>
      <c r="C16051" s="1" t="n">
        <v>45736</v>
      </c>
      <c r="D16051" t="inlineStr">
        <is>
          <t>VÄRMLANDS LÄN</t>
        </is>
      </c>
      <c r="E16051" t="inlineStr">
        <is>
          <t>ARVIKA</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35799-2024</t>
        </is>
      </c>
      <c r="B16052" s="1" t="n">
        <v>45532</v>
      </c>
      <c r="C16052" s="1" t="n">
        <v>45736</v>
      </c>
      <c r="D16052" t="inlineStr">
        <is>
          <t>VÄRMLANDS LÄN</t>
        </is>
      </c>
      <c r="E16052" t="inlineStr">
        <is>
          <t>ARVIKA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35806-2024</t>
        </is>
      </c>
      <c r="B16053" s="1" t="n">
        <v>45532</v>
      </c>
      <c r="C16053" s="1" t="n">
        <v>45736</v>
      </c>
      <c r="D16053" t="inlineStr">
        <is>
          <t>VÄRMLANDS LÄN</t>
        </is>
      </c>
      <c r="E16053" t="inlineStr">
        <is>
          <t>ARVIKA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35769-2024</t>
        </is>
      </c>
      <c r="B16054" s="1" t="n">
        <v>45532</v>
      </c>
      <c r="C16054" s="1" t="n">
        <v>45736</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35777-2024</t>
        </is>
      </c>
      <c r="B16055" s="1" t="n">
        <v>45532</v>
      </c>
      <c r="C16055" s="1" t="n">
        <v>45736</v>
      </c>
      <c r="D16055" t="inlineStr">
        <is>
          <t>VÄRMLANDS LÄN</t>
        </is>
      </c>
      <c r="E16055" t="inlineStr">
        <is>
          <t>TORSBY</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35482-2024</t>
        </is>
      </c>
      <c r="B16056" s="1" t="n">
        <v>45533</v>
      </c>
      <c r="C16056" s="1" t="n">
        <v>45736</v>
      </c>
      <c r="D16056" t="inlineStr">
        <is>
          <t>VÄRMLANDS LÄN</t>
        </is>
      </c>
      <c r="E16056" t="inlineStr">
        <is>
          <t>ÅRJÄNG</t>
        </is>
      </c>
      <c r="G16056" t="n">
        <v>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35912-2024</t>
        </is>
      </c>
      <c r="B16057" s="1" t="n">
        <v>45533</v>
      </c>
      <c r="C16057" s="1" t="n">
        <v>45736</v>
      </c>
      <c r="D16057" t="inlineStr">
        <is>
          <t>VÄRMLANDS LÄN</t>
        </is>
      </c>
      <c r="E16057" t="inlineStr">
        <is>
          <t>FORSHAGA</t>
        </is>
      </c>
      <c r="G16057" t="n">
        <v>7.1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35920-2024</t>
        </is>
      </c>
      <c r="B16058" s="1" t="n">
        <v>45533</v>
      </c>
      <c r="C16058" s="1" t="n">
        <v>45736</v>
      </c>
      <c r="D16058" t="inlineStr">
        <is>
          <t>VÄRMLANDS LÄN</t>
        </is>
      </c>
      <c r="E16058" t="inlineStr">
        <is>
          <t>HAGFORS</t>
        </is>
      </c>
      <c r="F16058" t="inlineStr">
        <is>
          <t>Bergvik skog väst AB</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35924-2024</t>
        </is>
      </c>
      <c r="B16059" s="1" t="n">
        <v>45533</v>
      </c>
      <c r="C16059" s="1" t="n">
        <v>45736</v>
      </c>
      <c r="D16059" t="inlineStr">
        <is>
          <t>VÄRMLANDS LÄN</t>
        </is>
      </c>
      <c r="E16059" t="inlineStr">
        <is>
          <t>SUNNE</t>
        </is>
      </c>
      <c r="G16059" t="n">
        <v>8.5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35878-2024</t>
        </is>
      </c>
      <c r="B16060" s="1" t="n">
        <v>45533</v>
      </c>
      <c r="C16060" s="1" t="n">
        <v>45736</v>
      </c>
      <c r="D16060" t="inlineStr">
        <is>
          <t>VÄRMLANDS LÄN</t>
        </is>
      </c>
      <c r="E16060" t="inlineStr">
        <is>
          <t>EDA</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35922-2024</t>
        </is>
      </c>
      <c r="B16061" s="1" t="n">
        <v>45533</v>
      </c>
      <c r="C16061" s="1" t="n">
        <v>45736</v>
      </c>
      <c r="D16061" t="inlineStr">
        <is>
          <t>VÄRMLANDS LÄN</t>
        </is>
      </c>
      <c r="E16061" t="inlineStr">
        <is>
          <t>ARVIKA</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35899-2024</t>
        </is>
      </c>
      <c r="B16062" s="1" t="n">
        <v>45533</v>
      </c>
      <c r="C16062" s="1" t="n">
        <v>45736</v>
      </c>
      <c r="D16062" t="inlineStr">
        <is>
          <t>VÄRMLANDS LÄN</t>
        </is>
      </c>
      <c r="E16062" t="inlineStr">
        <is>
          <t>ARVIKA</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35994-2024</t>
        </is>
      </c>
      <c r="B16063" s="1" t="n">
        <v>45533</v>
      </c>
      <c r="C16063" s="1" t="n">
        <v>45736</v>
      </c>
      <c r="D16063" t="inlineStr">
        <is>
          <t>VÄRMLANDS LÄN</t>
        </is>
      </c>
      <c r="E16063" t="inlineStr">
        <is>
          <t>HAGFORS</t>
        </is>
      </c>
      <c r="F16063" t="inlineStr">
        <is>
          <t>Bergvik skog väst AB</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36002-2024</t>
        </is>
      </c>
      <c r="B16064" s="1" t="n">
        <v>45533</v>
      </c>
      <c r="C16064" s="1" t="n">
        <v>45736</v>
      </c>
      <c r="D16064" t="inlineStr">
        <is>
          <t>VÄRMLANDS LÄN</t>
        </is>
      </c>
      <c r="E16064" t="inlineStr">
        <is>
          <t>ARVIKA</t>
        </is>
      </c>
      <c r="F16064" t="inlineStr">
        <is>
          <t>Kommuner</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36018-2024</t>
        </is>
      </c>
      <c r="B16065" s="1" t="n">
        <v>45533</v>
      </c>
      <c r="C16065" s="1" t="n">
        <v>45736</v>
      </c>
      <c r="D16065" t="inlineStr">
        <is>
          <t>VÄRMLANDS LÄN</t>
        </is>
      </c>
      <c r="E16065" t="inlineStr">
        <is>
          <t>ÅRJÄNG</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36026-2024</t>
        </is>
      </c>
      <c r="B16066" s="1" t="n">
        <v>45533</v>
      </c>
      <c r="C16066" s="1" t="n">
        <v>45736</v>
      </c>
      <c r="D16066" t="inlineStr">
        <is>
          <t>VÄRMLANDS LÄN</t>
        </is>
      </c>
      <c r="E16066" t="inlineStr">
        <is>
          <t>KRISTINEHAMN</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35967-2024</t>
        </is>
      </c>
      <c r="B16067" s="1" t="n">
        <v>45533</v>
      </c>
      <c r="C16067" s="1" t="n">
        <v>45736</v>
      </c>
      <c r="D16067" t="inlineStr">
        <is>
          <t>VÄRMLANDS LÄN</t>
        </is>
      </c>
      <c r="E16067" t="inlineStr">
        <is>
          <t>TORSBY</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36023-2024</t>
        </is>
      </c>
      <c r="B16068" s="1" t="n">
        <v>45533</v>
      </c>
      <c r="C16068" s="1" t="n">
        <v>45736</v>
      </c>
      <c r="D16068" t="inlineStr">
        <is>
          <t>VÄRMLANDS LÄN</t>
        </is>
      </c>
      <c r="E16068" t="inlineStr">
        <is>
          <t>MUNKFORS</t>
        </is>
      </c>
      <c r="F16068" t="inlineStr">
        <is>
          <t>Bergvik skog väst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36035-2024</t>
        </is>
      </c>
      <c r="B16069" s="1" t="n">
        <v>45533</v>
      </c>
      <c r="C16069" s="1" t="n">
        <v>45736</v>
      </c>
      <c r="D16069" t="inlineStr">
        <is>
          <t>VÄRMLANDS LÄN</t>
        </is>
      </c>
      <c r="E16069" t="inlineStr">
        <is>
          <t>ÅRJÄNG</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35940-2024</t>
        </is>
      </c>
      <c r="B16070" s="1" t="n">
        <v>45533</v>
      </c>
      <c r="C16070" s="1" t="n">
        <v>45736</v>
      </c>
      <c r="D16070" t="inlineStr">
        <is>
          <t>VÄRMLANDS LÄN</t>
        </is>
      </c>
      <c r="E16070" t="inlineStr">
        <is>
          <t>FORSHAGA</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35981-2024</t>
        </is>
      </c>
      <c r="B16071" s="1" t="n">
        <v>45533</v>
      </c>
      <c r="C16071" s="1" t="n">
        <v>45736</v>
      </c>
      <c r="D16071" t="inlineStr">
        <is>
          <t>VÄRMLANDS LÄN</t>
        </is>
      </c>
      <c r="E16071" t="inlineStr">
        <is>
          <t>HAGFORS</t>
        </is>
      </c>
      <c r="F16071" t="inlineStr">
        <is>
          <t>Bergvik skog väst AB</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36017-2024</t>
        </is>
      </c>
      <c r="B16072" s="1" t="n">
        <v>45533</v>
      </c>
      <c r="C16072" s="1" t="n">
        <v>45736</v>
      </c>
      <c r="D16072" t="inlineStr">
        <is>
          <t>VÄRMLANDS LÄN</t>
        </is>
      </c>
      <c r="E16072" t="inlineStr">
        <is>
          <t>ÅRJÄNG</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36025-2024</t>
        </is>
      </c>
      <c r="B16073" s="1" t="n">
        <v>45533</v>
      </c>
      <c r="C16073" s="1" t="n">
        <v>45736</v>
      </c>
      <c r="D16073" t="inlineStr">
        <is>
          <t>VÄRMLANDS LÄN</t>
        </is>
      </c>
      <c r="E16073" t="inlineStr">
        <is>
          <t>ARVIKA</t>
        </is>
      </c>
      <c r="F16073" t="inlineStr">
        <is>
          <t>Bergvik skog väst AB</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36057-2024</t>
        </is>
      </c>
      <c r="B16074" s="1" t="n">
        <v>45533</v>
      </c>
      <c r="C16074" s="1" t="n">
        <v>45736</v>
      </c>
      <c r="D16074" t="inlineStr">
        <is>
          <t>VÄRMLANDS LÄN</t>
        </is>
      </c>
      <c r="E16074" t="inlineStr">
        <is>
          <t>TORSBY</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36016-2024</t>
        </is>
      </c>
      <c r="B16075" s="1" t="n">
        <v>45533</v>
      </c>
      <c r="C16075" s="1" t="n">
        <v>45736</v>
      </c>
      <c r="D16075" t="inlineStr">
        <is>
          <t>VÄRMLANDS LÄN</t>
        </is>
      </c>
      <c r="E16075" t="inlineStr">
        <is>
          <t>ÅRJÄNG</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36024-2024</t>
        </is>
      </c>
      <c r="B16076" s="1" t="n">
        <v>45533</v>
      </c>
      <c r="C16076" s="1" t="n">
        <v>45736</v>
      </c>
      <c r="D16076" t="inlineStr">
        <is>
          <t>VÄRMLANDS LÄN</t>
        </is>
      </c>
      <c r="E16076" t="inlineStr">
        <is>
          <t>MUNKFORS</t>
        </is>
      </c>
      <c r="F16076" t="inlineStr">
        <is>
          <t>Bergvik skog väst AB</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36072-2024</t>
        </is>
      </c>
      <c r="B16077" s="1" t="n">
        <v>45533</v>
      </c>
      <c r="C16077" s="1" t="n">
        <v>45736</v>
      </c>
      <c r="D16077" t="inlineStr">
        <is>
          <t>VÄRMLANDS LÄN</t>
        </is>
      </c>
      <c r="E16077" t="inlineStr">
        <is>
          <t>KARLSTAD</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36091-2024</t>
        </is>
      </c>
      <c r="B16078" s="1" t="n">
        <v>45533</v>
      </c>
      <c r="C16078" s="1" t="n">
        <v>45736</v>
      </c>
      <c r="D16078" t="inlineStr">
        <is>
          <t>VÄRMLANDS LÄN</t>
        </is>
      </c>
      <c r="E16078" t="inlineStr">
        <is>
          <t>ARVIKA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36094-2024</t>
        </is>
      </c>
      <c r="B16079" s="1" t="n">
        <v>45533</v>
      </c>
      <c r="C16079" s="1" t="n">
        <v>45736</v>
      </c>
      <c r="D16079" t="inlineStr">
        <is>
          <t>VÄRMLANDS LÄN</t>
        </is>
      </c>
      <c r="E16079" t="inlineStr">
        <is>
          <t>ARVIKA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36153-2024</t>
        </is>
      </c>
      <c r="B16080" s="1" t="n">
        <v>45534</v>
      </c>
      <c r="C16080" s="1" t="n">
        <v>45736</v>
      </c>
      <c r="D16080" t="inlineStr">
        <is>
          <t>VÄRMLANDS LÄN</t>
        </is>
      </c>
      <c r="E16080" t="inlineStr">
        <is>
          <t>TORSBY</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36143-2024</t>
        </is>
      </c>
      <c r="B16081" s="1" t="n">
        <v>45534</v>
      </c>
      <c r="C16081" s="1" t="n">
        <v>45736</v>
      </c>
      <c r="D16081" t="inlineStr">
        <is>
          <t>VÄRMLANDS LÄN</t>
        </is>
      </c>
      <c r="E16081" t="inlineStr">
        <is>
          <t>HAGFORS</t>
        </is>
      </c>
      <c r="F16081" t="inlineStr">
        <is>
          <t>Bergvik skog väst AB</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36151-2024</t>
        </is>
      </c>
      <c r="B16082" s="1" t="n">
        <v>45534</v>
      </c>
      <c r="C16082" s="1" t="n">
        <v>45736</v>
      </c>
      <c r="D16082" t="inlineStr">
        <is>
          <t>VÄRMLANDS LÄN</t>
        </is>
      </c>
      <c r="E16082" t="inlineStr">
        <is>
          <t>ÅRJÄNG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36175-2024</t>
        </is>
      </c>
      <c r="B16083" s="1" t="n">
        <v>45534</v>
      </c>
      <c r="C16083" s="1" t="n">
        <v>45736</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36231-2024</t>
        </is>
      </c>
      <c r="B16084" s="1" t="n">
        <v>45534</v>
      </c>
      <c r="C16084" s="1" t="n">
        <v>45736</v>
      </c>
      <c r="D16084" t="inlineStr">
        <is>
          <t>VÄRMLANDS LÄN</t>
        </is>
      </c>
      <c r="E16084" t="inlineStr">
        <is>
          <t>SÄFFLE</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36243-2024</t>
        </is>
      </c>
      <c r="B16085" s="1" t="n">
        <v>45534</v>
      </c>
      <c r="C16085" s="1" t="n">
        <v>45736</v>
      </c>
      <c r="D16085" t="inlineStr">
        <is>
          <t>VÄRMLANDS LÄN</t>
        </is>
      </c>
      <c r="E16085" t="inlineStr">
        <is>
          <t>HAGFORS</t>
        </is>
      </c>
      <c r="F16085" t="inlineStr">
        <is>
          <t>Bergvik skog väst AB</t>
        </is>
      </c>
      <c r="G16085" t="n">
        <v>22.1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36251-2024</t>
        </is>
      </c>
      <c r="B16086" s="1" t="n">
        <v>45534</v>
      </c>
      <c r="C16086" s="1" t="n">
        <v>45736</v>
      </c>
      <c r="D16086" t="inlineStr">
        <is>
          <t>VÄRMLANDS LÄN</t>
        </is>
      </c>
      <c r="E16086" t="inlineStr">
        <is>
          <t>ARVIKA</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36221-2024</t>
        </is>
      </c>
      <c r="B16087" s="1" t="n">
        <v>45534</v>
      </c>
      <c r="C16087" s="1" t="n">
        <v>45736</v>
      </c>
      <c r="D16087" t="inlineStr">
        <is>
          <t>VÄRMLANDS LÄN</t>
        </is>
      </c>
      <c r="E16087" t="inlineStr">
        <is>
          <t>SUNNE</t>
        </is>
      </c>
      <c r="F16087" t="inlineStr">
        <is>
          <t>Bergvik skog väst AB</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36118-2024</t>
        </is>
      </c>
      <c r="B16088" s="1" t="n">
        <v>45534</v>
      </c>
      <c r="C16088" s="1" t="n">
        <v>45736</v>
      </c>
      <c r="D16088" t="inlineStr">
        <is>
          <t>VÄRMLANDS LÄN</t>
        </is>
      </c>
      <c r="E16088" t="inlineStr">
        <is>
          <t>KARLSTAD</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36146-2024</t>
        </is>
      </c>
      <c r="B16089" s="1" t="n">
        <v>45534</v>
      </c>
      <c r="C16089" s="1" t="n">
        <v>45736</v>
      </c>
      <c r="D16089" t="inlineStr">
        <is>
          <t>VÄRMLANDS LÄN</t>
        </is>
      </c>
      <c r="E16089" t="inlineStr">
        <is>
          <t>HAGFORS</t>
        </is>
      </c>
      <c r="F16089" t="inlineStr">
        <is>
          <t>Bergvik skog väst AB</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36233-2024</t>
        </is>
      </c>
      <c r="B16090" s="1" t="n">
        <v>45534</v>
      </c>
      <c r="C16090" s="1" t="n">
        <v>45736</v>
      </c>
      <c r="D16090" t="inlineStr">
        <is>
          <t>VÄRMLANDS LÄN</t>
        </is>
      </c>
      <c r="E16090" t="inlineStr">
        <is>
          <t>SUNNE</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36282-2024</t>
        </is>
      </c>
      <c r="B16091" s="1" t="n">
        <v>45534</v>
      </c>
      <c r="C16091" s="1" t="n">
        <v>45736</v>
      </c>
      <c r="D16091" t="inlineStr">
        <is>
          <t>VÄRMLANDS LÄN</t>
        </is>
      </c>
      <c r="E16091" t="inlineStr">
        <is>
          <t>ÅRJÄNG</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36294-2024</t>
        </is>
      </c>
      <c r="B16092" s="1" t="n">
        <v>45534</v>
      </c>
      <c r="C16092" s="1" t="n">
        <v>45736</v>
      </c>
      <c r="D16092" t="inlineStr">
        <is>
          <t>VÄRMLANDS LÄN</t>
        </is>
      </c>
      <c r="E16092" t="inlineStr">
        <is>
          <t>HAGFORS</t>
        </is>
      </c>
      <c r="F16092" t="inlineStr">
        <is>
          <t>Bergvik skog väst AB</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36206-2024</t>
        </is>
      </c>
      <c r="B16093" s="1" t="n">
        <v>45534</v>
      </c>
      <c r="C16093" s="1" t="n">
        <v>45736</v>
      </c>
      <c r="D16093" t="inlineStr">
        <is>
          <t>VÄRMLANDS LÄN</t>
        </is>
      </c>
      <c r="E16093" t="inlineStr">
        <is>
          <t>HAGFORS</t>
        </is>
      </c>
      <c r="F16093" t="inlineStr">
        <is>
          <t>Bergvik skog väst AB</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36303-2024</t>
        </is>
      </c>
      <c r="B16094" s="1" t="n">
        <v>45534</v>
      </c>
      <c r="C16094" s="1" t="n">
        <v>45736</v>
      </c>
      <c r="D16094" t="inlineStr">
        <is>
          <t>VÄRMLANDS LÄN</t>
        </is>
      </c>
      <c r="E16094" t="inlineStr">
        <is>
          <t>ARVIKA</t>
        </is>
      </c>
      <c r="G16094" t="n">
        <v>0</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36288-2024</t>
        </is>
      </c>
      <c r="B16095" s="1" t="n">
        <v>45534</v>
      </c>
      <c r="C16095" s="1" t="n">
        <v>45736</v>
      </c>
      <c r="D16095" t="inlineStr">
        <is>
          <t>VÄRMLANDS LÄN</t>
        </is>
      </c>
      <c r="E16095" t="inlineStr">
        <is>
          <t>HAGFORS</t>
        </is>
      </c>
      <c r="F16095" t="inlineStr">
        <is>
          <t>Bergvik skog väst AB</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36184-2024</t>
        </is>
      </c>
      <c r="B16096" s="1" t="n">
        <v>45534</v>
      </c>
      <c r="C16096" s="1" t="n">
        <v>45736</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36200-2024</t>
        </is>
      </c>
      <c r="B16097" s="1" t="n">
        <v>45534</v>
      </c>
      <c r="C16097" s="1" t="n">
        <v>45736</v>
      </c>
      <c r="D16097" t="inlineStr">
        <is>
          <t>VÄRMLANDS LÄN</t>
        </is>
      </c>
      <c r="E16097" t="inlineStr">
        <is>
          <t>SÄFFLE</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36208-2024</t>
        </is>
      </c>
      <c r="B16098" s="1" t="n">
        <v>45534</v>
      </c>
      <c r="C16098" s="1" t="n">
        <v>45736</v>
      </c>
      <c r="D16098" t="inlineStr">
        <is>
          <t>VÄRMLANDS LÄN</t>
        </is>
      </c>
      <c r="E16098" t="inlineStr">
        <is>
          <t>SÄFFLE</t>
        </is>
      </c>
      <c r="F16098" t="inlineStr">
        <is>
          <t>Kyrkan</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36228-2024</t>
        </is>
      </c>
      <c r="B16099" s="1" t="n">
        <v>45534</v>
      </c>
      <c r="C16099" s="1" t="n">
        <v>45736</v>
      </c>
      <c r="D16099" t="inlineStr">
        <is>
          <t>VÄRMLANDS LÄN</t>
        </is>
      </c>
      <c r="E16099" t="inlineStr">
        <is>
          <t>HAGFORS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36377-2024</t>
        </is>
      </c>
      <c r="B16100" s="1" t="n">
        <v>45534</v>
      </c>
      <c r="C16100" s="1" t="n">
        <v>45736</v>
      </c>
      <c r="D16100" t="inlineStr">
        <is>
          <t>VÄRMLANDS LÄN</t>
        </is>
      </c>
      <c r="E16100" t="inlineStr">
        <is>
          <t>ÅRJÄNG</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36418-2024</t>
        </is>
      </c>
      <c r="B16101" s="1" t="n">
        <v>45536</v>
      </c>
      <c r="C16101" s="1" t="n">
        <v>45736</v>
      </c>
      <c r="D16101" t="inlineStr">
        <is>
          <t>VÄRMLANDS LÄN</t>
        </is>
      </c>
      <c r="E16101" t="inlineStr">
        <is>
          <t>ARVIKA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36419-2024</t>
        </is>
      </c>
      <c r="B16102" s="1" t="n">
        <v>45536</v>
      </c>
      <c r="C16102" s="1" t="n">
        <v>45736</v>
      </c>
      <c r="D16102" t="inlineStr">
        <is>
          <t>VÄRMLANDS LÄN</t>
        </is>
      </c>
      <c r="E16102" t="inlineStr">
        <is>
          <t>TORSBY</t>
        </is>
      </c>
      <c r="G16102" t="n">
        <v>8.9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36514-2024</t>
        </is>
      </c>
      <c r="B16103" s="1" t="n">
        <v>45537</v>
      </c>
      <c r="C16103" s="1" t="n">
        <v>45736</v>
      </c>
      <c r="D16103" t="inlineStr">
        <is>
          <t>VÄRMLANDS LÄN</t>
        </is>
      </c>
      <c r="E16103" t="inlineStr">
        <is>
          <t>ARVIKA</t>
        </is>
      </c>
      <c r="F16103" t="inlineStr">
        <is>
          <t>Bergvik skog väst AB</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36558-2024</t>
        </is>
      </c>
      <c r="B16104" s="1" t="n">
        <v>45537</v>
      </c>
      <c r="C16104" s="1" t="n">
        <v>45736</v>
      </c>
      <c r="D16104" t="inlineStr">
        <is>
          <t>VÄRMLANDS LÄN</t>
        </is>
      </c>
      <c r="E16104" t="inlineStr">
        <is>
          <t>TORSBY</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36578-2024</t>
        </is>
      </c>
      <c r="B16105" s="1" t="n">
        <v>45537</v>
      </c>
      <c r="C16105" s="1" t="n">
        <v>45736</v>
      </c>
      <c r="D16105" t="inlineStr">
        <is>
          <t>VÄRMLANDS LÄN</t>
        </is>
      </c>
      <c r="E16105" t="inlineStr">
        <is>
          <t>TORSBY</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36492-2024</t>
        </is>
      </c>
      <c r="B16106" s="1" t="n">
        <v>45537</v>
      </c>
      <c r="C16106" s="1" t="n">
        <v>45736</v>
      </c>
      <c r="D16106" t="inlineStr">
        <is>
          <t>VÄRMLANDS LÄN</t>
        </is>
      </c>
      <c r="E16106" t="inlineStr">
        <is>
          <t>HAGFORS</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36540-2024</t>
        </is>
      </c>
      <c r="B16107" s="1" t="n">
        <v>45537</v>
      </c>
      <c r="C16107" s="1" t="n">
        <v>45736</v>
      </c>
      <c r="D16107" t="inlineStr">
        <is>
          <t>VÄRMLANDS LÄN</t>
        </is>
      </c>
      <c r="E16107" t="inlineStr">
        <is>
          <t>TORSBY</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36485-2024</t>
        </is>
      </c>
      <c r="B16108" s="1" t="n">
        <v>45537</v>
      </c>
      <c r="C16108" s="1" t="n">
        <v>45736</v>
      </c>
      <c r="D16108" t="inlineStr">
        <is>
          <t>VÄRMLANDS LÄN</t>
        </is>
      </c>
      <c r="E16108" t="inlineStr">
        <is>
          <t>HAGFORS</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36592-2024</t>
        </is>
      </c>
      <c r="B16109" s="1" t="n">
        <v>45537</v>
      </c>
      <c r="C16109" s="1" t="n">
        <v>45736</v>
      </c>
      <c r="D16109" t="inlineStr">
        <is>
          <t>VÄRMLANDS LÄN</t>
        </is>
      </c>
      <c r="E16109" t="inlineStr">
        <is>
          <t>ÅRJÄNG</t>
        </is>
      </c>
      <c r="G16109" t="n">
        <v>4.4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36600-2024</t>
        </is>
      </c>
      <c r="B16110" s="1" t="n">
        <v>45537</v>
      </c>
      <c r="C16110" s="1" t="n">
        <v>45736</v>
      </c>
      <c r="D16110" t="inlineStr">
        <is>
          <t>VÄRMLANDS LÄN</t>
        </is>
      </c>
      <c r="E16110" t="inlineStr">
        <is>
          <t>FILIPSTAD</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36612-2024</t>
        </is>
      </c>
      <c r="B16111" s="1" t="n">
        <v>45537</v>
      </c>
      <c r="C16111" s="1" t="n">
        <v>45736</v>
      </c>
      <c r="D16111" t="inlineStr">
        <is>
          <t>VÄRMLANDS LÄN</t>
        </is>
      </c>
      <c r="E16111" t="inlineStr">
        <is>
          <t>EDA</t>
        </is>
      </c>
      <c r="G16111" t="n">
        <v>5.6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36557-2024</t>
        </is>
      </c>
      <c r="B16112" s="1" t="n">
        <v>45537</v>
      </c>
      <c r="C16112" s="1" t="n">
        <v>45736</v>
      </c>
      <c r="D16112" t="inlineStr">
        <is>
          <t>VÄRMLANDS LÄN</t>
        </is>
      </c>
      <c r="E16112" t="inlineStr">
        <is>
          <t>SÄFFLE</t>
        </is>
      </c>
      <c r="F16112" t="inlineStr">
        <is>
          <t>Kyrkan</t>
        </is>
      </c>
      <c r="G16112" t="n">
        <v>11.7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36445-2024</t>
        </is>
      </c>
      <c r="B16113" s="1" t="n">
        <v>45537</v>
      </c>
      <c r="C16113" s="1" t="n">
        <v>45736</v>
      </c>
      <c r="D16113" t="inlineStr">
        <is>
          <t>VÄRMLANDS LÄN</t>
        </is>
      </c>
      <c r="E16113" t="inlineStr">
        <is>
          <t>TORSBY</t>
        </is>
      </c>
      <c r="F16113" t="inlineStr">
        <is>
          <t>Bergvik skog väst AB</t>
        </is>
      </c>
      <c r="G16113" t="n">
        <v>78.3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36479-2024</t>
        </is>
      </c>
      <c r="B16114" s="1" t="n">
        <v>45537</v>
      </c>
      <c r="C16114" s="1" t="n">
        <v>45736</v>
      </c>
      <c r="D16114" t="inlineStr">
        <is>
          <t>VÄRMLANDS LÄN</t>
        </is>
      </c>
      <c r="E16114" t="inlineStr">
        <is>
          <t>ARVIKA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36543-2024</t>
        </is>
      </c>
      <c r="B16115" s="1" t="n">
        <v>45537</v>
      </c>
      <c r="C16115" s="1" t="n">
        <v>45736</v>
      </c>
      <c r="D16115" t="inlineStr">
        <is>
          <t>VÄRMLANDS LÄN</t>
        </is>
      </c>
      <c r="E16115" t="inlineStr">
        <is>
          <t>KRISTINEHAMN</t>
        </is>
      </c>
      <c r="F16115" t="inlineStr">
        <is>
          <t>Bergvik skog väst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36563-2024</t>
        </is>
      </c>
      <c r="B16116" s="1" t="n">
        <v>45537</v>
      </c>
      <c r="C16116" s="1" t="n">
        <v>45736</v>
      </c>
      <c r="D16116" t="inlineStr">
        <is>
          <t>VÄRMLANDS LÄN</t>
        </is>
      </c>
      <c r="E16116" t="inlineStr">
        <is>
          <t>ÅRJÄNG</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36587-2024</t>
        </is>
      </c>
      <c r="B16117" s="1" t="n">
        <v>45537</v>
      </c>
      <c r="C16117" s="1" t="n">
        <v>45736</v>
      </c>
      <c r="D16117" t="inlineStr">
        <is>
          <t>VÄRMLANDS LÄN</t>
        </is>
      </c>
      <c r="E16117" t="inlineStr">
        <is>
          <t>ÅRJÄNG</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36599-2024</t>
        </is>
      </c>
      <c r="B16118" s="1" t="n">
        <v>45537</v>
      </c>
      <c r="C16118" s="1" t="n">
        <v>45736</v>
      </c>
      <c r="D16118" t="inlineStr">
        <is>
          <t>VÄRMLANDS LÄN</t>
        </is>
      </c>
      <c r="E16118" t="inlineStr">
        <is>
          <t>SUNNE</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36708-2024</t>
        </is>
      </c>
      <c r="B16119" s="1" t="n">
        <v>45537</v>
      </c>
      <c r="C16119" s="1" t="n">
        <v>45736</v>
      </c>
      <c r="D16119" t="inlineStr">
        <is>
          <t>VÄRMLANDS LÄN</t>
        </is>
      </c>
      <c r="E16119" t="inlineStr">
        <is>
          <t>KRISTINEHAMN</t>
        </is>
      </c>
      <c r="G16119" t="n">
        <v>4.9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36732-2024</t>
        </is>
      </c>
      <c r="B16120" s="1" t="n">
        <v>45537</v>
      </c>
      <c r="C16120" s="1" t="n">
        <v>45736</v>
      </c>
      <c r="D16120" t="inlineStr">
        <is>
          <t>VÄRMLANDS LÄN</t>
        </is>
      </c>
      <c r="E16120" t="inlineStr">
        <is>
          <t>FILIPSTAD</t>
        </is>
      </c>
      <c r="F16120" t="inlineStr">
        <is>
          <t>Bergvik skog väst AB</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36717-2024</t>
        </is>
      </c>
      <c r="B16121" s="1" t="n">
        <v>45537</v>
      </c>
      <c r="C16121" s="1" t="n">
        <v>45736</v>
      </c>
      <c r="D16121" t="inlineStr">
        <is>
          <t>VÄRMLANDS LÄN</t>
        </is>
      </c>
      <c r="E16121" t="inlineStr">
        <is>
          <t>SUNNE</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36721-2024</t>
        </is>
      </c>
      <c r="B16122" s="1" t="n">
        <v>45537</v>
      </c>
      <c r="C16122" s="1" t="n">
        <v>45736</v>
      </c>
      <c r="D16122" t="inlineStr">
        <is>
          <t>VÄRMLANDS LÄN</t>
        </is>
      </c>
      <c r="E16122" t="inlineStr">
        <is>
          <t>SÄFFLE</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36733-2024</t>
        </is>
      </c>
      <c r="B16123" s="1" t="n">
        <v>45538</v>
      </c>
      <c r="C16123" s="1" t="n">
        <v>45736</v>
      </c>
      <c r="D16123" t="inlineStr">
        <is>
          <t>VÄRMLANDS LÄN</t>
        </is>
      </c>
      <c r="E16123" t="inlineStr">
        <is>
          <t>SÄFFLE</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36706-2024</t>
        </is>
      </c>
      <c r="B16124" s="1" t="n">
        <v>45537</v>
      </c>
      <c r="C16124" s="1" t="n">
        <v>45736</v>
      </c>
      <c r="D16124" t="inlineStr">
        <is>
          <t>VÄRMLANDS LÄN</t>
        </is>
      </c>
      <c r="E16124" t="inlineStr">
        <is>
          <t>ÅRJÄNG</t>
        </is>
      </c>
      <c r="G16124" t="n">
        <v>5.3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36718-2024</t>
        </is>
      </c>
      <c r="B16125" s="1" t="n">
        <v>45537</v>
      </c>
      <c r="C16125" s="1" t="n">
        <v>45736</v>
      </c>
      <c r="D16125" t="inlineStr">
        <is>
          <t>VÄRMLANDS LÄN</t>
        </is>
      </c>
      <c r="E16125" t="inlineStr">
        <is>
          <t>TORSBY</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36722-2024</t>
        </is>
      </c>
      <c r="B16126" s="1" t="n">
        <v>45537</v>
      </c>
      <c r="C16126" s="1" t="n">
        <v>45736</v>
      </c>
      <c r="D16126" t="inlineStr">
        <is>
          <t>VÄRMLANDS LÄN</t>
        </is>
      </c>
      <c r="E16126" t="inlineStr">
        <is>
          <t>SÄFFLE</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36734-2024</t>
        </is>
      </c>
      <c r="B16127" s="1" t="n">
        <v>45538</v>
      </c>
      <c r="C16127" s="1" t="n">
        <v>45736</v>
      </c>
      <c r="D16127" t="inlineStr">
        <is>
          <t>VÄRMLANDS LÄN</t>
        </is>
      </c>
      <c r="E16127" t="inlineStr">
        <is>
          <t>SÄFFLE</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36699-2024</t>
        </is>
      </c>
      <c r="B16128" s="1" t="n">
        <v>45537</v>
      </c>
      <c r="C16128" s="1" t="n">
        <v>45736</v>
      </c>
      <c r="D16128" t="inlineStr">
        <is>
          <t>VÄRMLANDS LÄN</t>
        </is>
      </c>
      <c r="E16128" t="inlineStr">
        <is>
          <t>SUNNE</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36765-2024</t>
        </is>
      </c>
      <c r="B16129" s="1" t="n">
        <v>45538</v>
      </c>
      <c r="C16129" s="1" t="n">
        <v>45736</v>
      </c>
      <c r="D16129" t="inlineStr">
        <is>
          <t>VÄRMLANDS LÄN</t>
        </is>
      </c>
      <c r="E16129" t="inlineStr">
        <is>
          <t>TORSBY</t>
        </is>
      </c>
      <c r="F16129" t="inlineStr">
        <is>
          <t>Bergvik skog väst AB</t>
        </is>
      </c>
      <c r="G16129" t="n">
        <v>11.8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36746-2024</t>
        </is>
      </c>
      <c r="B16130" s="1" t="n">
        <v>45538</v>
      </c>
      <c r="C16130" s="1" t="n">
        <v>45736</v>
      </c>
      <c r="D16130" t="inlineStr">
        <is>
          <t>VÄRMLANDS LÄN</t>
        </is>
      </c>
      <c r="E16130" t="inlineStr">
        <is>
          <t>SÄFFLE</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36758-2024</t>
        </is>
      </c>
      <c r="B16131" s="1" t="n">
        <v>45538</v>
      </c>
      <c r="C16131" s="1" t="n">
        <v>45736</v>
      </c>
      <c r="D16131" t="inlineStr">
        <is>
          <t>VÄRMLANDS LÄN</t>
        </is>
      </c>
      <c r="E16131" t="inlineStr">
        <is>
          <t>TORSBY</t>
        </is>
      </c>
      <c r="F16131" t="inlineStr">
        <is>
          <t>Kyrkan</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36782-2024</t>
        </is>
      </c>
      <c r="B16132" s="1" t="n">
        <v>45538</v>
      </c>
      <c r="C16132" s="1" t="n">
        <v>45736</v>
      </c>
      <c r="D16132" t="inlineStr">
        <is>
          <t>VÄRMLANDS LÄN</t>
        </is>
      </c>
      <c r="E16132" t="inlineStr">
        <is>
          <t>TORSBY</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36790-2024</t>
        </is>
      </c>
      <c r="B16133" s="1" t="n">
        <v>45538</v>
      </c>
      <c r="C16133" s="1" t="n">
        <v>45736</v>
      </c>
      <c r="D16133" t="inlineStr">
        <is>
          <t>VÄRMLANDS LÄN</t>
        </is>
      </c>
      <c r="E16133" t="inlineStr">
        <is>
          <t>TORSBY</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36795-2024</t>
        </is>
      </c>
      <c r="B16134" s="1" t="n">
        <v>45538</v>
      </c>
      <c r="C16134" s="1" t="n">
        <v>45736</v>
      </c>
      <c r="D16134" t="inlineStr">
        <is>
          <t>VÄRMLANDS LÄN</t>
        </is>
      </c>
      <c r="E16134" t="inlineStr">
        <is>
          <t>KIL</t>
        </is>
      </c>
      <c r="G16134" t="n">
        <v>9.300000000000001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36759-2024</t>
        </is>
      </c>
      <c r="B16135" s="1" t="n">
        <v>45538</v>
      </c>
      <c r="C16135" s="1" t="n">
        <v>45736</v>
      </c>
      <c r="D16135" t="inlineStr">
        <is>
          <t>VÄRMLANDS LÄN</t>
        </is>
      </c>
      <c r="E16135" t="inlineStr">
        <is>
          <t>SÄFFLE</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36775-2024</t>
        </is>
      </c>
      <c r="B16136" s="1" t="n">
        <v>45538</v>
      </c>
      <c r="C16136" s="1" t="n">
        <v>45736</v>
      </c>
      <c r="D16136" t="inlineStr">
        <is>
          <t>VÄRMLANDS LÄN</t>
        </is>
      </c>
      <c r="E16136" t="inlineStr">
        <is>
          <t>TORSBY</t>
        </is>
      </c>
      <c r="F16136" t="inlineStr">
        <is>
          <t>Kyrkan</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36822-2024</t>
        </is>
      </c>
      <c r="B16137" s="1" t="n">
        <v>45538</v>
      </c>
      <c r="C16137" s="1" t="n">
        <v>45736</v>
      </c>
      <c r="D16137" t="inlineStr">
        <is>
          <t>VÄRMLANDS LÄN</t>
        </is>
      </c>
      <c r="E16137" t="inlineStr">
        <is>
          <t>SÄFFLE</t>
        </is>
      </c>
      <c r="G16137" t="n">
        <v>9.4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36831-2024</t>
        </is>
      </c>
      <c r="B16138" s="1" t="n">
        <v>45538</v>
      </c>
      <c r="C16138" s="1" t="n">
        <v>45736</v>
      </c>
      <c r="D16138" t="inlineStr">
        <is>
          <t>VÄRMLANDS LÄN</t>
        </is>
      </c>
      <c r="E16138" t="inlineStr">
        <is>
          <t>SÄFFLE</t>
        </is>
      </c>
      <c r="G16138" t="n">
        <v>5.4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36851-2024</t>
        </is>
      </c>
      <c r="B16139" s="1" t="n">
        <v>45538</v>
      </c>
      <c r="C16139" s="1" t="n">
        <v>45736</v>
      </c>
      <c r="D16139" t="inlineStr">
        <is>
          <t>VÄRMLANDS LÄN</t>
        </is>
      </c>
      <c r="E16139" t="inlineStr">
        <is>
          <t>SUNNE</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36850-2024</t>
        </is>
      </c>
      <c r="B16140" s="1" t="n">
        <v>45538</v>
      </c>
      <c r="C16140" s="1" t="n">
        <v>45736</v>
      </c>
      <c r="D16140" t="inlineStr">
        <is>
          <t>VÄRMLANDS LÄN</t>
        </is>
      </c>
      <c r="E16140" t="inlineStr">
        <is>
          <t>TORSBY</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36879-2024</t>
        </is>
      </c>
      <c r="B16141" s="1" t="n">
        <v>45538</v>
      </c>
      <c r="C16141" s="1" t="n">
        <v>45736</v>
      </c>
      <c r="D16141" t="inlineStr">
        <is>
          <t>VÄRMLANDS LÄN</t>
        </is>
      </c>
      <c r="E16141" t="inlineStr">
        <is>
          <t>TORSBY</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36922-2024</t>
        </is>
      </c>
      <c r="B16142" s="1" t="n">
        <v>45538</v>
      </c>
      <c r="C16142" s="1" t="n">
        <v>45736</v>
      </c>
      <c r="D16142" t="inlineStr">
        <is>
          <t>VÄRMLANDS LÄN</t>
        </is>
      </c>
      <c r="E16142" t="inlineStr">
        <is>
          <t>TORSBY</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36926-2024</t>
        </is>
      </c>
      <c r="B16143" s="1" t="n">
        <v>45538</v>
      </c>
      <c r="C16143" s="1" t="n">
        <v>45736</v>
      </c>
      <c r="D16143" t="inlineStr">
        <is>
          <t>VÄRMLANDS LÄN</t>
        </is>
      </c>
      <c r="E16143" t="inlineStr">
        <is>
          <t>SUNNE</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36939-2024</t>
        </is>
      </c>
      <c r="B16144" s="1" t="n">
        <v>45538</v>
      </c>
      <c r="C16144" s="1" t="n">
        <v>45736</v>
      </c>
      <c r="D16144" t="inlineStr">
        <is>
          <t>VÄRMLANDS LÄN</t>
        </is>
      </c>
      <c r="E16144" t="inlineStr">
        <is>
          <t>TORSBY</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36917-2024</t>
        </is>
      </c>
      <c r="B16145" s="1" t="n">
        <v>45538</v>
      </c>
      <c r="C16145" s="1" t="n">
        <v>45736</v>
      </c>
      <c r="D16145" t="inlineStr">
        <is>
          <t>VÄRMLANDS LÄN</t>
        </is>
      </c>
      <c r="E16145" t="inlineStr">
        <is>
          <t>TORSBY</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36964-2024</t>
        </is>
      </c>
      <c r="B16146" s="1" t="n">
        <v>45538</v>
      </c>
      <c r="C16146" s="1" t="n">
        <v>45736</v>
      </c>
      <c r="D16146" t="inlineStr">
        <is>
          <t>VÄRMLANDS LÄN</t>
        </is>
      </c>
      <c r="E16146" t="inlineStr">
        <is>
          <t>TORSBY</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36903-2024</t>
        </is>
      </c>
      <c r="B16147" s="1" t="n">
        <v>45538</v>
      </c>
      <c r="C16147" s="1" t="n">
        <v>45736</v>
      </c>
      <c r="D16147" t="inlineStr">
        <is>
          <t>VÄRMLANDS LÄN</t>
        </is>
      </c>
      <c r="E16147" t="inlineStr">
        <is>
          <t>ARVIKA</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36904-2024</t>
        </is>
      </c>
      <c r="B16148" s="1" t="n">
        <v>45538</v>
      </c>
      <c r="C16148" s="1" t="n">
        <v>45736</v>
      </c>
      <c r="D16148" t="inlineStr">
        <is>
          <t>VÄRMLANDS LÄN</t>
        </is>
      </c>
      <c r="E16148" t="inlineStr">
        <is>
          <t>SÄFFLE</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36971-2024</t>
        </is>
      </c>
      <c r="B16149" s="1" t="n">
        <v>45538</v>
      </c>
      <c r="C16149" s="1" t="n">
        <v>45736</v>
      </c>
      <c r="D16149" t="inlineStr">
        <is>
          <t>VÄRMLANDS LÄN</t>
        </is>
      </c>
      <c r="E16149" t="inlineStr">
        <is>
          <t>KIL</t>
        </is>
      </c>
      <c r="G16149" t="n">
        <v>17.9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37144-2024</t>
        </is>
      </c>
      <c r="B16150" s="1" t="n">
        <v>45538</v>
      </c>
      <c r="C16150" s="1" t="n">
        <v>45736</v>
      </c>
      <c r="D16150" t="inlineStr">
        <is>
          <t>VÄRMLANDS LÄN</t>
        </is>
      </c>
      <c r="E16150" t="inlineStr">
        <is>
          <t>ARVIKA</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37119-2024</t>
        </is>
      </c>
      <c r="B16151" s="1" t="n">
        <v>45539</v>
      </c>
      <c r="C16151" s="1" t="n">
        <v>45736</v>
      </c>
      <c r="D16151" t="inlineStr">
        <is>
          <t>VÄRMLANDS LÄN</t>
        </is>
      </c>
      <c r="E16151" t="inlineStr">
        <is>
          <t>GRUMS</t>
        </is>
      </c>
      <c r="G16151" t="n">
        <v>6.7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37060-2024</t>
        </is>
      </c>
      <c r="B16152" s="1" t="n">
        <v>45539</v>
      </c>
      <c r="C16152" s="1" t="n">
        <v>45736</v>
      </c>
      <c r="D16152" t="inlineStr">
        <is>
          <t>VÄRMLANDS LÄN</t>
        </is>
      </c>
      <c r="E16152" t="inlineStr">
        <is>
          <t>SUNNE</t>
        </is>
      </c>
      <c r="F16152" t="inlineStr">
        <is>
          <t>Bergvik skog väst AB</t>
        </is>
      </c>
      <c r="G16152" t="n">
        <v>15.2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37104-2024</t>
        </is>
      </c>
      <c r="B16153" s="1" t="n">
        <v>45539</v>
      </c>
      <c r="C16153" s="1" t="n">
        <v>45736</v>
      </c>
      <c r="D16153" t="inlineStr">
        <is>
          <t>VÄRMLANDS LÄN</t>
        </is>
      </c>
      <c r="E16153" t="inlineStr">
        <is>
          <t>FILIPSTAD</t>
        </is>
      </c>
      <c r="F16153" t="inlineStr">
        <is>
          <t>Bergvik skog väst AB</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37029-2024</t>
        </is>
      </c>
      <c r="B16154" s="1" t="n">
        <v>45539</v>
      </c>
      <c r="C16154" s="1" t="n">
        <v>45736</v>
      </c>
      <c r="D16154" t="inlineStr">
        <is>
          <t>VÄRMLANDS LÄN</t>
        </is>
      </c>
      <c r="E16154" t="inlineStr">
        <is>
          <t>ÅRJÄNG</t>
        </is>
      </c>
      <c r="G16154" t="n">
        <v>4.7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37078-2024</t>
        </is>
      </c>
      <c r="B16155" s="1" t="n">
        <v>45539</v>
      </c>
      <c r="C16155" s="1" t="n">
        <v>45736</v>
      </c>
      <c r="D16155" t="inlineStr">
        <is>
          <t>VÄRMLANDS LÄN</t>
        </is>
      </c>
      <c r="E16155" t="inlineStr">
        <is>
          <t>FILIPSTAD</t>
        </is>
      </c>
      <c r="F16155" t="inlineStr">
        <is>
          <t>Bergvik skog väst AB</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37102-2024</t>
        </is>
      </c>
      <c r="B16156" s="1" t="n">
        <v>45539</v>
      </c>
      <c r="C16156" s="1" t="n">
        <v>45736</v>
      </c>
      <c r="D16156" t="inlineStr">
        <is>
          <t>VÄRMLANDS LÄN</t>
        </is>
      </c>
      <c r="E16156" t="inlineStr">
        <is>
          <t>KARLSTAD</t>
        </is>
      </c>
      <c r="F16156" t="inlineStr">
        <is>
          <t>Bergvik skog väst AB</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37118-2024</t>
        </is>
      </c>
      <c r="B16157" s="1" t="n">
        <v>45539</v>
      </c>
      <c r="C16157" s="1" t="n">
        <v>45736</v>
      </c>
      <c r="D16157" t="inlineStr">
        <is>
          <t>VÄRMLANDS LÄN</t>
        </is>
      </c>
      <c r="E16157" t="inlineStr">
        <is>
          <t>GRUMS</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37138-2024</t>
        </is>
      </c>
      <c r="B16158" s="1" t="n">
        <v>45539</v>
      </c>
      <c r="C16158" s="1" t="n">
        <v>45736</v>
      </c>
      <c r="D16158" t="inlineStr">
        <is>
          <t>VÄRMLANDS LÄN</t>
        </is>
      </c>
      <c r="E16158" t="inlineStr">
        <is>
          <t>HAGFORS</t>
        </is>
      </c>
      <c r="F16158" t="inlineStr">
        <is>
          <t>Bergvik skog väst AB</t>
        </is>
      </c>
      <c r="G16158" t="n">
        <v>45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37040-2024</t>
        </is>
      </c>
      <c r="B16159" s="1" t="n">
        <v>45539</v>
      </c>
      <c r="C16159" s="1" t="n">
        <v>45736</v>
      </c>
      <c r="D16159" t="inlineStr">
        <is>
          <t>VÄRMLANDS LÄN</t>
        </is>
      </c>
      <c r="E16159" t="inlineStr">
        <is>
          <t>MUNKFORS</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37109-2024</t>
        </is>
      </c>
      <c r="B16160" s="1" t="n">
        <v>45539</v>
      </c>
      <c r="C16160" s="1" t="n">
        <v>45736</v>
      </c>
      <c r="D16160" t="inlineStr">
        <is>
          <t>VÄRMLANDS LÄN</t>
        </is>
      </c>
      <c r="E16160" t="inlineStr">
        <is>
          <t>ARVIKA</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37121-2024</t>
        </is>
      </c>
      <c r="B16161" s="1" t="n">
        <v>45539</v>
      </c>
      <c r="C16161" s="1" t="n">
        <v>45736</v>
      </c>
      <c r="D16161" t="inlineStr">
        <is>
          <t>VÄRMLANDS LÄN</t>
        </is>
      </c>
      <c r="E16161" t="inlineStr">
        <is>
          <t>ARVIKA</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37191-2024</t>
        </is>
      </c>
      <c r="B16162" s="1" t="n">
        <v>45539</v>
      </c>
      <c r="C16162" s="1" t="n">
        <v>45736</v>
      </c>
      <c r="D16162" t="inlineStr">
        <is>
          <t>VÄRMLANDS LÄN</t>
        </is>
      </c>
      <c r="E16162" t="inlineStr">
        <is>
          <t>KRISTINEHAMN</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37164-2024</t>
        </is>
      </c>
      <c r="B16163" s="1" t="n">
        <v>45539</v>
      </c>
      <c r="C16163" s="1" t="n">
        <v>45736</v>
      </c>
      <c r="D16163" t="inlineStr">
        <is>
          <t>VÄRMLANDS LÄN</t>
        </is>
      </c>
      <c r="E16163" t="inlineStr">
        <is>
          <t>HAGFORS</t>
        </is>
      </c>
      <c r="F16163" t="inlineStr">
        <is>
          <t>Bergvik skog väst AB</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37189-2024</t>
        </is>
      </c>
      <c r="B16164" s="1" t="n">
        <v>45539</v>
      </c>
      <c r="C16164" s="1" t="n">
        <v>45736</v>
      </c>
      <c r="D16164" t="inlineStr">
        <is>
          <t>VÄRMLANDS LÄN</t>
        </is>
      </c>
      <c r="E16164" t="inlineStr">
        <is>
          <t>HAGFORS</t>
        </is>
      </c>
      <c r="G16164" t="n">
        <v>8.300000000000001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37213-2024</t>
        </is>
      </c>
      <c r="B16165" s="1" t="n">
        <v>45539</v>
      </c>
      <c r="C16165" s="1" t="n">
        <v>45736</v>
      </c>
      <c r="D16165" t="inlineStr">
        <is>
          <t>VÄRMLANDS LÄN</t>
        </is>
      </c>
      <c r="E16165" t="inlineStr">
        <is>
          <t>ARVIKA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37220-2024</t>
        </is>
      </c>
      <c r="B16166" s="1" t="n">
        <v>45539</v>
      </c>
      <c r="C16166" s="1" t="n">
        <v>45736</v>
      </c>
      <c r="D16166" t="inlineStr">
        <is>
          <t>VÄRMLANDS LÄN</t>
        </is>
      </c>
      <c r="E16166" t="inlineStr">
        <is>
          <t>ÅRJÄNG</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37153-2024</t>
        </is>
      </c>
      <c r="B16167" s="1" t="n">
        <v>45539</v>
      </c>
      <c r="C16167" s="1" t="n">
        <v>45736</v>
      </c>
      <c r="D16167" t="inlineStr">
        <is>
          <t>VÄRMLANDS LÄN</t>
        </is>
      </c>
      <c r="E16167" t="inlineStr">
        <is>
          <t>TORSBY</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37227-2024</t>
        </is>
      </c>
      <c r="B16168" s="1" t="n">
        <v>45539</v>
      </c>
      <c r="C16168" s="1" t="n">
        <v>45736</v>
      </c>
      <c r="D16168" t="inlineStr">
        <is>
          <t>VÄRMLANDS LÄN</t>
        </is>
      </c>
      <c r="E16168" t="inlineStr">
        <is>
          <t>ARVIKA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37159-2024</t>
        </is>
      </c>
      <c r="B16169" s="1" t="n">
        <v>45539</v>
      </c>
      <c r="C16169" s="1" t="n">
        <v>45736</v>
      </c>
      <c r="D16169" t="inlineStr">
        <is>
          <t>VÄRMLANDS LÄN</t>
        </is>
      </c>
      <c r="E16169" t="inlineStr">
        <is>
          <t>EDA</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36997-2024</t>
        </is>
      </c>
      <c r="B16170" s="1" t="n">
        <v>45539</v>
      </c>
      <c r="C16170" s="1" t="n">
        <v>45736</v>
      </c>
      <c r="D16170" t="inlineStr">
        <is>
          <t>VÄRMLANDS LÄN</t>
        </is>
      </c>
      <c r="E16170" t="inlineStr">
        <is>
          <t>ÅRJÄNG</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37229-2024</t>
        </is>
      </c>
      <c r="B16171" s="1" t="n">
        <v>45539</v>
      </c>
      <c r="C16171" s="1" t="n">
        <v>45736</v>
      </c>
      <c r="D16171" t="inlineStr">
        <is>
          <t>VÄRMLANDS LÄN</t>
        </is>
      </c>
      <c r="E16171" t="inlineStr">
        <is>
          <t>ARVIKA</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37079-2024</t>
        </is>
      </c>
      <c r="B16172" s="1" t="n">
        <v>45539</v>
      </c>
      <c r="C16172" s="1" t="n">
        <v>45736</v>
      </c>
      <c r="D16172" t="inlineStr">
        <is>
          <t>VÄRMLANDS LÄN</t>
        </is>
      </c>
      <c r="E16172" t="inlineStr">
        <is>
          <t>FILIPSTAD</t>
        </is>
      </c>
      <c r="F16172" t="inlineStr">
        <is>
          <t>Bergvik skog väst AB</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37051-2024</t>
        </is>
      </c>
      <c r="B16173" s="1" t="n">
        <v>45539</v>
      </c>
      <c r="C16173" s="1" t="n">
        <v>45736</v>
      </c>
      <c r="D16173" t="inlineStr">
        <is>
          <t>VÄRMLANDS LÄN</t>
        </is>
      </c>
      <c r="E16173" t="inlineStr">
        <is>
          <t>SUNNE</t>
        </is>
      </c>
      <c r="F16173" t="inlineStr">
        <is>
          <t>Bergvik skog väst AB</t>
        </is>
      </c>
      <c r="G16173" t="n">
        <v>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37026-2024</t>
        </is>
      </c>
      <c r="B16174" s="1" t="n">
        <v>45539</v>
      </c>
      <c r="C16174" s="1" t="n">
        <v>45736</v>
      </c>
      <c r="D16174" t="inlineStr">
        <is>
          <t>VÄRMLANDS LÄN</t>
        </is>
      </c>
      <c r="E16174" t="inlineStr">
        <is>
          <t>ÅRJÄNG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37222-2024</t>
        </is>
      </c>
      <c r="B16175" s="1" t="n">
        <v>45539</v>
      </c>
      <c r="C16175" s="1" t="n">
        <v>45736</v>
      </c>
      <c r="D16175" t="inlineStr">
        <is>
          <t>VÄRMLANDS LÄN</t>
        </is>
      </c>
      <c r="E16175" t="inlineStr">
        <is>
          <t>ÅRJÄNG</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37194-2024</t>
        </is>
      </c>
      <c r="B16176" s="1" t="n">
        <v>45539</v>
      </c>
      <c r="C16176" s="1" t="n">
        <v>45736</v>
      </c>
      <c r="D16176" t="inlineStr">
        <is>
          <t>VÄRMLANDS LÄN</t>
        </is>
      </c>
      <c r="E16176" t="inlineStr">
        <is>
          <t>TORSBY</t>
        </is>
      </c>
      <c r="F16176" t="inlineStr">
        <is>
          <t>Bergvik skog väst AB</t>
        </is>
      </c>
      <c r="G16176" t="n">
        <v>4.2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37165-2024</t>
        </is>
      </c>
      <c r="B16177" s="1" t="n">
        <v>45539</v>
      </c>
      <c r="C16177" s="1" t="n">
        <v>45736</v>
      </c>
      <c r="D16177" t="inlineStr">
        <is>
          <t>VÄRMLANDS LÄN</t>
        </is>
      </c>
      <c r="E16177" t="inlineStr">
        <is>
          <t>FILIPSTAD</t>
        </is>
      </c>
      <c r="F16177" t="inlineStr">
        <is>
          <t>Bergvik skog väst AB</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37076-2024</t>
        </is>
      </c>
      <c r="B16178" s="1" t="n">
        <v>45539</v>
      </c>
      <c r="C16178" s="1" t="n">
        <v>45736</v>
      </c>
      <c r="D16178" t="inlineStr">
        <is>
          <t>VÄRMLANDS LÄN</t>
        </is>
      </c>
      <c r="E16178" t="inlineStr">
        <is>
          <t>FILIPSTAD</t>
        </is>
      </c>
      <c r="F16178" t="inlineStr">
        <is>
          <t>Bergvik skog väst AB</t>
        </is>
      </c>
      <c r="G16178" t="n">
        <v>31.9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37015-2024</t>
        </is>
      </c>
      <c r="B16179" s="1" t="n">
        <v>45539</v>
      </c>
      <c r="C16179" s="1" t="n">
        <v>45736</v>
      </c>
      <c r="D16179" t="inlineStr">
        <is>
          <t>VÄRMLANDS LÄN</t>
        </is>
      </c>
      <c r="E16179" t="inlineStr">
        <is>
          <t>SUNNE</t>
        </is>
      </c>
      <c r="F16179" t="inlineStr">
        <is>
          <t>Bergvik skog väst AB</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37238-2024</t>
        </is>
      </c>
      <c r="B16180" s="1" t="n">
        <v>45540</v>
      </c>
      <c r="C16180" s="1" t="n">
        <v>45736</v>
      </c>
      <c r="D16180" t="inlineStr">
        <is>
          <t>VÄRMLANDS LÄN</t>
        </is>
      </c>
      <c r="E16180" t="inlineStr">
        <is>
          <t>TORSBY</t>
        </is>
      </c>
      <c r="F16180" t="inlineStr">
        <is>
          <t>Bergvik skog väst AB</t>
        </is>
      </c>
      <c r="G16180" t="n">
        <v>11.9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37336-2024</t>
        </is>
      </c>
      <c r="B16181" s="1" t="n">
        <v>45540</v>
      </c>
      <c r="C16181" s="1" t="n">
        <v>45736</v>
      </c>
      <c r="D16181" t="inlineStr">
        <is>
          <t>VÄRMLANDS LÄN</t>
        </is>
      </c>
      <c r="E16181" t="inlineStr">
        <is>
          <t>ÅRJÄNG</t>
        </is>
      </c>
      <c r="G16181" t="n">
        <v>3.9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37353-2024</t>
        </is>
      </c>
      <c r="B16182" s="1" t="n">
        <v>45540</v>
      </c>
      <c r="C16182" s="1" t="n">
        <v>45736</v>
      </c>
      <c r="D16182" t="inlineStr">
        <is>
          <t>VÄRMLANDS LÄN</t>
        </is>
      </c>
      <c r="E16182" t="inlineStr">
        <is>
          <t>ÅRJÄNG</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37377-2024</t>
        </is>
      </c>
      <c r="B16183" s="1" t="n">
        <v>45540</v>
      </c>
      <c r="C16183" s="1" t="n">
        <v>45736</v>
      </c>
      <c r="D16183" t="inlineStr">
        <is>
          <t>VÄRMLANDS LÄN</t>
        </is>
      </c>
      <c r="E16183" t="inlineStr">
        <is>
          <t>FORSHAGA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37240-2024</t>
        </is>
      </c>
      <c r="B16184" s="1" t="n">
        <v>45540</v>
      </c>
      <c r="C16184" s="1" t="n">
        <v>45736</v>
      </c>
      <c r="D16184" t="inlineStr">
        <is>
          <t>VÄRMLANDS LÄN</t>
        </is>
      </c>
      <c r="E16184" t="inlineStr">
        <is>
          <t>ARVIKA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37330-2024</t>
        </is>
      </c>
      <c r="B16185" s="1" t="n">
        <v>45540</v>
      </c>
      <c r="C16185" s="1" t="n">
        <v>45736</v>
      </c>
      <c r="D16185" t="inlineStr">
        <is>
          <t>VÄRMLANDS LÄN</t>
        </is>
      </c>
      <c r="E16185" t="inlineStr">
        <is>
          <t>ÅRJÄNG</t>
        </is>
      </c>
      <c r="G16185" t="n">
        <v>7.6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37334-2024</t>
        </is>
      </c>
      <c r="B16186" s="1" t="n">
        <v>45540</v>
      </c>
      <c r="C16186" s="1" t="n">
        <v>45736</v>
      </c>
      <c r="D16186" t="inlineStr">
        <is>
          <t>VÄRMLANDS LÄN</t>
        </is>
      </c>
      <c r="E16186" t="inlineStr">
        <is>
          <t>SUNNE</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37356-2024</t>
        </is>
      </c>
      <c r="B16187" s="1" t="n">
        <v>45540</v>
      </c>
      <c r="C16187" s="1" t="n">
        <v>45736</v>
      </c>
      <c r="D16187" t="inlineStr">
        <is>
          <t>VÄRMLANDS LÄN</t>
        </is>
      </c>
      <c r="E16187" t="inlineStr">
        <is>
          <t>ÅRJÄNG</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37325-2024</t>
        </is>
      </c>
      <c r="B16188" s="1" t="n">
        <v>45540</v>
      </c>
      <c r="C16188" s="1" t="n">
        <v>45736</v>
      </c>
      <c r="D16188" t="inlineStr">
        <is>
          <t>VÄRMLANDS LÄN</t>
        </is>
      </c>
      <c r="E16188" t="inlineStr">
        <is>
          <t>ÅRJÄNG</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37347-2024</t>
        </is>
      </c>
      <c r="B16189" s="1" t="n">
        <v>45540</v>
      </c>
      <c r="C16189" s="1" t="n">
        <v>45736</v>
      </c>
      <c r="D16189" t="inlineStr">
        <is>
          <t>VÄRMLANDS LÄN</t>
        </is>
      </c>
      <c r="E16189" t="inlineStr">
        <is>
          <t>ÅRJÄNG</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37362-2024</t>
        </is>
      </c>
      <c r="B16190" s="1" t="n">
        <v>45540</v>
      </c>
      <c r="C16190" s="1" t="n">
        <v>45736</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37382-2024</t>
        </is>
      </c>
      <c r="B16191" s="1" t="n">
        <v>45540</v>
      </c>
      <c r="C16191" s="1" t="n">
        <v>45736</v>
      </c>
      <c r="D16191" t="inlineStr">
        <is>
          <t>VÄRMLANDS LÄN</t>
        </is>
      </c>
      <c r="E16191" t="inlineStr">
        <is>
          <t>ÅRJÄNG</t>
        </is>
      </c>
      <c r="G16191" t="n">
        <v>12.3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37430-2024</t>
        </is>
      </c>
      <c r="B16192" s="1" t="n">
        <v>45540</v>
      </c>
      <c r="C16192" s="1" t="n">
        <v>45736</v>
      </c>
      <c r="D16192" t="inlineStr">
        <is>
          <t>VÄRMLANDS LÄN</t>
        </is>
      </c>
      <c r="E16192" t="inlineStr">
        <is>
          <t>STORFORS</t>
        </is>
      </c>
      <c r="G16192" t="n">
        <v>6.4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37474-2024</t>
        </is>
      </c>
      <c r="B16193" s="1" t="n">
        <v>45541</v>
      </c>
      <c r="C16193" s="1" t="n">
        <v>45736</v>
      </c>
      <c r="D16193" t="inlineStr">
        <is>
          <t>VÄRMLANDS LÄN</t>
        </is>
      </c>
      <c r="E16193" t="inlineStr">
        <is>
          <t>SUNNE</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37557-2024</t>
        </is>
      </c>
      <c r="B16194" s="1" t="n">
        <v>45541</v>
      </c>
      <c r="C16194" s="1" t="n">
        <v>45736</v>
      </c>
      <c r="D16194" t="inlineStr">
        <is>
          <t>VÄRMLANDS LÄN</t>
        </is>
      </c>
      <c r="E16194" t="inlineStr">
        <is>
          <t>EDA</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37561-2024</t>
        </is>
      </c>
      <c r="B16195" s="1" t="n">
        <v>45541</v>
      </c>
      <c r="C16195" s="1" t="n">
        <v>45736</v>
      </c>
      <c r="D16195" t="inlineStr">
        <is>
          <t>VÄRMLANDS LÄN</t>
        </is>
      </c>
      <c r="E16195" t="inlineStr">
        <is>
          <t>ARVIKA</t>
        </is>
      </c>
      <c r="G16195" t="n">
        <v>8.699999999999999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37573-2024</t>
        </is>
      </c>
      <c r="B16196" s="1" t="n">
        <v>45541</v>
      </c>
      <c r="C16196" s="1" t="n">
        <v>45736</v>
      </c>
      <c r="D16196" t="inlineStr">
        <is>
          <t>VÄRMLANDS LÄN</t>
        </is>
      </c>
      <c r="E16196" t="inlineStr">
        <is>
          <t>KIL</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37477-2024</t>
        </is>
      </c>
      <c r="B16197" s="1" t="n">
        <v>45541</v>
      </c>
      <c r="C16197" s="1" t="n">
        <v>45736</v>
      </c>
      <c r="D16197" t="inlineStr">
        <is>
          <t>VÄRMLANDS LÄN</t>
        </is>
      </c>
      <c r="E16197" t="inlineStr">
        <is>
          <t>TORSBY</t>
        </is>
      </c>
      <c r="F16197" t="inlineStr">
        <is>
          <t>Bergvik skog väst AB</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37539-2024</t>
        </is>
      </c>
      <c r="B16198" s="1" t="n">
        <v>45541</v>
      </c>
      <c r="C16198" s="1" t="n">
        <v>45736</v>
      </c>
      <c r="D16198" t="inlineStr">
        <is>
          <t>VÄRMLANDS LÄN</t>
        </is>
      </c>
      <c r="E16198" t="inlineStr">
        <is>
          <t>FILIPSTAD</t>
        </is>
      </c>
      <c r="F16198" t="inlineStr">
        <is>
          <t>Bergvik skog väst AB</t>
        </is>
      </c>
      <c r="G16198" t="n">
        <v>5.5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37580-2024</t>
        </is>
      </c>
      <c r="B16199" s="1" t="n">
        <v>45541</v>
      </c>
      <c r="C16199" s="1" t="n">
        <v>45736</v>
      </c>
      <c r="D16199" t="inlineStr">
        <is>
          <t>VÄRMLANDS LÄN</t>
        </is>
      </c>
      <c r="E16199" t="inlineStr">
        <is>
          <t>TORSBY</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37609-2024</t>
        </is>
      </c>
      <c r="B16200" s="1" t="n">
        <v>45541</v>
      </c>
      <c r="C16200" s="1" t="n">
        <v>45736</v>
      </c>
      <c r="D16200" t="inlineStr">
        <is>
          <t>VÄRMLANDS LÄN</t>
        </is>
      </c>
      <c r="E16200" t="inlineStr">
        <is>
          <t>EDA</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37613-2024</t>
        </is>
      </c>
      <c r="B16201" s="1" t="n">
        <v>45541</v>
      </c>
      <c r="C16201" s="1" t="n">
        <v>45736</v>
      </c>
      <c r="D16201" t="inlineStr">
        <is>
          <t>VÄRMLANDS LÄN</t>
        </is>
      </c>
      <c r="E16201" t="inlineStr">
        <is>
          <t>FILIPSTAD</t>
        </is>
      </c>
      <c r="F16201" t="inlineStr">
        <is>
          <t>Bergvik skog väst AB</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37665-2024</t>
        </is>
      </c>
      <c r="B16202" s="1" t="n">
        <v>45541</v>
      </c>
      <c r="C16202" s="1" t="n">
        <v>45736</v>
      </c>
      <c r="D16202" t="inlineStr">
        <is>
          <t>VÄRMLANDS LÄN</t>
        </is>
      </c>
      <c r="E16202" t="inlineStr">
        <is>
          <t>TORSBY</t>
        </is>
      </c>
      <c r="F16202" t="inlineStr">
        <is>
          <t>Kyrkan</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37606-2024</t>
        </is>
      </c>
      <c r="B16203" s="1" t="n">
        <v>45541</v>
      </c>
      <c r="C16203" s="1" t="n">
        <v>45736</v>
      </c>
      <c r="D16203" t="inlineStr">
        <is>
          <t>VÄRMLANDS LÄN</t>
        </is>
      </c>
      <c r="E16203" t="inlineStr">
        <is>
          <t>FORSHAGA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37610-2024</t>
        </is>
      </c>
      <c r="B16204" s="1" t="n">
        <v>45541</v>
      </c>
      <c r="C16204" s="1" t="n">
        <v>45736</v>
      </c>
      <c r="D16204" t="inlineStr">
        <is>
          <t>VÄRMLANDS LÄN</t>
        </is>
      </c>
      <c r="E16204" t="inlineStr">
        <is>
          <t>ARVIKA</t>
        </is>
      </c>
      <c r="F16204" t="inlineStr">
        <is>
          <t>Bergvik skog väst AB</t>
        </is>
      </c>
      <c r="G16204" t="n">
        <v>18.7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37622-2024</t>
        </is>
      </c>
      <c r="B16205" s="1" t="n">
        <v>45541</v>
      </c>
      <c r="C16205" s="1" t="n">
        <v>45736</v>
      </c>
      <c r="D16205" t="inlineStr">
        <is>
          <t>VÄRMLANDS LÄN</t>
        </is>
      </c>
      <c r="E16205" t="inlineStr">
        <is>
          <t>KIL</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37630-2024</t>
        </is>
      </c>
      <c r="B16206" s="1" t="n">
        <v>45541</v>
      </c>
      <c r="C16206" s="1" t="n">
        <v>45736</v>
      </c>
      <c r="D16206" t="inlineStr">
        <is>
          <t>VÄRMLANDS LÄN</t>
        </is>
      </c>
      <c r="E16206" t="inlineStr">
        <is>
          <t>ARVIKA</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37642-2024</t>
        </is>
      </c>
      <c r="B16207" s="1" t="n">
        <v>45541</v>
      </c>
      <c r="C16207" s="1" t="n">
        <v>45736</v>
      </c>
      <c r="D16207" t="inlineStr">
        <is>
          <t>VÄRMLANDS LÄN</t>
        </is>
      </c>
      <c r="E16207" t="inlineStr">
        <is>
          <t>GRUMS</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37662-2024</t>
        </is>
      </c>
      <c r="B16208" s="1" t="n">
        <v>45541</v>
      </c>
      <c r="C16208" s="1" t="n">
        <v>45736</v>
      </c>
      <c r="D16208" t="inlineStr">
        <is>
          <t>VÄRMLANDS LÄN</t>
        </is>
      </c>
      <c r="E16208" t="inlineStr">
        <is>
          <t>ARVIKA</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37670-2024</t>
        </is>
      </c>
      <c r="B16209" s="1" t="n">
        <v>45541</v>
      </c>
      <c r="C16209" s="1" t="n">
        <v>45736</v>
      </c>
      <c r="D16209" t="inlineStr">
        <is>
          <t>VÄRMLANDS LÄN</t>
        </is>
      </c>
      <c r="E16209" t="inlineStr">
        <is>
          <t>FILIPSTAD</t>
        </is>
      </c>
      <c r="F16209" t="inlineStr">
        <is>
          <t>Bergvik skog väst AB</t>
        </is>
      </c>
      <c r="G16209" t="n">
        <v>10.7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37687-2024</t>
        </is>
      </c>
      <c r="B16210" s="1" t="n">
        <v>45541</v>
      </c>
      <c r="C16210" s="1" t="n">
        <v>45736</v>
      </c>
      <c r="D16210" t="inlineStr">
        <is>
          <t>VÄRMLANDS LÄN</t>
        </is>
      </c>
      <c r="E16210" t="inlineStr">
        <is>
          <t>KRISTINEHAMN</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37505-2024</t>
        </is>
      </c>
      <c r="B16211" s="1" t="n">
        <v>45541</v>
      </c>
      <c r="C16211" s="1" t="n">
        <v>45736</v>
      </c>
      <c r="D16211" t="inlineStr">
        <is>
          <t>VÄRMLANDS LÄN</t>
        </is>
      </c>
      <c r="E16211" t="inlineStr">
        <is>
          <t>FILIPSTAD</t>
        </is>
      </c>
      <c r="F16211" t="inlineStr">
        <is>
          <t>Bergvik skog väst AB</t>
        </is>
      </c>
      <c r="G16211" t="n">
        <v>4.6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37512-2024</t>
        </is>
      </c>
      <c r="B16212" s="1" t="n">
        <v>45541</v>
      </c>
      <c r="C16212" s="1" t="n">
        <v>45736</v>
      </c>
      <c r="D16212" t="inlineStr">
        <is>
          <t>VÄRMLANDS LÄN</t>
        </is>
      </c>
      <c r="E16212" t="inlineStr">
        <is>
          <t>FILIPSTAD</t>
        </is>
      </c>
      <c r="F16212" t="inlineStr">
        <is>
          <t>Bergvik skog väst AB</t>
        </is>
      </c>
      <c r="G16212" t="n">
        <v>18.2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37620-2024</t>
        </is>
      </c>
      <c r="B16213" s="1" t="n">
        <v>45541</v>
      </c>
      <c r="C16213" s="1" t="n">
        <v>45736</v>
      </c>
      <c r="D16213" t="inlineStr">
        <is>
          <t>VÄRMLANDS LÄN</t>
        </is>
      </c>
      <c r="E16213" t="inlineStr">
        <is>
          <t>KIL</t>
        </is>
      </c>
      <c r="G16213" t="n">
        <v>0.1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37636-2024</t>
        </is>
      </c>
      <c r="B16214" s="1" t="n">
        <v>45541</v>
      </c>
      <c r="C16214" s="1" t="n">
        <v>45736</v>
      </c>
      <c r="D16214" t="inlineStr">
        <is>
          <t>VÄRMLANDS LÄN</t>
        </is>
      </c>
      <c r="E16214" t="inlineStr">
        <is>
          <t>GRUMS</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37668-2024</t>
        </is>
      </c>
      <c r="B16215" s="1" t="n">
        <v>45541</v>
      </c>
      <c r="C16215" s="1" t="n">
        <v>45736</v>
      </c>
      <c r="D16215" t="inlineStr">
        <is>
          <t>VÄRMLANDS LÄN</t>
        </is>
      </c>
      <c r="E16215" t="inlineStr">
        <is>
          <t>ARVIKA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37533-2024</t>
        </is>
      </c>
      <c r="B16216" s="1" t="n">
        <v>45541</v>
      </c>
      <c r="C16216" s="1" t="n">
        <v>45736</v>
      </c>
      <c r="D16216" t="inlineStr">
        <is>
          <t>VÄRMLANDS LÄN</t>
        </is>
      </c>
      <c r="E16216" t="inlineStr">
        <is>
          <t>TORSBY</t>
        </is>
      </c>
      <c r="F16216" t="inlineStr">
        <is>
          <t>Bergvik skog väst AB</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37570-2024</t>
        </is>
      </c>
      <c r="B16217" s="1" t="n">
        <v>45541</v>
      </c>
      <c r="C16217" s="1" t="n">
        <v>45736</v>
      </c>
      <c r="D16217" t="inlineStr">
        <is>
          <t>VÄRMLANDS LÄN</t>
        </is>
      </c>
      <c r="E16217" t="inlineStr">
        <is>
          <t>KIL</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37603-2024</t>
        </is>
      </c>
      <c r="B16218" s="1" t="n">
        <v>45541</v>
      </c>
      <c r="C16218" s="1" t="n">
        <v>45736</v>
      </c>
      <c r="D16218" t="inlineStr">
        <is>
          <t>VÄRMLANDS LÄN</t>
        </is>
      </c>
      <c r="E16218" t="inlineStr">
        <is>
          <t>ARVIKA</t>
        </is>
      </c>
      <c r="F16218" t="inlineStr">
        <is>
          <t>Bergvik skog väst AB</t>
        </is>
      </c>
      <c r="G16218" t="n">
        <v>2.6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37651-2024</t>
        </is>
      </c>
      <c r="B16219" s="1" t="n">
        <v>45541</v>
      </c>
      <c r="C16219" s="1" t="n">
        <v>45736</v>
      </c>
      <c r="D16219" t="inlineStr">
        <is>
          <t>VÄRMLANDS LÄN</t>
        </is>
      </c>
      <c r="E16219" t="inlineStr">
        <is>
          <t>GRUMS</t>
        </is>
      </c>
      <c r="G16219" t="n">
        <v>3.6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37655-2024</t>
        </is>
      </c>
      <c r="B16220" s="1" t="n">
        <v>45541</v>
      </c>
      <c r="C16220" s="1" t="n">
        <v>45736</v>
      </c>
      <c r="D16220" t="inlineStr">
        <is>
          <t>VÄRMLANDS LÄN</t>
        </is>
      </c>
      <c r="E16220" t="inlineStr">
        <is>
          <t>GRUMS</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37701-2024</t>
        </is>
      </c>
      <c r="B16221" s="1" t="n">
        <v>45541</v>
      </c>
      <c r="C16221" s="1" t="n">
        <v>45736</v>
      </c>
      <c r="D16221" t="inlineStr">
        <is>
          <t>VÄRMLANDS LÄN</t>
        </is>
      </c>
      <c r="E16221" t="inlineStr">
        <is>
          <t>KARLSTAD</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37711-2024</t>
        </is>
      </c>
      <c r="B16222" s="1" t="n">
        <v>45541</v>
      </c>
      <c r="C16222" s="1" t="n">
        <v>45736</v>
      </c>
      <c r="D16222" t="inlineStr">
        <is>
          <t>VÄRMLANDS LÄN</t>
        </is>
      </c>
      <c r="E16222" t="inlineStr">
        <is>
          <t>HAGFORS</t>
        </is>
      </c>
      <c r="F16222" t="inlineStr">
        <is>
          <t>Bergvik skog väst AB</t>
        </is>
      </c>
      <c r="G16222" t="n">
        <v>24.3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37733-2024</t>
        </is>
      </c>
      <c r="B16223" s="1" t="n">
        <v>45541</v>
      </c>
      <c r="C16223" s="1" t="n">
        <v>45736</v>
      </c>
      <c r="D16223" t="inlineStr">
        <is>
          <t>VÄRMLANDS LÄN</t>
        </is>
      </c>
      <c r="E16223" t="inlineStr">
        <is>
          <t>TORSBY</t>
        </is>
      </c>
      <c r="F16223" t="inlineStr">
        <is>
          <t>Bergvik skog väst AB</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37746-2024</t>
        </is>
      </c>
      <c r="B16224" s="1" t="n">
        <v>45541</v>
      </c>
      <c r="C16224" s="1" t="n">
        <v>45736</v>
      </c>
      <c r="D16224" t="inlineStr">
        <is>
          <t>VÄRMLANDS LÄN</t>
        </is>
      </c>
      <c r="E16224" t="inlineStr">
        <is>
          <t>FORSHAGA</t>
        </is>
      </c>
      <c r="F16224" t="inlineStr">
        <is>
          <t>Bergvik skog väst AB</t>
        </is>
      </c>
      <c r="G16224" t="n">
        <v>24.7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37783-2024</t>
        </is>
      </c>
      <c r="B16225" s="1" t="n">
        <v>45542</v>
      </c>
      <c r="C16225" s="1" t="n">
        <v>45736</v>
      </c>
      <c r="D16225" t="inlineStr">
        <is>
          <t>VÄRMLANDS LÄN</t>
        </is>
      </c>
      <c r="E16225" t="inlineStr">
        <is>
          <t>SÄFFLE</t>
        </is>
      </c>
      <c r="G16225" t="n">
        <v>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37782-2024</t>
        </is>
      </c>
      <c r="B16226" s="1" t="n">
        <v>45542</v>
      </c>
      <c r="C16226" s="1" t="n">
        <v>45736</v>
      </c>
      <c r="D16226" t="inlineStr">
        <is>
          <t>VÄRMLANDS LÄN</t>
        </is>
      </c>
      <c r="E16226" t="inlineStr">
        <is>
          <t>SÄFFLE</t>
        </is>
      </c>
      <c r="G16226" t="n">
        <v>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37790-2024</t>
        </is>
      </c>
      <c r="B16227" s="1" t="n">
        <v>45543</v>
      </c>
      <c r="C16227" s="1" t="n">
        <v>45736</v>
      </c>
      <c r="D16227" t="inlineStr">
        <is>
          <t>VÄRMLANDS LÄN</t>
        </is>
      </c>
      <c r="E16227" t="inlineStr">
        <is>
          <t>SUNNE</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37824-2024</t>
        </is>
      </c>
      <c r="B16228" s="1" t="n">
        <v>45544</v>
      </c>
      <c r="C16228" s="1" t="n">
        <v>45736</v>
      </c>
      <c r="D16228" t="inlineStr">
        <is>
          <t>VÄRMLANDS LÄN</t>
        </is>
      </c>
      <c r="E16228" t="inlineStr">
        <is>
          <t>ARVIKA</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37884-2024</t>
        </is>
      </c>
      <c r="B16229" s="1" t="n">
        <v>45544</v>
      </c>
      <c r="C16229" s="1" t="n">
        <v>45736</v>
      </c>
      <c r="D16229" t="inlineStr">
        <is>
          <t>VÄRMLANDS LÄN</t>
        </is>
      </c>
      <c r="E16229" t="inlineStr">
        <is>
          <t>TORSBY</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37948-2024</t>
        </is>
      </c>
      <c r="B16230" s="1" t="n">
        <v>45544</v>
      </c>
      <c r="C16230" s="1" t="n">
        <v>45736</v>
      </c>
      <c r="D16230" t="inlineStr">
        <is>
          <t>VÄRMLANDS LÄN</t>
        </is>
      </c>
      <c r="E16230" t="inlineStr">
        <is>
          <t>TORSBY</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37853-2024</t>
        </is>
      </c>
      <c r="B16231" s="1" t="n">
        <v>45544</v>
      </c>
      <c r="C16231" s="1" t="n">
        <v>45736</v>
      </c>
      <c r="D16231" t="inlineStr">
        <is>
          <t>VÄRMLANDS LÄN</t>
        </is>
      </c>
      <c r="E16231" t="inlineStr">
        <is>
          <t>TORSBY</t>
        </is>
      </c>
      <c r="G16231" t="n">
        <v>2.7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38024-2024</t>
        </is>
      </c>
      <c r="B16232" s="1" t="n">
        <v>45544</v>
      </c>
      <c r="C16232" s="1" t="n">
        <v>45736</v>
      </c>
      <c r="D16232" t="inlineStr">
        <is>
          <t>VÄRMLANDS LÄN</t>
        </is>
      </c>
      <c r="E16232" t="inlineStr">
        <is>
          <t>ÅRJÄNG</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37901-2024</t>
        </is>
      </c>
      <c r="B16233" s="1" t="n">
        <v>45544</v>
      </c>
      <c r="C16233" s="1" t="n">
        <v>45736</v>
      </c>
      <c r="D16233" t="inlineStr">
        <is>
          <t>VÄRMLANDS LÄN</t>
        </is>
      </c>
      <c r="E16233" t="inlineStr">
        <is>
          <t>TORSBY</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37913-2024</t>
        </is>
      </c>
      <c r="B16234" s="1" t="n">
        <v>45544</v>
      </c>
      <c r="C16234" s="1" t="n">
        <v>45736</v>
      </c>
      <c r="D16234" t="inlineStr">
        <is>
          <t>VÄRMLANDS LÄN</t>
        </is>
      </c>
      <c r="E16234" t="inlineStr">
        <is>
          <t>TORSBY</t>
        </is>
      </c>
      <c r="F16234" t="inlineStr">
        <is>
          <t>Bergvik skog väst AB</t>
        </is>
      </c>
      <c r="G16234" t="n">
        <v>4.7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37929-2024</t>
        </is>
      </c>
      <c r="B16235" s="1" t="n">
        <v>45544</v>
      </c>
      <c r="C16235" s="1" t="n">
        <v>45736</v>
      </c>
      <c r="D16235" t="inlineStr">
        <is>
          <t>VÄRMLANDS LÄN</t>
        </is>
      </c>
      <c r="E16235" t="inlineStr">
        <is>
          <t>ARVIKA</t>
        </is>
      </c>
      <c r="F16235" t="inlineStr">
        <is>
          <t>Bergvik skog väst AB</t>
        </is>
      </c>
      <c r="G16235" t="n">
        <v>3.1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37933-2024</t>
        </is>
      </c>
      <c r="B16236" s="1" t="n">
        <v>45544</v>
      </c>
      <c r="C16236" s="1" t="n">
        <v>45736</v>
      </c>
      <c r="D16236" t="inlineStr">
        <is>
          <t>VÄRMLANDS LÄN</t>
        </is>
      </c>
      <c r="E16236" t="inlineStr">
        <is>
          <t>ARVIKA</t>
        </is>
      </c>
      <c r="F16236" t="inlineStr">
        <is>
          <t>Bergvik skog väst AB</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37945-2024</t>
        </is>
      </c>
      <c r="B16237" s="1" t="n">
        <v>45544</v>
      </c>
      <c r="C16237" s="1" t="n">
        <v>45736</v>
      </c>
      <c r="D16237" t="inlineStr">
        <is>
          <t>VÄRMLANDS LÄN</t>
        </is>
      </c>
      <c r="E16237" t="inlineStr">
        <is>
          <t>FILIPSTAD</t>
        </is>
      </c>
      <c r="F16237" t="inlineStr">
        <is>
          <t>Bergvik skog väst AB</t>
        </is>
      </c>
      <c r="G16237" t="n">
        <v>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37957-2024</t>
        </is>
      </c>
      <c r="B16238" s="1" t="n">
        <v>45544</v>
      </c>
      <c r="C16238" s="1" t="n">
        <v>45736</v>
      </c>
      <c r="D16238" t="inlineStr">
        <is>
          <t>VÄRMLANDS LÄN</t>
        </is>
      </c>
      <c r="E16238" t="inlineStr">
        <is>
          <t>EDA</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37961-2024</t>
        </is>
      </c>
      <c r="B16239" s="1" t="n">
        <v>45544</v>
      </c>
      <c r="C16239" s="1" t="n">
        <v>45736</v>
      </c>
      <c r="D16239" t="inlineStr">
        <is>
          <t>VÄRMLANDS LÄN</t>
        </is>
      </c>
      <c r="E16239" t="inlineStr">
        <is>
          <t>EDA</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38009-2024</t>
        </is>
      </c>
      <c r="B16240" s="1" t="n">
        <v>45544</v>
      </c>
      <c r="C16240" s="1" t="n">
        <v>45736</v>
      </c>
      <c r="D16240" t="inlineStr">
        <is>
          <t>VÄRMLANDS LÄN</t>
        </is>
      </c>
      <c r="E16240" t="inlineStr">
        <is>
          <t>ARVIKA</t>
        </is>
      </c>
      <c r="F16240" t="inlineStr">
        <is>
          <t>Bergvik skog väst AB</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37822-2024</t>
        </is>
      </c>
      <c r="B16241" s="1" t="n">
        <v>45544</v>
      </c>
      <c r="C16241" s="1" t="n">
        <v>45736</v>
      </c>
      <c r="D16241" t="inlineStr">
        <is>
          <t>VÄRMLANDS LÄN</t>
        </is>
      </c>
      <c r="E16241" t="inlineStr">
        <is>
          <t>EDA</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37922-2024</t>
        </is>
      </c>
      <c r="B16242" s="1" t="n">
        <v>45544</v>
      </c>
      <c r="C16242" s="1" t="n">
        <v>45736</v>
      </c>
      <c r="D16242" t="inlineStr">
        <is>
          <t>VÄRMLANDS LÄN</t>
        </is>
      </c>
      <c r="E16242" t="inlineStr">
        <is>
          <t>ARVIKA</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37934-2024</t>
        </is>
      </c>
      <c r="B16243" s="1" t="n">
        <v>45544</v>
      </c>
      <c r="C16243" s="1" t="n">
        <v>45736</v>
      </c>
      <c r="D16243" t="inlineStr">
        <is>
          <t>VÄRMLANDS LÄN</t>
        </is>
      </c>
      <c r="E16243" t="inlineStr">
        <is>
          <t>HAMMARÖ</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37942-2024</t>
        </is>
      </c>
      <c r="B16244" s="1" t="n">
        <v>45544</v>
      </c>
      <c r="C16244" s="1" t="n">
        <v>45736</v>
      </c>
      <c r="D16244" t="inlineStr">
        <is>
          <t>VÄRMLANDS LÄN</t>
        </is>
      </c>
      <c r="E16244" t="inlineStr">
        <is>
          <t>ARVIKA</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37982-2024</t>
        </is>
      </c>
      <c r="B16245" s="1" t="n">
        <v>45544</v>
      </c>
      <c r="C16245" s="1" t="n">
        <v>45736</v>
      </c>
      <c r="D16245" t="inlineStr">
        <is>
          <t>VÄRMLANDS LÄN</t>
        </is>
      </c>
      <c r="E16245" t="inlineStr">
        <is>
          <t>KARLSTAD</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38062-2024</t>
        </is>
      </c>
      <c r="B16246" s="1" t="n">
        <v>45544</v>
      </c>
      <c r="C16246" s="1" t="n">
        <v>45736</v>
      </c>
      <c r="D16246" t="inlineStr">
        <is>
          <t>VÄRMLANDS LÄN</t>
        </is>
      </c>
      <c r="E16246" t="inlineStr">
        <is>
          <t>TORSBY</t>
        </is>
      </c>
      <c r="F16246" t="inlineStr">
        <is>
          <t>Bergvik skog väst AB</t>
        </is>
      </c>
      <c r="G16246" t="n">
        <v>7.9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38066-2024</t>
        </is>
      </c>
      <c r="B16247" s="1" t="n">
        <v>45544</v>
      </c>
      <c r="C16247" s="1" t="n">
        <v>45736</v>
      </c>
      <c r="D16247" t="inlineStr">
        <is>
          <t>VÄRMLANDS LÄN</t>
        </is>
      </c>
      <c r="E16247" t="inlineStr">
        <is>
          <t>ÅRJÄNG</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38076-2024</t>
        </is>
      </c>
      <c r="B16248" s="1" t="n">
        <v>45544</v>
      </c>
      <c r="C16248" s="1" t="n">
        <v>45736</v>
      </c>
      <c r="D16248" t="inlineStr">
        <is>
          <t>VÄRMLANDS LÄN</t>
        </is>
      </c>
      <c r="E16248" t="inlineStr">
        <is>
          <t>TORSBY</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38057-2024</t>
        </is>
      </c>
      <c r="B16249" s="1" t="n">
        <v>45544</v>
      </c>
      <c r="C16249" s="1" t="n">
        <v>45736</v>
      </c>
      <c r="D16249" t="inlineStr">
        <is>
          <t>VÄRMLANDS LÄN</t>
        </is>
      </c>
      <c r="E16249" t="inlineStr">
        <is>
          <t>ÅRJÄNG</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38065-2024</t>
        </is>
      </c>
      <c r="B16250" s="1" t="n">
        <v>45544</v>
      </c>
      <c r="C16250" s="1" t="n">
        <v>45736</v>
      </c>
      <c r="D16250" t="inlineStr">
        <is>
          <t>VÄRMLANDS LÄN</t>
        </is>
      </c>
      <c r="E16250" t="inlineStr">
        <is>
          <t>ÅRJÄNG</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38100-2024</t>
        </is>
      </c>
      <c r="B16251" s="1" t="n">
        <v>45545</v>
      </c>
      <c r="C16251" s="1" t="n">
        <v>45736</v>
      </c>
      <c r="D16251" t="inlineStr">
        <is>
          <t>VÄRMLANDS LÄN</t>
        </is>
      </c>
      <c r="E16251" t="inlineStr">
        <is>
          <t>TORSBY</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38133-2024</t>
        </is>
      </c>
      <c r="B16252" s="1" t="n">
        <v>45545</v>
      </c>
      <c r="C16252" s="1" t="n">
        <v>45736</v>
      </c>
      <c r="D16252" t="inlineStr">
        <is>
          <t>VÄRMLANDS LÄN</t>
        </is>
      </c>
      <c r="E16252" t="inlineStr">
        <is>
          <t>SÄFFLE</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38147-2024</t>
        </is>
      </c>
      <c r="B16253" s="1" t="n">
        <v>45545</v>
      </c>
      <c r="C16253" s="1" t="n">
        <v>45736</v>
      </c>
      <c r="D16253" t="inlineStr">
        <is>
          <t>VÄRMLANDS LÄN</t>
        </is>
      </c>
      <c r="E16253" t="inlineStr">
        <is>
          <t>STORFORS</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38171-2024</t>
        </is>
      </c>
      <c r="B16254" s="1" t="n">
        <v>45545</v>
      </c>
      <c r="C16254" s="1" t="n">
        <v>45736</v>
      </c>
      <c r="D16254" t="inlineStr">
        <is>
          <t>VÄRMLANDS LÄN</t>
        </is>
      </c>
      <c r="E16254" t="inlineStr">
        <is>
          <t>MUNKFORS</t>
        </is>
      </c>
      <c r="F16254" t="inlineStr">
        <is>
          <t>Kyrkan</t>
        </is>
      </c>
      <c r="G16254" t="n">
        <v>9.5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38215-2024</t>
        </is>
      </c>
      <c r="B16255" s="1" t="n">
        <v>45545</v>
      </c>
      <c r="C16255" s="1" t="n">
        <v>45736</v>
      </c>
      <c r="D16255" t="inlineStr">
        <is>
          <t>VÄRMLANDS LÄN</t>
        </is>
      </c>
      <c r="E16255" t="inlineStr">
        <is>
          <t>KARLSTAD</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38239-2024</t>
        </is>
      </c>
      <c r="B16256" s="1" t="n">
        <v>45545</v>
      </c>
      <c r="C16256" s="1" t="n">
        <v>45736</v>
      </c>
      <c r="D16256" t="inlineStr">
        <is>
          <t>VÄRMLANDS LÄN</t>
        </is>
      </c>
      <c r="E16256" t="inlineStr">
        <is>
          <t>HAGFORS</t>
        </is>
      </c>
      <c r="F16256" t="inlineStr">
        <is>
          <t>Bergvik skog väst AB</t>
        </is>
      </c>
      <c r="G16256" t="n">
        <v>5.1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38085-2024</t>
        </is>
      </c>
      <c r="B16257" s="1" t="n">
        <v>45545</v>
      </c>
      <c r="C16257" s="1" t="n">
        <v>45736</v>
      </c>
      <c r="D16257" t="inlineStr">
        <is>
          <t>VÄRMLANDS LÄN</t>
        </is>
      </c>
      <c r="E16257" t="inlineStr">
        <is>
          <t>TORSBY</t>
        </is>
      </c>
      <c r="F16257" t="inlineStr">
        <is>
          <t>Bergvik skog väst AB</t>
        </is>
      </c>
      <c r="G16257" t="n">
        <v>27.8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38140-2024</t>
        </is>
      </c>
      <c r="B16258" s="1" t="n">
        <v>45545</v>
      </c>
      <c r="C16258" s="1" t="n">
        <v>45736</v>
      </c>
      <c r="D16258" t="inlineStr">
        <is>
          <t>VÄRMLANDS LÄN</t>
        </is>
      </c>
      <c r="E16258" t="inlineStr">
        <is>
          <t>FILIPSTAD</t>
        </is>
      </c>
      <c r="F16258" t="inlineStr">
        <is>
          <t>Bergvik skog väst AB</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38148-2024</t>
        </is>
      </c>
      <c r="B16259" s="1" t="n">
        <v>45545</v>
      </c>
      <c r="C16259" s="1" t="n">
        <v>45736</v>
      </c>
      <c r="D16259" t="inlineStr">
        <is>
          <t>VÄRMLANDS LÄN</t>
        </is>
      </c>
      <c r="E16259" t="inlineStr">
        <is>
          <t>TORSBY</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38176-2024</t>
        </is>
      </c>
      <c r="B16260" s="1" t="n">
        <v>45545</v>
      </c>
      <c r="C16260" s="1" t="n">
        <v>45736</v>
      </c>
      <c r="D16260" t="inlineStr">
        <is>
          <t>VÄRMLANDS LÄN</t>
        </is>
      </c>
      <c r="E16260" t="inlineStr">
        <is>
          <t>STORFORS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38184-2024</t>
        </is>
      </c>
      <c r="B16261" s="1" t="n">
        <v>45545</v>
      </c>
      <c r="C16261" s="1" t="n">
        <v>45736</v>
      </c>
      <c r="D16261" t="inlineStr">
        <is>
          <t>VÄRMLANDS LÄN</t>
        </is>
      </c>
      <c r="E16261" t="inlineStr">
        <is>
          <t>TORSBY</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38206-2024</t>
        </is>
      </c>
      <c r="B16262" s="1" t="n">
        <v>45545</v>
      </c>
      <c r="C16262" s="1" t="n">
        <v>45736</v>
      </c>
      <c r="D16262" t="inlineStr">
        <is>
          <t>VÄRMLANDS LÄN</t>
        </is>
      </c>
      <c r="E16262" t="inlineStr">
        <is>
          <t>TORSBY</t>
        </is>
      </c>
      <c r="G16262" t="n">
        <v>10</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38210-2024</t>
        </is>
      </c>
      <c r="B16263" s="1" t="n">
        <v>45545</v>
      </c>
      <c r="C16263" s="1" t="n">
        <v>45736</v>
      </c>
      <c r="D16263" t="inlineStr">
        <is>
          <t>VÄRMLANDS LÄN</t>
        </is>
      </c>
      <c r="E16263" t="inlineStr">
        <is>
          <t>HAGFORS</t>
        </is>
      </c>
      <c r="F16263" t="inlineStr">
        <is>
          <t>Bergvik skog väst AB</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38226-2024</t>
        </is>
      </c>
      <c r="B16264" s="1" t="n">
        <v>45545</v>
      </c>
      <c r="C16264" s="1" t="n">
        <v>45736</v>
      </c>
      <c r="D16264" t="inlineStr">
        <is>
          <t>VÄRMLANDS LÄN</t>
        </is>
      </c>
      <c r="E16264" t="inlineStr">
        <is>
          <t>MUNKFORS</t>
        </is>
      </c>
      <c r="F16264" t="inlineStr">
        <is>
          <t>Kyrkan</t>
        </is>
      </c>
      <c r="G16264" t="n">
        <v>7.6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38267-2024</t>
        </is>
      </c>
      <c r="B16265" s="1" t="n">
        <v>45545</v>
      </c>
      <c r="C16265" s="1" t="n">
        <v>45736</v>
      </c>
      <c r="D16265" t="inlineStr">
        <is>
          <t>VÄRMLANDS LÄN</t>
        </is>
      </c>
      <c r="E16265" t="inlineStr">
        <is>
          <t>HAGFORS</t>
        </is>
      </c>
      <c r="F16265" t="inlineStr">
        <is>
          <t>Bergvik skog väst AB</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38378-2024</t>
        </is>
      </c>
      <c r="B16266" s="1" t="n">
        <v>45545</v>
      </c>
      <c r="C16266" s="1" t="n">
        <v>45736</v>
      </c>
      <c r="D16266" t="inlineStr">
        <is>
          <t>VÄRMLANDS LÄN</t>
        </is>
      </c>
      <c r="E16266" t="inlineStr">
        <is>
          <t>SUNNE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38337-2024</t>
        </is>
      </c>
      <c r="B16267" s="1" t="n">
        <v>45545</v>
      </c>
      <c r="C16267" s="1" t="n">
        <v>45736</v>
      </c>
      <c r="D16267" t="inlineStr">
        <is>
          <t>VÄRMLANDS LÄN</t>
        </is>
      </c>
      <c r="E16267" t="inlineStr">
        <is>
          <t>GRUMS</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38353-2024</t>
        </is>
      </c>
      <c r="B16268" s="1" t="n">
        <v>45545</v>
      </c>
      <c r="C16268" s="1" t="n">
        <v>45736</v>
      </c>
      <c r="D16268" t="inlineStr">
        <is>
          <t>VÄRMLANDS LÄN</t>
        </is>
      </c>
      <c r="E16268" t="inlineStr">
        <is>
          <t>TORSBY</t>
        </is>
      </c>
      <c r="G16268" t="n">
        <v>20.8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38377-2024</t>
        </is>
      </c>
      <c r="B16269" s="1" t="n">
        <v>45545</v>
      </c>
      <c r="C16269" s="1" t="n">
        <v>45736</v>
      </c>
      <c r="D16269" t="inlineStr">
        <is>
          <t>VÄRMLANDS LÄN</t>
        </is>
      </c>
      <c r="E16269" t="inlineStr">
        <is>
          <t>SUNNE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38236-2024</t>
        </is>
      </c>
      <c r="B16270" s="1" t="n">
        <v>45545</v>
      </c>
      <c r="C16270" s="1" t="n">
        <v>45736</v>
      </c>
      <c r="D16270" t="inlineStr">
        <is>
          <t>VÄRMLANDS LÄN</t>
        </is>
      </c>
      <c r="E16270" t="inlineStr">
        <is>
          <t>HAGFORS</t>
        </is>
      </c>
      <c r="F16270" t="inlineStr">
        <is>
          <t>Bergvik skog väst AB</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38452-2024</t>
        </is>
      </c>
      <c r="B16271" s="1" t="n">
        <v>45546</v>
      </c>
      <c r="C16271" s="1" t="n">
        <v>45736</v>
      </c>
      <c r="D16271" t="inlineStr">
        <is>
          <t>VÄRMLANDS LÄN</t>
        </is>
      </c>
      <c r="E16271" t="inlineStr">
        <is>
          <t>ARVIKA</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38484-2024</t>
        </is>
      </c>
      <c r="B16272" s="1" t="n">
        <v>45546</v>
      </c>
      <c r="C16272" s="1" t="n">
        <v>45736</v>
      </c>
      <c r="D16272" t="inlineStr">
        <is>
          <t>VÄRMLANDS LÄN</t>
        </is>
      </c>
      <c r="E16272" t="inlineStr">
        <is>
          <t>ARVIKA</t>
        </is>
      </c>
      <c r="G16272" t="n">
        <v>10</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38518-2024</t>
        </is>
      </c>
      <c r="B16273" s="1" t="n">
        <v>45546</v>
      </c>
      <c r="C16273" s="1" t="n">
        <v>45736</v>
      </c>
      <c r="D16273" t="inlineStr">
        <is>
          <t>VÄRMLANDS LÄN</t>
        </is>
      </c>
      <c r="E16273" t="inlineStr">
        <is>
          <t>GRUMS</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38526-2024</t>
        </is>
      </c>
      <c r="B16274" s="1" t="n">
        <v>45546</v>
      </c>
      <c r="C16274" s="1" t="n">
        <v>45736</v>
      </c>
      <c r="D16274" t="inlineStr">
        <is>
          <t>VÄRMLANDS LÄN</t>
        </is>
      </c>
      <c r="E16274" t="inlineStr">
        <is>
          <t>KIL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38530-2024</t>
        </is>
      </c>
      <c r="B16275" s="1" t="n">
        <v>45546</v>
      </c>
      <c r="C16275" s="1" t="n">
        <v>45736</v>
      </c>
      <c r="D16275" t="inlineStr">
        <is>
          <t>VÄRMLANDS LÄN</t>
        </is>
      </c>
      <c r="E16275" t="inlineStr">
        <is>
          <t>KIL</t>
        </is>
      </c>
      <c r="G16275" t="n">
        <v>3.7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38538-2024</t>
        </is>
      </c>
      <c r="B16276" s="1" t="n">
        <v>45546</v>
      </c>
      <c r="C16276" s="1" t="n">
        <v>45736</v>
      </c>
      <c r="D16276" t="inlineStr">
        <is>
          <t>VÄRMLANDS LÄN</t>
        </is>
      </c>
      <c r="E16276" t="inlineStr">
        <is>
          <t>ÅRJÄNG</t>
        </is>
      </c>
      <c r="F16276" t="inlineStr">
        <is>
          <t>Bergvik skog väst AB</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38542-2024</t>
        </is>
      </c>
      <c r="B16277" s="1" t="n">
        <v>45546</v>
      </c>
      <c r="C16277" s="1" t="n">
        <v>45736</v>
      </c>
      <c r="D16277" t="inlineStr">
        <is>
          <t>VÄRMLANDS LÄN</t>
        </is>
      </c>
      <c r="E16277" t="inlineStr">
        <is>
          <t>HAGFORS</t>
        </is>
      </c>
      <c r="F16277" t="inlineStr">
        <is>
          <t>Bergvik skog väst AB</t>
        </is>
      </c>
      <c r="G16277" t="n">
        <v>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38582-2024</t>
        </is>
      </c>
      <c r="B16278" s="1" t="n">
        <v>45546</v>
      </c>
      <c r="C16278" s="1" t="n">
        <v>45736</v>
      </c>
      <c r="D16278" t="inlineStr">
        <is>
          <t>VÄRMLANDS LÄN</t>
        </is>
      </c>
      <c r="E16278" t="inlineStr">
        <is>
          <t>GRUMS</t>
        </is>
      </c>
      <c r="F16278" t="inlineStr">
        <is>
          <t>Bergvik skog väst AB</t>
        </is>
      </c>
      <c r="G16278" t="n">
        <v>5.7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38395-2024</t>
        </is>
      </c>
      <c r="B16279" s="1" t="n">
        <v>45546</v>
      </c>
      <c r="C16279" s="1" t="n">
        <v>45736</v>
      </c>
      <c r="D16279" t="inlineStr">
        <is>
          <t>VÄRMLANDS LÄN</t>
        </is>
      </c>
      <c r="E16279" t="inlineStr">
        <is>
          <t>ARVIKA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38474-2024</t>
        </is>
      </c>
      <c r="B16280" s="1" t="n">
        <v>45546</v>
      </c>
      <c r="C16280" s="1" t="n">
        <v>45736</v>
      </c>
      <c r="D16280" t="inlineStr">
        <is>
          <t>VÄRMLANDS LÄN</t>
        </is>
      </c>
      <c r="E16280" t="inlineStr">
        <is>
          <t>HAGFORS</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38482-2024</t>
        </is>
      </c>
      <c r="B16281" s="1" t="n">
        <v>45546</v>
      </c>
      <c r="C16281" s="1" t="n">
        <v>45736</v>
      </c>
      <c r="D16281" t="inlineStr">
        <is>
          <t>VÄRMLANDS LÄN</t>
        </is>
      </c>
      <c r="E16281" t="inlineStr">
        <is>
          <t>ÅRJÄNG</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38425-2024</t>
        </is>
      </c>
      <c r="B16282" s="1" t="n">
        <v>45546</v>
      </c>
      <c r="C16282" s="1" t="n">
        <v>45736</v>
      </c>
      <c r="D16282" t="inlineStr">
        <is>
          <t>VÄRMLANDS LÄN</t>
        </is>
      </c>
      <c r="E16282" t="inlineStr">
        <is>
          <t>ÅRJÄNG</t>
        </is>
      </c>
      <c r="F16282" t="inlineStr">
        <is>
          <t>Bergvik skog väst AB</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38433-2024</t>
        </is>
      </c>
      <c r="B16283" s="1" t="n">
        <v>45546</v>
      </c>
      <c r="C16283" s="1" t="n">
        <v>45736</v>
      </c>
      <c r="D16283" t="inlineStr">
        <is>
          <t>VÄRMLANDS LÄN</t>
        </is>
      </c>
      <c r="E16283" t="inlineStr">
        <is>
          <t>ÅRJÄNG</t>
        </is>
      </c>
      <c r="G16283" t="n">
        <v>0.3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38465-2024</t>
        </is>
      </c>
      <c r="B16284" s="1" t="n">
        <v>45546</v>
      </c>
      <c r="C16284" s="1" t="n">
        <v>45736</v>
      </c>
      <c r="D16284" t="inlineStr">
        <is>
          <t>VÄRMLANDS LÄN</t>
        </is>
      </c>
      <c r="E16284" t="inlineStr">
        <is>
          <t>ÅRJÄNG</t>
        </is>
      </c>
      <c r="F16284" t="inlineStr">
        <is>
          <t>Bergvik skog väst AB</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38469-2024</t>
        </is>
      </c>
      <c r="B16285" s="1" t="n">
        <v>45546</v>
      </c>
      <c r="C16285" s="1" t="n">
        <v>45736</v>
      </c>
      <c r="D16285" t="inlineStr">
        <is>
          <t>VÄRMLANDS LÄN</t>
        </is>
      </c>
      <c r="E16285" t="inlineStr">
        <is>
          <t>KARLSTAD</t>
        </is>
      </c>
      <c r="G16285" t="n">
        <v>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38489-2024</t>
        </is>
      </c>
      <c r="B16286" s="1" t="n">
        <v>45546</v>
      </c>
      <c r="C16286" s="1" t="n">
        <v>45736</v>
      </c>
      <c r="D16286" t="inlineStr">
        <is>
          <t>VÄRMLANDS LÄN</t>
        </is>
      </c>
      <c r="E16286" t="inlineStr">
        <is>
          <t>ÅRJÄNG</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38497-2024</t>
        </is>
      </c>
      <c r="B16287" s="1" t="n">
        <v>45546</v>
      </c>
      <c r="C16287" s="1" t="n">
        <v>45736</v>
      </c>
      <c r="D16287" t="inlineStr">
        <is>
          <t>VÄRMLANDS LÄN</t>
        </is>
      </c>
      <c r="E16287" t="inlineStr">
        <is>
          <t>TORSBY</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38511-2024</t>
        </is>
      </c>
      <c r="B16288" s="1" t="n">
        <v>45546</v>
      </c>
      <c r="C16288" s="1" t="n">
        <v>45736</v>
      </c>
      <c r="D16288" t="inlineStr">
        <is>
          <t>VÄRMLANDS LÄN</t>
        </is>
      </c>
      <c r="E16288" t="inlineStr">
        <is>
          <t>SÄFFLE</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38516-2024</t>
        </is>
      </c>
      <c r="B16289" s="1" t="n">
        <v>45546</v>
      </c>
      <c r="C16289" s="1" t="n">
        <v>45736</v>
      </c>
      <c r="D16289" t="inlineStr">
        <is>
          <t>VÄRMLANDS LÄN</t>
        </is>
      </c>
      <c r="E16289" t="inlineStr">
        <is>
          <t>GRUMS</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38536-2024</t>
        </is>
      </c>
      <c r="B16290" s="1" t="n">
        <v>45546</v>
      </c>
      <c r="C16290" s="1" t="n">
        <v>45736</v>
      </c>
      <c r="D16290" t="inlineStr">
        <is>
          <t>VÄRMLANDS LÄN</t>
        </is>
      </c>
      <c r="E16290" t="inlineStr">
        <is>
          <t>ÅRJÄNG</t>
        </is>
      </c>
      <c r="F16290" t="inlineStr">
        <is>
          <t>Bergvik skog väst AB</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38495-2024</t>
        </is>
      </c>
      <c r="B16291" s="1" t="n">
        <v>45546</v>
      </c>
      <c r="C16291" s="1" t="n">
        <v>45736</v>
      </c>
      <c r="D16291" t="inlineStr">
        <is>
          <t>VÄRMLANDS LÄN</t>
        </is>
      </c>
      <c r="E16291" t="inlineStr">
        <is>
          <t>KARLSTAD</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38500-2024</t>
        </is>
      </c>
      <c r="B16292" s="1" t="n">
        <v>45546</v>
      </c>
      <c r="C16292" s="1" t="n">
        <v>45736</v>
      </c>
      <c r="D16292" t="inlineStr">
        <is>
          <t>VÄRMLANDS LÄN</t>
        </is>
      </c>
      <c r="E16292" t="inlineStr">
        <is>
          <t>HAGFORS</t>
        </is>
      </c>
      <c r="F16292" t="inlineStr">
        <is>
          <t>Bergvik skog väst AB</t>
        </is>
      </c>
      <c r="G16292" t="n">
        <v>9.1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38505-2024</t>
        </is>
      </c>
      <c r="B16293" s="1" t="n">
        <v>45546</v>
      </c>
      <c r="C16293" s="1" t="n">
        <v>45736</v>
      </c>
      <c r="D16293" t="inlineStr">
        <is>
          <t>VÄRMLANDS LÄN</t>
        </is>
      </c>
      <c r="E16293" t="inlineStr">
        <is>
          <t>EDA</t>
        </is>
      </c>
      <c r="G16293" t="n">
        <v>0</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38517-2024</t>
        </is>
      </c>
      <c r="B16294" s="1" t="n">
        <v>45546</v>
      </c>
      <c r="C16294" s="1" t="n">
        <v>45736</v>
      </c>
      <c r="D16294" t="inlineStr">
        <is>
          <t>VÄRMLANDS LÄN</t>
        </is>
      </c>
      <c r="E16294" t="inlineStr">
        <is>
          <t>GRUMS</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38529-2024</t>
        </is>
      </c>
      <c r="B16295" s="1" t="n">
        <v>45546</v>
      </c>
      <c r="C16295" s="1" t="n">
        <v>45736</v>
      </c>
      <c r="D16295" t="inlineStr">
        <is>
          <t>VÄRMLANDS LÄN</t>
        </is>
      </c>
      <c r="E16295" t="inlineStr">
        <is>
          <t>KIL</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38533-2024</t>
        </is>
      </c>
      <c r="B16296" s="1" t="n">
        <v>45546</v>
      </c>
      <c r="C16296" s="1" t="n">
        <v>45736</v>
      </c>
      <c r="D16296" t="inlineStr">
        <is>
          <t>VÄRMLANDS LÄN</t>
        </is>
      </c>
      <c r="E16296" t="inlineStr">
        <is>
          <t>ÅRJÄNG</t>
        </is>
      </c>
      <c r="F16296" t="inlineStr">
        <is>
          <t>Bergvik skog väst AB</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38537-2024</t>
        </is>
      </c>
      <c r="B16297" s="1" t="n">
        <v>45546</v>
      </c>
      <c r="C16297" s="1" t="n">
        <v>45736</v>
      </c>
      <c r="D16297" t="inlineStr">
        <is>
          <t>VÄRMLANDS LÄN</t>
        </is>
      </c>
      <c r="E16297" t="inlineStr">
        <is>
          <t>ÅRJÄNG</t>
        </is>
      </c>
      <c r="F16297" t="inlineStr">
        <is>
          <t>Bergvik skog väst AB</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38561-2024</t>
        </is>
      </c>
      <c r="B16298" s="1" t="n">
        <v>45546</v>
      </c>
      <c r="C16298" s="1" t="n">
        <v>45736</v>
      </c>
      <c r="D16298" t="inlineStr">
        <is>
          <t>VÄRMLANDS LÄN</t>
        </is>
      </c>
      <c r="E16298" t="inlineStr">
        <is>
          <t>KARLSTAD</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38618-2024</t>
        </is>
      </c>
      <c r="B16299" s="1" t="n">
        <v>45546</v>
      </c>
      <c r="C16299" s="1" t="n">
        <v>45736</v>
      </c>
      <c r="D16299" t="inlineStr">
        <is>
          <t>VÄRMLANDS LÄN</t>
        </is>
      </c>
      <c r="E16299" t="inlineStr">
        <is>
          <t>TORSBY</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38531-2024</t>
        </is>
      </c>
      <c r="B16300" s="1" t="n">
        <v>45546</v>
      </c>
      <c r="C16300" s="1" t="n">
        <v>45736</v>
      </c>
      <c r="D16300" t="inlineStr">
        <is>
          <t>VÄRMLANDS LÄN</t>
        </is>
      </c>
      <c r="E16300" t="inlineStr">
        <is>
          <t>KIL</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38539-2024</t>
        </is>
      </c>
      <c r="B16301" s="1" t="n">
        <v>45546</v>
      </c>
      <c r="C16301" s="1" t="n">
        <v>45736</v>
      </c>
      <c r="D16301" t="inlineStr">
        <is>
          <t>VÄRMLANDS LÄN</t>
        </is>
      </c>
      <c r="E16301" t="inlineStr">
        <is>
          <t>KIL</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38659-2024</t>
        </is>
      </c>
      <c r="B16302" s="1" t="n">
        <v>45546</v>
      </c>
      <c r="C16302" s="1" t="n">
        <v>45736</v>
      </c>
      <c r="D16302" t="inlineStr">
        <is>
          <t>VÄRMLANDS LÄN</t>
        </is>
      </c>
      <c r="E16302" t="inlineStr">
        <is>
          <t>SUNNE</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38658-2024</t>
        </is>
      </c>
      <c r="B16303" s="1" t="n">
        <v>45547</v>
      </c>
      <c r="C16303" s="1" t="n">
        <v>45736</v>
      </c>
      <c r="D16303" t="inlineStr">
        <is>
          <t>VÄRMLANDS LÄN</t>
        </is>
      </c>
      <c r="E16303" t="inlineStr">
        <is>
          <t>SUNNE</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38666-2024</t>
        </is>
      </c>
      <c r="B16304" s="1" t="n">
        <v>45547</v>
      </c>
      <c r="C16304" s="1" t="n">
        <v>45736</v>
      </c>
      <c r="D16304" t="inlineStr">
        <is>
          <t>VÄRMLANDS LÄN</t>
        </is>
      </c>
      <c r="E16304" t="inlineStr">
        <is>
          <t>ARVIKA</t>
        </is>
      </c>
      <c r="F16304" t="inlineStr">
        <is>
          <t>Kommuner</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38738-2024</t>
        </is>
      </c>
      <c r="B16305" s="1" t="n">
        <v>45547</v>
      </c>
      <c r="C16305" s="1" t="n">
        <v>45736</v>
      </c>
      <c r="D16305" t="inlineStr">
        <is>
          <t>VÄRMLANDS LÄN</t>
        </is>
      </c>
      <c r="E16305" t="inlineStr">
        <is>
          <t>HAGFORS</t>
        </is>
      </c>
      <c r="F16305" t="inlineStr">
        <is>
          <t>Bergvik skog väst AB</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38764-2024</t>
        </is>
      </c>
      <c r="B16306" s="1" t="n">
        <v>45547</v>
      </c>
      <c r="C16306" s="1" t="n">
        <v>45736</v>
      </c>
      <c r="D16306" t="inlineStr">
        <is>
          <t>VÄRMLANDS LÄN</t>
        </is>
      </c>
      <c r="E16306" t="inlineStr">
        <is>
          <t>SÄFFLE</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38773-2024</t>
        </is>
      </c>
      <c r="B16307" s="1" t="n">
        <v>45547</v>
      </c>
      <c r="C16307" s="1" t="n">
        <v>45736</v>
      </c>
      <c r="D16307" t="inlineStr">
        <is>
          <t>VÄRMLANDS LÄN</t>
        </is>
      </c>
      <c r="E16307" t="inlineStr">
        <is>
          <t>ARVIKA</t>
        </is>
      </c>
      <c r="F16307" t="inlineStr">
        <is>
          <t>Bergvik skog väst AB</t>
        </is>
      </c>
      <c r="G16307" t="n">
        <v>28.7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38776-2024</t>
        </is>
      </c>
      <c r="B16308" s="1" t="n">
        <v>45547</v>
      </c>
      <c r="C16308" s="1" t="n">
        <v>45736</v>
      </c>
      <c r="D16308" t="inlineStr">
        <is>
          <t>VÄRMLANDS LÄN</t>
        </is>
      </c>
      <c r="E16308" t="inlineStr">
        <is>
          <t>SUNNE</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38754-2024</t>
        </is>
      </c>
      <c r="B16309" s="1" t="n">
        <v>45547</v>
      </c>
      <c r="C16309" s="1" t="n">
        <v>45736</v>
      </c>
      <c r="D16309" t="inlineStr">
        <is>
          <t>VÄRMLANDS LÄN</t>
        </is>
      </c>
      <c r="E16309" t="inlineStr">
        <is>
          <t>HAGFORS</t>
        </is>
      </c>
      <c r="F16309" t="inlineStr">
        <is>
          <t>Bergvik skog väst AB</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38806-2024</t>
        </is>
      </c>
      <c r="B16310" s="1" t="n">
        <v>45547</v>
      </c>
      <c r="C16310" s="1" t="n">
        <v>45736</v>
      </c>
      <c r="D16310" t="inlineStr">
        <is>
          <t>VÄRMLANDS LÄN</t>
        </is>
      </c>
      <c r="E16310" t="inlineStr">
        <is>
          <t>HAGFORS</t>
        </is>
      </c>
      <c r="F16310" t="inlineStr">
        <is>
          <t>Bergvik skog väst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38711-2024</t>
        </is>
      </c>
      <c r="B16311" s="1" t="n">
        <v>45547</v>
      </c>
      <c r="C16311" s="1" t="n">
        <v>45736</v>
      </c>
      <c r="D16311" t="inlineStr">
        <is>
          <t>VÄRMLANDS LÄN</t>
        </is>
      </c>
      <c r="E16311" t="inlineStr">
        <is>
          <t>ARVIKA</t>
        </is>
      </c>
      <c r="F16311" t="inlineStr">
        <is>
          <t>Bergvik skog väst AB</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38794-2024</t>
        </is>
      </c>
      <c r="B16312" s="1" t="n">
        <v>45547</v>
      </c>
      <c r="C16312" s="1" t="n">
        <v>45736</v>
      </c>
      <c r="D16312" t="inlineStr">
        <is>
          <t>VÄRMLANDS LÄN</t>
        </is>
      </c>
      <c r="E16312" t="inlineStr">
        <is>
          <t>EDA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38835-2024</t>
        </is>
      </c>
      <c r="B16313" s="1" t="n">
        <v>45547</v>
      </c>
      <c r="C16313" s="1" t="n">
        <v>45736</v>
      </c>
      <c r="D16313" t="inlineStr">
        <is>
          <t>VÄRMLANDS LÄN</t>
        </is>
      </c>
      <c r="E16313" t="inlineStr">
        <is>
          <t>KIL</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38873-2024</t>
        </is>
      </c>
      <c r="B16314" s="1" t="n">
        <v>45547</v>
      </c>
      <c r="C16314" s="1" t="n">
        <v>45736</v>
      </c>
      <c r="D16314" t="inlineStr">
        <is>
          <t>VÄRMLANDS LÄN</t>
        </is>
      </c>
      <c r="E16314" t="inlineStr">
        <is>
          <t>SUNNE</t>
        </is>
      </c>
      <c r="G16314" t="n">
        <v>7.2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38885-2024</t>
        </is>
      </c>
      <c r="B16315" s="1" t="n">
        <v>45547</v>
      </c>
      <c r="C16315" s="1" t="n">
        <v>45736</v>
      </c>
      <c r="D16315" t="inlineStr">
        <is>
          <t>VÄRMLANDS LÄN</t>
        </is>
      </c>
      <c r="E16315" t="inlineStr">
        <is>
          <t>EDA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38828-2024</t>
        </is>
      </c>
      <c r="B16316" s="1" t="n">
        <v>45547</v>
      </c>
      <c r="C16316" s="1" t="n">
        <v>45736</v>
      </c>
      <c r="D16316" t="inlineStr">
        <is>
          <t>VÄRMLANDS LÄN</t>
        </is>
      </c>
      <c r="E16316" t="inlineStr">
        <is>
          <t>FILIPSTAD</t>
        </is>
      </c>
      <c r="F16316" t="inlineStr">
        <is>
          <t>Bergvik skog väst AB</t>
        </is>
      </c>
      <c r="G16316" t="n">
        <v>21.9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38866-2024</t>
        </is>
      </c>
      <c r="B16317" s="1" t="n">
        <v>45547</v>
      </c>
      <c r="C16317" s="1" t="n">
        <v>45736</v>
      </c>
      <c r="D16317" t="inlineStr">
        <is>
          <t>VÄRMLANDS LÄN</t>
        </is>
      </c>
      <c r="E16317" t="inlineStr">
        <is>
          <t>FILIPSTAD</t>
        </is>
      </c>
      <c r="F16317" t="inlineStr">
        <is>
          <t>Bergvik skog väst AB</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38880-2024</t>
        </is>
      </c>
      <c r="B16318" s="1" t="n">
        <v>45547</v>
      </c>
      <c r="C16318" s="1" t="n">
        <v>45736</v>
      </c>
      <c r="D16318" t="inlineStr">
        <is>
          <t>VÄRMLANDS LÄN</t>
        </is>
      </c>
      <c r="E16318" t="inlineStr">
        <is>
          <t>SÄFFLE</t>
        </is>
      </c>
      <c r="G16318" t="n">
        <v>3.1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38913-2024</t>
        </is>
      </c>
      <c r="B16319" s="1" t="n">
        <v>45547</v>
      </c>
      <c r="C16319" s="1" t="n">
        <v>45736</v>
      </c>
      <c r="D16319" t="inlineStr">
        <is>
          <t>VÄRMLANDS LÄN</t>
        </is>
      </c>
      <c r="E16319" t="inlineStr">
        <is>
          <t>SUNNE</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38887-2024</t>
        </is>
      </c>
      <c r="B16320" s="1" t="n">
        <v>45547</v>
      </c>
      <c r="C16320" s="1" t="n">
        <v>45736</v>
      </c>
      <c r="D16320" t="inlineStr">
        <is>
          <t>VÄRMLANDS LÄN</t>
        </is>
      </c>
      <c r="E16320" t="inlineStr">
        <is>
          <t>HAGFORS</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38911-2024</t>
        </is>
      </c>
      <c r="B16321" s="1" t="n">
        <v>45547</v>
      </c>
      <c r="C16321" s="1" t="n">
        <v>45736</v>
      </c>
      <c r="D16321" t="inlineStr">
        <is>
          <t>VÄRMLANDS LÄN</t>
        </is>
      </c>
      <c r="E16321" t="inlineStr">
        <is>
          <t>TORSBY</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38931-2024</t>
        </is>
      </c>
      <c r="B16322" s="1" t="n">
        <v>45548</v>
      </c>
      <c r="C16322" s="1" t="n">
        <v>45736</v>
      </c>
      <c r="D16322" t="inlineStr">
        <is>
          <t>VÄRMLANDS LÄN</t>
        </is>
      </c>
      <c r="E16322" t="inlineStr">
        <is>
          <t>TORSBY</t>
        </is>
      </c>
      <c r="F16322" t="inlineStr">
        <is>
          <t>Bergvik skog väst AB</t>
        </is>
      </c>
      <c r="G16322" t="n">
        <v>10.8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38953-2024</t>
        </is>
      </c>
      <c r="B16323" s="1" t="n">
        <v>45548</v>
      </c>
      <c r="C16323" s="1" t="n">
        <v>45736</v>
      </c>
      <c r="D16323" t="inlineStr">
        <is>
          <t>VÄRMLANDS LÄN</t>
        </is>
      </c>
      <c r="E16323" t="inlineStr">
        <is>
          <t>SUNNE</t>
        </is>
      </c>
      <c r="F16323" t="inlineStr">
        <is>
          <t>Bergvik skog väst AB</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39023-2024</t>
        </is>
      </c>
      <c r="B16324" s="1" t="n">
        <v>45548</v>
      </c>
      <c r="C16324" s="1" t="n">
        <v>45736</v>
      </c>
      <c r="D16324" t="inlineStr">
        <is>
          <t>VÄRMLANDS LÄN</t>
        </is>
      </c>
      <c r="E16324" t="inlineStr">
        <is>
          <t>SUNNE</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39027-2024</t>
        </is>
      </c>
      <c r="B16325" s="1" t="n">
        <v>45548</v>
      </c>
      <c r="C16325" s="1" t="n">
        <v>45736</v>
      </c>
      <c r="D16325" t="inlineStr">
        <is>
          <t>VÄRMLANDS LÄN</t>
        </is>
      </c>
      <c r="E16325" t="inlineStr">
        <is>
          <t>ÅRJÄNG</t>
        </is>
      </c>
      <c r="F16325" t="inlineStr">
        <is>
          <t>Kyrkan</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39039-2024</t>
        </is>
      </c>
      <c r="B16326" s="1" t="n">
        <v>45548</v>
      </c>
      <c r="C16326" s="1" t="n">
        <v>45736</v>
      </c>
      <c r="D16326" t="inlineStr">
        <is>
          <t>VÄRMLANDS LÄN</t>
        </is>
      </c>
      <c r="E16326" t="inlineStr">
        <is>
          <t>KIL</t>
        </is>
      </c>
      <c r="F16326" t="inlineStr">
        <is>
          <t>Kyrkan</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39055-2024</t>
        </is>
      </c>
      <c r="B16327" s="1" t="n">
        <v>45548</v>
      </c>
      <c r="C16327" s="1" t="n">
        <v>45736</v>
      </c>
      <c r="D16327" t="inlineStr">
        <is>
          <t>VÄRMLANDS LÄN</t>
        </is>
      </c>
      <c r="E16327" t="inlineStr">
        <is>
          <t>KIL</t>
        </is>
      </c>
      <c r="F16327" t="inlineStr">
        <is>
          <t>Kyrkan</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39081-2024</t>
        </is>
      </c>
      <c r="B16328" s="1" t="n">
        <v>45548</v>
      </c>
      <c r="C16328" s="1" t="n">
        <v>45736</v>
      </c>
      <c r="D16328" t="inlineStr">
        <is>
          <t>VÄRMLANDS LÄN</t>
        </is>
      </c>
      <c r="E16328" t="inlineStr">
        <is>
          <t>SÄFFLE</t>
        </is>
      </c>
      <c r="G16328" t="n">
        <v>3.3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39098-2024</t>
        </is>
      </c>
      <c r="B16329" s="1" t="n">
        <v>45548</v>
      </c>
      <c r="C16329" s="1" t="n">
        <v>45736</v>
      </c>
      <c r="D16329" t="inlineStr">
        <is>
          <t>VÄRMLANDS LÄN</t>
        </is>
      </c>
      <c r="E16329" t="inlineStr">
        <is>
          <t>SUNNE</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39135-2024</t>
        </is>
      </c>
      <c r="B16330" s="1" t="n">
        <v>45548</v>
      </c>
      <c r="C16330" s="1" t="n">
        <v>45736</v>
      </c>
      <c r="D16330" t="inlineStr">
        <is>
          <t>VÄRMLANDS LÄN</t>
        </is>
      </c>
      <c r="E16330" t="inlineStr">
        <is>
          <t>SUNNE</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39143-2024</t>
        </is>
      </c>
      <c r="B16331" s="1" t="n">
        <v>45548</v>
      </c>
      <c r="C16331" s="1" t="n">
        <v>45736</v>
      </c>
      <c r="D16331" t="inlineStr">
        <is>
          <t>VÄRMLANDS LÄN</t>
        </is>
      </c>
      <c r="E16331" t="inlineStr">
        <is>
          <t>SUNNE</t>
        </is>
      </c>
      <c r="F16331" t="inlineStr">
        <is>
          <t>Kommuner</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39147-2024</t>
        </is>
      </c>
      <c r="B16332" s="1" t="n">
        <v>45548</v>
      </c>
      <c r="C16332" s="1" t="n">
        <v>45736</v>
      </c>
      <c r="D16332" t="inlineStr">
        <is>
          <t>VÄRMLANDS LÄN</t>
        </is>
      </c>
      <c r="E16332" t="inlineStr">
        <is>
          <t>SUNNE</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39030-2024</t>
        </is>
      </c>
      <c r="B16333" s="1" t="n">
        <v>45548</v>
      </c>
      <c r="C16333" s="1" t="n">
        <v>45736</v>
      </c>
      <c r="D16333" t="inlineStr">
        <is>
          <t>VÄRMLANDS LÄN</t>
        </is>
      </c>
      <c r="E16333" t="inlineStr">
        <is>
          <t>SUNNE</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39038-2024</t>
        </is>
      </c>
      <c r="B16334" s="1" t="n">
        <v>45548</v>
      </c>
      <c r="C16334" s="1" t="n">
        <v>45736</v>
      </c>
      <c r="D16334" t="inlineStr">
        <is>
          <t>VÄRMLANDS LÄN</t>
        </is>
      </c>
      <c r="E16334" t="inlineStr">
        <is>
          <t>KARLSTAD</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39129-2024</t>
        </is>
      </c>
      <c r="B16335" s="1" t="n">
        <v>45548</v>
      </c>
      <c r="C16335" s="1" t="n">
        <v>45736</v>
      </c>
      <c r="D16335" t="inlineStr">
        <is>
          <t>VÄRMLANDS LÄN</t>
        </is>
      </c>
      <c r="E16335" t="inlineStr">
        <is>
          <t>ARVIKA</t>
        </is>
      </c>
      <c r="F16335" t="inlineStr">
        <is>
          <t>Bergvik skog väst AB</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39154-2024</t>
        </is>
      </c>
      <c r="B16336" s="1" t="n">
        <v>45548</v>
      </c>
      <c r="C16336" s="1" t="n">
        <v>45736</v>
      </c>
      <c r="D16336" t="inlineStr">
        <is>
          <t>VÄRMLANDS LÄN</t>
        </is>
      </c>
      <c r="E16336" t="inlineStr">
        <is>
          <t>SUNNE</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39158-2024</t>
        </is>
      </c>
      <c r="B16337" s="1" t="n">
        <v>45548</v>
      </c>
      <c r="C16337" s="1" t="n">
        <v>45736</v>
      </c>
      <c r="D16337" t="inlineStr">
        <is>
          <t>VÄRMLANDS LÄN</t>
        </is>
      </c>
      <c r="E16337" t="inlineStr">
        <is>
          <t>ARVIKA</t>
        </is>
      </c>
      <c r="F16337" t="inlineStr">
        <is>
          <t>Bergvik skog väst AB</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39025-2024</t>
        </is>
      </c>
      <c r="B16338" s="1" t="n">
        <v>45548</v>
      </c>
      <c r="C16338" s="1" t="n">
        <v>45736</v>
      </c>
      <c r="D16338" t="inlineStr">
        <is>
          <t>VÄRMLANDS LÄN</t>
        </is>
      </c>
      <c r="E16338" t="inlineStr">
        <is>
          <t>ARVIKA</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39075-2024</t>
        </is>
      </c>
      <c r="B16339" s="1" t="n">
        <v>45548</v>
      </c>
      <c r="C16339" s="1" t="n">
        <v>45736</v>
      </c>
      <c r="D16339" t="inlineStr">
        <is>
          <t>VÄRMLANDS LÄN</t>
        </is>
      </c>
      <c r="E16339" t="inlineStr">
        <is>
          <t>TORSBY</t>
        </is>
      </c>
      <c r="G16339" t="n">
        <v>5.8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39120-2024</t>
        </is>
      </c>
      <c r="B16340" s="1" t="n">
        <v>45548</v>
      </c>
      <c r="C16340" s="1" t="n">
        <v>45736</v>
      </c>
      <c r="D16340" t="inlineStr">
        <is>
          <t>VÄRMLANDS LÄN</t>
        </is>
      </c>
      <c r="E16340" t="inlineStr">
        <is>
          <t>ARVIKA</t>
        </is>
      </c>
      <c r="F16340" t="inlineStr">
        <is>
          <t>Bergvik skog väst AB</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39124-2024</t>
        </is>
      </c>
      <c r="B16341" s="1" t="n">
        <v>45548</v>
      </c>
      <c r="C16341" s="1" t="n">
        <v>45736</v>
      </c>
      <c r="D16341" t="inlineStr">
        <is>
          <t>VÄRMLANDS LÄN</t>
        </is>
      </c>
      <c r="E16341" t="inlineStr">
        <is>
          <t>ARVIKA</t>
        </is>
      </c>
      <c r="F16341" t="inlineStr">
        <is>
          <t>Bergvik skog väst AB</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39149-2024</t>
        </is>
      </c>
      <c r="B16342" s="1" t="n">
        <v>45548</v>
      </c>
      <c r="C16342" s="1" t="n">
        <v>45736</v>
      </c>
      <c r="D16342" t="inlineStr">
        <is>
          <t>VÄRMLANDS LÄN</t>
        </is>
      </c>
      <c r="E16342" t="inlineStr">
        <is>
          <t>ARVIKA</t>
        </is>
      </c>
      <c r="F16342" t="inlineStr">
        <is>
          <t>Bergvik skog väst AB</t>
        </is>
      </c>
      <c r="G16342" t="n">
        <v>5.9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39028-2024</t>
        </is>
      </c>
      <c r="B16343" s="1" t="n">
        <v>45548</v>
      </c>
      <c r="C16343" s="1" t="n">
        <v>45736</v>
      </c>
      <c r="D16343" t="inlineStr">
        <is>
          <t>VÄRMLANDS LÄN</t>
        </is>
      </c>
      <c r="E16343" t="inlineStr">
        <is>
          <t>SUNNE</t>
        </is>
      </c>
      <c r="G16343" t="n">
        <v>6.3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39040-2024</t>
        </is>
      </c>
      <c r="B16344" s="1" t="n">
        <v>45548</v>
      </c>
      <c r="C16344" s="1" t="n">
        <v>45736</v>
      </c>
      <c r="D16344" t="inlineStr">
        <is>
          <t>VÄRMLANDS LÄN</t>
        </is>
      </c>
      <c r="E16344" t="inlineStr">
        <is>
          <t>SUNNE</t>
        </is>
      </c>
      <c r="G16344" t="n">
        <v>5.6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39136-2024</t>
        </is>
      </c>
      <c r="B16345" s="1" t="n">
        <v>45548</v>
      </c>
      <c r="C16345" s="1" t="n">
        <v>45736</v>
      </c>
      <c r="D16345" t="inlineStr">
        <is>
          <t>VÄRMLANDS LÄN</t>
        </is>
      </c>
      <c r="E16345" t="inlineStr">
        <is>
          <t>ARVIKA</t>
        </is>
      </c>
      <c r="F16345" t="inlineStr">
        <is>
          <t>Bergvik skog väst AB</t>
        </is>
      </c>
      <c r="G16345" t="n">
        <v>3.4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39148-2024</t>
        </is>
      </c>
      <c r="B16346" s="1" t="n">
        <v>45548</v>
      </c>
      <c r="C16346" s="1" t="n">
        <v>45736</v>
      </c>
      <c r="D16346" t="inlineStr">
        <is>
          <t>VÄRMLANDS LÄN</t>
        </is>
      </c>
      <c r="E16346" t="inlineStr">
        <is>
          <t>SÄFFLE</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39161-2024</t>
        </is>
      </c>
      <c r="B16347" s="1" t="n">
        <v>45548</v>
      </c>
      <c r="C16347" s="1" t="n">
        <v>45736</v>
      </c>
      <c r="D16347" t="inlineStr">
        <is>
          <t>VÄRMLANDS LÄN</t>
        </is>
      </c>
      <c r="E16347" t="inlineStr">
        <is>
          <t>ARVIKA</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39205-2024</t>
        </is>
      </c>
      <c r="B16348" s="1" t="n">
        <v>45548</v>
      </c>
      <c r="C16348" s="1" t="n">
        <v>45736</v>
      </c>
      <c r="D16348" t="inlineStr">
        <is>
          <t>VÄRMLANDS LÄN</t>
        </is>
      </c>
      <c r="E16348" t="inlineStr">
        <is>
          <t>ÅRJÄNG</t>
        </is>
      </c>
      <c r="F16348" t="inlineStr">
        <is>
          <t>Övriga Aktiebolag</t>
        </is>
      </c>
      <c r="G16348" t="n">
        <v>16.2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39156-2024</t>
        </is>
      </c>
      <c r="B16349" s="1" t="n">
        <v>45548</v>
      </c>
      <c r="C16349" s="1" t="n">
        <v>45736</v>
      </c>
      <c r="D16349" t="inlineStr">
        <is>
          <t>VÄRMLANDS LÄN</t>
        </is>
      </c>
      <c r="E16349" t="inlineStr">
        <is>
          <t>ÅRJÄNG</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39160-2024</t>
        </is>
      </c>
      <c r="B16350" s="1" t="n">
        <v>45548</v>
      </c>
      <c r="C16350" s="1" t="n">
        <v>45736</v>
      </c>
      <c r="D16350" t="inlineStr">
        <is>
          <t>VÄRMLANDS LÄN</t>
        </is>
      </c>
      <c r="E16350" t="inlineStr">
        <is>
          <t>ARVIKA</t>
        </is>
      </c>
      <c r="F16350" t="inlineStr">
        <is>
          <t>Bergvik skog väst AB</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39164-2024</t>
        </is>
      </c>
      <c r="B16351" s="1" t="n">
        <v>45548</v>
      </c>
      <c r="C16351" s="1" t="n">
        <v>45736</v>
      </c>
      <c r="D16351" t="inlineStr">
        <is>
          <t>VÄRMLANDS LÄN</t>
        </is>
      </c>
      <c r="E16351" t="inlineStr">
        <is>
          <t>SUNNE</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39187-2024</t>
        </is>
      </c>
      <c r="B16352" s="1" t="n">
        <v>45548</v>
      </c>
      <c r="C16352" s="1" t="n">
        <v>45736</v>
      </c>
      <c r="D16352" t="inlineStr">
        <is>
          <t>VÄRMLANDS LÄN</t>
        </is>
      </c>
      <c r="E16352" t="inlineStr">
        <is>
          <t>ÅRJÄNG</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39213-2024</t>
        </is>
      </c>
      <c r="B16353" s="1" t="n">
        <v>45549</v>
      </c>
      <c r="C16353" s="1" t="n">
        <v>45736</v>
      </c>
      <c r="D16353" t="inlineStr">
        <is>
          <t>VÄRMLANDS LÄN</t>
        </is>
      </c>
      <c r="E16353" t="inlineStr">
        <is>
          <t>EDA</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39277-2024</t>
        </is>
      </c>
      <c r="B16354" s="1" t="n">
        <v>45551</v>
      </c>
      <c r="C16354" s="1" t="n">
        <v>45736</v>
      </c>
      <c r="D16354" t="inlineStr">
        <is>
          <t>VÄRMLANDS LÄN</t>
        </is>
      </c>
      <c r="E16354" t="inlineStr">
        <is>
          <t>TORSBY</t>
        </is>
      </c>
      <c r="F16354" t="inlineStr">
        <is>
          <t>Bergvik skog väst AB</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39402-2024</t>
        </is>
      </c>
      <c r="B16355" s="1" t="n">
        <v>45551</v>
      </c>
      <c r="C16355" s="1" t="n">
        <v>45736</v>
      </c>
      <c r="D16355" t="inlineStr">
        <is>
          <t>VÄRMLANDS LÄN</t>
        </is>
      </c>
      <c r="E16355" t="inlineStr">
        <is>
          <t>FORSHAGA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39407-2024</t>
        </is>
      </c>
      <c r="B16356" s="1" t="n">
        <v>45551</v>
      </c>
      <c r="C16356" s="1" t="n">
        <v>45736</v>
      </c>
      <c r="D16356" t="inlineStr">
        <is>
          <t>VÄRMLANDS LÄN</t>
        </is>
      </c>
      <c r="E16356" t="inlineStr">
        <is>
          <t>FORSHAGA</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39404-2024</t>
        </is>
      </c>
      <c r="B16357" s="1" t="n">
        <v>45551</v>
      </c>
      <c r="C16357" s="1" t="n">
        <v>45736</v>
      </c>
      <c r="D16357" t="inlineStr">
        <is>
          <t>VÄRMLANDS LÄN</t>
        </is>
      </c>
      <c r="E16357" t="inlineStr">
        <is>
          <t>FORSHAGA</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39409-2024</t>
        </is>
      </c>
      <c r="B16358" s="1" t="n">
        <v>45551</v>
      </c>
      <c r="C16358" s="1" t="n">
        <v>45736</v>
      </c>
      <c r="D16358" t="inlineStr">
        <is>
          <t>VÄRMLANDS LÄN</t>
        </is>
      </c>
      <c r="E16358" t="inlineStr">
        <is>
          <t>GRUMS</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39454-2024</t>
        </is>
      </c>
      <c r="B16359" s="1" t="n">
        <v>45551</v>
      </c>
      <c r="C16359" s="1" t="n">
        <v>45736</v>
      </c>
      <c r="D16359" t="inlineStr">
        <is>
          <t>VÄRMLANDS LÄN</t>
        </is>
      </c>
      <c r="E16359" t="inlineStr">
        <is>
          <t>SUNNE</t>
        </is>
      </c>
      <c r="G16359" t="n">
        <v>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39362-2024</t>
        </is>
      </c>
      <c r="B16360" s="1" t="n">
        <v>45551</v>
      </c>
      <c r="C16360" s="1" t="n">
        <v>45736</v>
      </c>
      <c r="D16360" t="inlineStr">
        <is>
          <t>VÄRMLANDS LÄN</t>
        </is>
      </c>
      <c r="E16360" t="inlineStr">
        <is>
          <t>HAGFORS</t>
        </is>
      </c>
      <c r="F16360" t="inlineStr">
        <is>
          <t>Bergvik skog väst AB</t>
        </is>
      </c>
      <c r="G16360" t="n">
        <v>5.7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39378-2024</t>
        </is>
      </c>
      <c r="B16361" s="1" t="n">
        <v>45551</v>
      </c>
      <c r="C16361" s="1" t="n">
        <v>45736</v>
      </c>
      <c r="D16361" t="inlineStr">
        <is>
          <t>VÄRMLANDS LÄN</t>
        </is>
      </c>
      <c r="E16361" t="inlineStr">
        <is>
          <t>TORSBY</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39383-2024</t>
        </is>
      </c>
      <c r="B16362" s="1" t="n">
        <v>45551</v>
      </c>
      <c r="C16362" s="1" t="n">
        <v>45736</v>
      </c>
      <c r="D16362" t="inlineStr">
        <is>
          <t>VÄRMLANDS LÄN</t>
        </is>
      </c>
      <c r="E16362" t="inlineStr">
        <is>
          <t>TORSBY</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39451-2024</t>
        </is>
      </c>
      <c r="B16363" s="1" t="n">
        <v>45551</v>
      </c>
      <c r="C16363" s="1" t="n">
        <v>45736</v>
      </c>
      <c r="D16363" t="inlineStr">
        <is>
          <t>VÄRMLANDS LÄN</t>
        </is>
      </c>
      <c r="E16363" t="inlineStr">
        <is>
          <t>SUNNE</t>
        </is>
      </c>
      <c r="F16363" t="inlineStr">
        <is>
          <t>Bergvik skog väst AB</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39502-2024</t>
        </is>
      </c>
      <c r="B16364" s="1" t="n">
        <v>45551</v>
      </c>
      <c r="C16364" s="1" t="n">
        <v>45736</v>
      </c>
      <c r="D16364" t="inlineStr">
        <is>
          <t>VÄRMLANDS LÄN</t>
        </is>
      </c>
      <c r="E16364" t="inlineStr">
        <is>
          <t>SUNNE</t>
        </is>
      </c>
      <c r="F16364" t="inlineStr">
        <is>
          <t>Kyrkan</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39504-2024</t>
        </is>
      </c>
      <c r="B16365" s="1" t="n">
        <v>45551</v>
      </c>
      <c r="C16365" s="1" t="n">
        <v>45736</v>
      </c>
      <c r="D16365" t="inlineStr">
        <is>
          <t>VÄRMLANDS LÄN</t>
        </is>
      </c>
      <c r="E16365" t="inlineStr">
        <is>
          <t>KARLSTAD</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39512-2024</t>
        </is>
      </c>
      <c r="B16366" s="1" t="n">
        <v>45551</v>
      </c>
      <c r="C16366" s="1" t="n">
        <v>45736</v>
      </c>
      <c r="D16366" t="inlineStr">
        <is>
          <t>VÄRMLANDS LÄN</t>
        </is>
      </c>
      <c r="E16366" t="inlineStr">
        <is>
          <t>ARVIKA</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39525-2024</t>
        </is>
      </c>
      <c r="B16367" s="1" t="n">
        <v>45551</v>
      </c>
      <c r="C16367" s="1" t="n">
        <v>45736</v>
      </c>
      <c r="D16367" t="inlineStr">
        <is>
          <t>VÄRMLANDS LÄN</t>
        </is>
      </c>
      <c r="E16367" t="inlineStr">
        <is>
          <t>ÅRJÄNG</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39587-2024</t>
        </is>
      </c>
      <c r="B16368" s="1" t="n">
        <v>45551</v>
      </c>
      <c r="C16368" s="1" t="n">
        <v>45736</v>
      </c>
      <c r="D16368" t="inlineStr">
        <is>
          <t>VÄRMLANDS LÄN</t>
        </is>
      </c>
      <c r="E16368" t="inlineStr">
        <is>
          <t>TORSBY</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39569-2024</t>
        </is>
      </c>
      <c r="B16369" s="1" t="n">
        <v>45551</v>
      </c>
      <c r="C16369" s="1" t="n">
        <v>45736</v>
      </c>
      <c r="D16369" t="inlineStr">
        <is>
          <t>VÄRMLANDS LÄN</t>
        </is>
      </c>
      <c r="E16369" t="inlineStr">
        <is>
          <t>TORSBY</t>
        </is>
      </c>
      <c r="G16369" t="n">
        <v>3.5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39538-2024</t>
        </is>
      </c>
      <c r="B16370" s="1" t="n">
        <v>45551</v>
      </c>
      <c r="C16370" s="1" t="n">
        <v>45736</v>
      </c>
      <c r="D16370" t="inlineStr">
        <is>
          <t>VÄRMLANDS LÄN</t>
        </is>
      </c>
      <c r="E16370" t="inlineStr">
        <is>
          <t>SUNNE</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39555-2024</t>
        </is>
      </c>
      <c r="B16371" s="1" t="n">
        <v>45551</v>
      </c>
      <c r="C16371" s="1" t="n">
        <v>45736</v>
      </c>
      <c r="D16371" t="inlineStr">
        <is>
          <t>VÄRMLANDS LÄN</t>
        </is>
      </c>
      <c r="E16371" t="inlineStr">
        <is>
          <t>KARLSTAD</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39567-2024</t>
        </is>
      </c>
      <c r="B16372" s="1" t="n">
        <v>45552</v>
      </c>
      <c r="C16372" s="1" t="n">
        <v>45736</v>
      </c>
      <c r="D16372" t="inlineStr">
        <is>
          <t>VÄRMLANDS LÄN</t>
        </is>
      </c>
      <c r="E16372" t="inlineStr">
        <is>
          <t>TORSBY</t>
        </is>
      </c>
      <c r="F16372" t="inlineStr">
        <is>
          <t>Bergvik skog väst AB</t>
        </is>
      </c>
      <c r="G16372" t="n">
        <v>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39561-2024</t>
        </is>
      </c>
      <c r="B16373" s="1" t="n">
        <v>45552</v>
      </c>
      <c r="C16373" s="1" t="n">
        <v>45736</v>
      </c>
      <c r="D16373" t="inlineStr">
        <is>
          <t>VÄRMLANDS LÄN</t>
        </is>
      </c>
      <c r="E16373" t="inlineStr">
        <is>
          <t>SUNNE</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39583-2024</t>
        </is>
      </c>
      <c r="B16374" s="1" t="n">
        <v>45552</v>
      </c>
      <c r="C16374" s="1" t="n">
        <v>45736</v>
      </c>
      <c r="D16374" t="inlineStr">
        <is>
          <t>VÄRMLANDS LÄN</t>
        </is>
      </c>
      <c r="E16374" t="inlineStr">
        <is>
          <t>EDA</t>
        </is>
      </c>
      <c r="F16374" t="inlineStr">
        <is>
          <t>Kommuner</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39617-2024</t>
        </is>
      </c>
      <c r="B16375" s="1" t="n">
        <v>45552</v>
      </c>
      <c r="C16375" s="1" t="n">
        <v>45736</v>
      </c>
      <c r="D16375" t="inlineStr">
        <is>
          <t>VÄRMLANDS LÄN</t>
        </is>
      </c>
      <c r="E16375" t="inlineStr">
        <is>
          <t>TORSBY</t>
        </is>
      </c>
      <c r="G16375" t="n">
        <v>5.5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39709-2024</t>
        </is>
      </c>
      <c r="B16376" s="1" t="n">
        <v>45552</v>
      </c>
      <c r="C16376" s="1" t="n">
        <v>45736</v>
      </c>
      <c r="D16376" t="inlineStr">
        <is>
          <t>VÄRMLANDS LÄN</t>
        </is>
      </c>
      <c r="E16376" t="inlineStr">
        <is>
          <t>HAGFORS</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39548-2024</t>
        </is>
      </c>
      <c r="B16377" s="1" t="n">
        <v>45552</v>
      </c>
      <c r="C16377" s="1" t="n">
        <v>45736</v>
      </c>
      <c r="D16377" t="inlineStr">
        <is>
          <t>VÄRMLANDS LÄN</t>
        </is>
      </c>
      <c r="E16377" t="inlineStr">
        <is>
          <t>EDA</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39767-2024</t>
        </is>
      </c>
      <c r="B16378" s="1" t="n">
        <v>45552</v>
      </c>
      <c r="C16378" s="1" t="n">
        <v>45736</v>
      </c>
      <c r="D16378" t="inlineStr">
        <is>
          <t>VÄRMLANDS LÄN</t>
        </is>
      </c>
      <c r="E16378" t="inlineStr">
        <is>
          <t>TORSBY</t>
        </is>
      </c>
      <c r="G16378" t="n">
        <v>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39771-2024</t>
        </is>
      </c>
      <c r="B16379" s="1" t="n">
        <v>45552</v>
      </c>
      <c r="C16379" s="1" t="n">
        <v>45736</v>
      </c>
      <c r="D16379" t="inlineStr">
        <is>
          <t>VÄRMLANDS LÄN</t>
        </is>
      </c>
      <c r="E16379" t="inlineStr">
        <is>
          <t>TORSBY</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39612-2024</t>
        </is>
      </c>
      <c r="B16380" s="1" t="n">
        <v>45552</v>
      </c>
      <c r="C16380" s="1" t="n">
        <v>45736</v>
      </c>
      <c r="D16380" t="inlineStr">
        <is>
          <t>VÄRMLANDS LÄN</t>
        </is>
      </c>
      <c r="E16380" t="inlineStr">
        <is>
          <t>HAGFORS</t>
        </is>
      </c>
      <c r="F16380" t="inlineStr">
        <is>
          <t>Bergvik skog väst AB</t>
        </is>
      </c>
      <c r="G16380" t="n">
        <v>6.9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39628-2024</t>
        </is>
      </c>
      <c r="B16381" s="1" t="n">
        <v>45552</v>
      </c>
      <c r="C16381" s="1" t="n">
        <v>45736</v>
      </c>
      <c r="D16381" t="inlineStr">
        <is>
          <t>VÄRMLANDS LÄN</t>
        </is>
      </c>
      <c r="E16381" t="inlineStr">
        <is>
          <t>ARVIKA</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39585-2024</t>
        </is>
      </c>
      <c r="B16382" s="1" t="n">
        <v>45552</v>
      </c>
      <c r="C16382" s="1" t="n">
        <v>45736</v>
      </c>
      <c r="D16382" t="inlineStr">
        <is>
          <t>VÄRMLANDS LÄN</t>
        </is>
      </c>
      <c r="E16382" t="inlineStr">
        <is>
          <t>FILIPSTAD</t>
        </is>
      </c>
      <c r="F16382" t="inlineStr">
        <is>
          <t>Bergvik skog väst AB</t>
        </is>
      </c>
      <c r="G16382" t="n">
        <v>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39746-2024</t>
        </is>
      </c>
      <c r="B16383" s="1" t="n">
        <v>45552</v>
      </c>
      <c r="C16383" s="1" t="n">
        <v>45736</v>
      </c>
      <c r="D16383" t="inlineStr">
        <is>
          <t>VÄRMLANDS LÄN</t>
        </is>
      </c>
      <c r="E16383" t="inlineStr">
        <is>
          <t>TORSBY</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39770-2024</t>
        </is>
      </c>
      <c r="B16384" s="1" t="n">
        <v>45552</v>
      </c>
      <c r="C16384" s="1" t="n">
        <v>45736</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39768-2024</t>
        </is>
      </c>
      <c r="B16385" s="1" t="n">
        <v>45552</v>
      </c>
      <c r="C16385" s="1" t="n">
        <v>45736</v>
      </c>
      <c r="D16385" t="inlineStr">
        <is>
          <t>VÄRMLANDS LÄN</t>
        </is>
      </c>
      <c r="E16385" t="inlineStr">
        <is>
          <t>TORSBY</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39772-2024</t>
        </is>
      </c>
      <c r="B16386" s="1" t="n">
        <v>45552</v>
      </c>
      <c r="C16386" s="1" t="n">
        <v>45736</v>
      </c>
      <c r="D16386" t="inlineStr">
        <is>
          <t>VÄRMLANDS LÄN</t>
        </is>
      </c>
      <c r="E16386" t="inlineStr">
        <is>
          <t>TORSBY</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39769-2024</t>
        </is>
      </c>
      <c r="B16387" s="1" t="n">
        <v>45552</v>
      </c>
      <c r="C16387" s="1" t="n">
        <v>45736</v>
      </c>
      <c r="D16387" t="inlineStr">
        <is>
          <t>VÄRMLANDS LÄN</t>
        </is>
      </c>
      <c r="E16387" t="inlineStr">
        <is>
          <t>TORSBY</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39778-2024</t>
        </is>
      </c>
      <c r="B16388" s="1" t="n">
        <v>45552</v>
      </c>
      <c r="C16388" s="1" t="n">
        <v>45736</v>
      </c>
      <c r="D16388" t="inlineStr">
        <is>
          <t>VÄRMLANDS LÄN</t>
        </is>
      </c>
      <c r="E16388" t="inlineStr">
        <is>
          <t>SUNNE</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39823-2024</t>
        </is>
      </c>
      <c r="B16389" s="1" t="n">
        <v>45553</v>
      </c>
      <c r="C16389" s="1" t="n">
        <v>45736</v>
      </c>
      <c r="D16389" t="inlineStr">
        <is>
          <t>VÄRMLANDS LÄN</t>
        </is>
      </c>
      <c r="E16389" t="inlineStr">
        <is>
          <t>EDA</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39795-2024</t>
        </is>
      </c>
      <c r="B16390" s="1" t="n">
        <v>45553</v>
      </c>
      <c r="C16390" s="1" t="n">
        <v>45736</v>
      </c>
      <c r="D16390" t="inlineStr">
        <is>
          <t>VÄRMLANDS LÄN</t>
        </is>
      </c>
      <c r="E16390" t="inlineStr">
        <is>
          <t>KARLSTAD</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39953-2024</t>
        </is>
      </c>
      <c r="B16391" s="1" t="n">
        <v>45553</v>
      </c>
      <c r="C16391" s="1" t="n">
        <v>45736</v>
      </c>
      <c r="D16391" t="inlineStr">
        <is>
          <t>VÄRMLANDS LÄN</t>
        </is>
      </c>
      <c r="E16391" t="inlineStr">
        <is>
          <t>TORSBY</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39886-2024</t>
        </is>
      </c>
      <c r="B16392" s="1" t="n">
        <v>45553</v>
      </c>
      <c r="C16392" s="1" t="n">
        <v>45736</v>
      </c>
      <c r="D16392" t="inlineStr">
        <is>
          <t>VÄRMLANDS LÄN</t>
        </is>
      </c>
      <c r="E16392" t="inlineStr">
        <is>
          <t>KARLSTAD</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39905-2024</t>
        </is>
      </c>
      <c r="B16393" s="1" t="n">
        <v>45553</v>
      </c>
      <c r="C16393" s="1" t="n">
        <v>45736</v>
      </c>
      <c r="D16393" t="inlineStr">
        <is>
          <t>VÄRMLANDS LÄN</t>
        </is>
      </c>
      <c r="E16393" t="inlineStr">
        <is>
          <t>ÅRJÄNG</t>
        </is>
      </c>
      <c r="F16393" t="inlineStr">
        <is>
          <t>Bergvik skog väst AB</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39923-2024</t>
        </is>
      </c>
      <c r="B16394" s="1" t="n">
        <v>45553</v>
      </c>
      <c r="C16394" s="1" t="n">
        <v>45736</v>
      </c>
      <c r="D16394" t="inlineStr">
        <is>
          <t>VÄRMLANDS LÄN</t>
        </is>
      </c>
      <c r="E16394" t="inlineStr">
        <is>
          <t>ÅRJÄNG</t>
        </is>
      </c>
      <c r="F16394" t="inlineStr">
        <is>
          <t>Bergvik skog väst AB</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39973-2024</t>
        </is>
      </c>
      <c r="B16395" s="1" t="n">
        <v>45553</v>
      </c>
      <c r="C16395" s="1" t="n">
        <v>45736</v>
      </c>
      <c r="D16395" t="inlineStr">
        <is>
          <t>VÄRMLANDS LÄN</t>
        </is>
      </c>
      <c r="E16395" t="inlineStr">
        <is>
          <t>ÅRJÄNG</t>
        </is>
      </c>
      <c r="F16395" t="inlineStr">
        <is>
          <t>Bergvik skog väst AB</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39985-2024</t>
        </is>
      </c>
      <c r="B16396" s="1" t="n">
        <v>45553</v>
      </c>
      <c r="C16396" s="1" t="n">
        <v>45736</v>
      </c>
      <c r="D16396" t="inlineStr">
        <is>
          <t>VÄRMLANDS LÄN</t>
        </is>
      </c>
      <c r="E16396" t="inlineStr">
        <is>
          <t>TORSBY</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39989-2024</t>
        </is>
      </c>
      <c r="B16397" s="1" t="n">
        <v>45553</v>
      </c>
      <c r="C16397" s="1" t="n">
        <v>45736</v>
      </c>
      <c r="D16397" t="inlineStr">
        <is>
          <t>VÄRMLANDS LÄN</t>
        </is>
      </c>
      <c r="E16397" t="inlineStr">
        <is>
          <t>ÅRJÄNG</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39997-2024</t>
        </is>
      </c>
      <c r="B16398" s="1" t="n">
        <v>45553</v>
      </c>
      <c r="C16398" s="1" t="n">
        <v>45736</v>
      </c>
      <c r="D16398" t="inlineStr">
        <is>
          <t>VÄRMLANDS LÄN</t>
        </is>
      </c>
      <c r="E16398" t="inlineStr">
        <is>
          <t>KRISTINEHAMN</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40018-2024</t>
        </is>
      </c>
      <c r="B16399" s="1" t="n">
        <v>45553</v>
      </c>
      <c r="C16399" s="1" t="n">
        <v>45736</v>
      </c>
      <c r="D16399" t="inlineStr">
        <is>
          <t>VÄRMLANDS LÄN</t>
        </is>
      </c>
      <c r="E16399" t="inlineStr">
        <is>
          <t>ARVIKA</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39792-2024</t>
        </is>
      </c>
      <c r="B16400" s="1" t="n">
        <v>45553</v>
      </c>
      <c r="C16400" s="1" t="n">
        <v>45736</v>
      </c>
      <c r="D16400" t="inlineStr">
        <is>
          <t>VÄRMLANDS LÄN</t>
        </is>
      </c>
      <c r="E16400" t="inlineStr">
        <is>
          <t>KARLSTAD</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39796-2024</t>
        </is>
      </c>
      <c r="B16401" s="1" t="n">
        <v>45553</v>
      </c>
      <c r="C16401" s="1" t="n">
        <v>45736</v>
      </c>
      <c r="D16401" t="inlineStr">
        <is>
          <t>VÄRMLANDS LÄN</t>
        </is>
      </c>
      <c r="E16401" t="inlineStr">
        <is>
          <t>KARLSTAD</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39813-2024</t>
        </is>
      </c>
      <c r="B16402" s="1" t="n">
        <v>45553</v>
      </c>
      <c r="C16402" s="1" t="n">
        <v>45736</v>
      </c>
      <c r="D16402" t="inlineStr">
        <is>
          <t>VÄRMLANDS LÄN</t>
        </is>
      </c>
      <c r="E16402" t="inlineStr">
        <is>
          <t>ARVIKA</t>
        </is>
      </c>
      <c r="G16402" t="n">
        <v>10.5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39859-2024</t>
        </is>
      </c>
      <c r="B16403" s="1" t="n">
        <v>45553</v>
      </c>
      <c r="C16403" s="1" t="n">
        <v>45736</v>
      </c>
      <c r="D16403" t="inlineStr">
        <is>
          <t>VÄRMLANDS LÄN</t>
        </is>
      </c>
      <c r="E16403" t="inlineStr">
        <is>
          <t>ARVIKA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39910-2024</t>
        </is>
      </c>
      <c r="B16404" s="1" t="n">
        <v>45553</v>
      </c>
      <c r="C16404" s="1" t="n">
        <v>45736</v>
      </c>
      <c r="D16404" t="inlineStr">
        <is>
          <t>VÄRMLANDS LÄN</t>
        </is>
      </c>
      <c r="E16404" t="inlineStr">
        <is>
          <t>ÅRJÄNG</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40061-2024</t>
        </is>
      </c>
      <c r="B16405" s="1" t="n">
        <v>45554</v>
      </c>
      <c r="C16405" s="1" t="n">
        <v>45736</v>
      </c>
      <c r="D16405" t="inlineStr">
        <is>
          <t>VÄRMLANDS LÄN</t>
        </is>
      </c>
      <c r="E16405" t="inlineStr">
        <is>
          <t>SUNNE</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40060-2024</t>
        </is>
      </c>
      <c r="B16406" s="1" t="n">
        <v>45553</v>
      </c>
      <c r="C16406" s="1" t="n">
        <v>45736</v>
      </c>
      <c r="D16406" t="inlineStr">
        <is>
          <t>VÄRMLANDS LÄN</t>
        </is>
      </c>
      <c r="E16406" t="inlineStr">
        <is>
          <t>SUNNE</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40180-2024</t>
        </is>
      </c>
      <c r="B16407" s="1" t="n">
        <v>45554</v>
      </c>
      <c r="C16407" s="1" t="n">
        <v>45736</v>
      </c>
      <c r="D16407" t="inlineStr">
        <is>
          <t>VÄRMLANDS LÄN</t>
        </is>
      </c>
      <c r="E16407" t="inlineStr">
        <is>
          <t>TORSBY</t>
        </is>
      </c>
      <c r="F16407" t="inlineStr">
        <is>
          <t>Bergvik skog väst AB</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40184-2024</t>
        </is>
      </c>
      <c r="B16408" s="1" t="n">
        <v>45554</v>
      </c>
      <c r="C16408" s="1" t="n">
        <v>45736</v>
      </c>
      <c r="D16408" t="inlineStr">
        <is>
          <t>VÄRMLANDS LÄN</t>
        </is>
      </c>
      <c r="E16408" t="inlineStr">
        <is>
          <t>EDA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40201-2024</t>
        </is>
      </c>
      <c r="B16409" s="1" t="n">
        <v>45554</v>
      </c>
      <c r="C16409" s="1" t="n">
        <v>45736</v>
      </c>
      <c r="D16409" t="inlineStr">
        <is>
          <t>VÄRMLANDS LÄN</t>
        </is>
      </c>
      <c r="E16409" t="inlineStr">
        <is>
          <t>SUNNE</t>
        </is>
      </c>
      <c r="F16409" t="inlineStr">
        <is>
          <t>Bergvik skog väst AB</t>
        </is>
      </c>
      <c r="G16409" t="n">
        <v>7.3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40209-2024</t>
        </is>
      </c>
      <c r="B16410" s="1" t="n">
        <v>45554</v>
      </c>
      <c r="C16410" s="1" t="n">
        <v>45736</v>
      </c>
      <c r="D16410" t="inlineStr">
        <is>
          <t>VÄRMLANDS LÄN</t>
        </is>
      </c>
      <c r="E16410" t="inlineStr">
        <is>
          <t>HAGFORS</t>
        </is>
      </c>
      <c r="F16410" t="inlineStr">
        <is>
          <t>Bergvik skog väst AB</t>
        </is>
      </c>
      <c r="G16410" t="n">
        <v>16.9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40138-2024</t>
        </is>
      </c>
      <c r="B16411" s="1" t="n">
        <v>45554</v>
      </c>
      <c r="C16411" s="1" t="n">
        <v>45736</v>
      </c>
      <c r="D16411" t="inlineStr">
        <is>
          <t>VÄRMLANDS LÄN</t>
        </is>
      </c>
      <c r="E16411" t="inlineStr">
        <is>
          <t>ÅRJÄNG</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40162-2024</t>
        </is>
      </c>
      <c r="B16412" s="1" t="n">
        <v>45554</v>
      </c>
      <c r="C16412" s="1" t="n">
        <v>45736</v>
      </c>
      <c r="D16412" t="inlineStr">
        <is>
          <t>VÄRMLANDS LÄN</t>
        </is>
      </c>
      <c r="E16412" t="inlineStr">
        <is>
          <t>SUNNE</t>
        </is>
      </c>
      <c r="F16412" t="inlineStr">
        <is>
          <t>Bergvik skog väst AB</t>
        </is>
      </c>
      <c r="G16412" t="n">
        <v>10</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40323-2024</t>
        </is>
      </c>
      <c r="B16413" s="1" t="n">
        <v>45554</v>
      </c>
      <c r="C16413" s="1" t="n">
        <v>45736</v>
      </c>
      <c r="D16413" t="inlineStr">
        <is>
          <t>VÄRMLANDS LÄN</t>
        </is>
      </c>
      <c r="E16413" t="inlineStr">
        <is>
          <t>EDA</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40227-2024</t>
        </is>
      </c>
      <c r="B16414" s="1" t="n">
        <v>45554</v>
      </c>
      <c r="C16414" s="1" t="n">
        <v>45736</v>
      </c>
      <c r="D16414" t="inlineStr">
        <is>
          <t>VÄRMLANDS LÄN</t>
        </is>
      </c>
      <c r="E16414" t="inlineStr">
        <is>
          <t>TORSBY</t>
        </is>
      </c>
      <c r="F16414" t="inlineStr">
        <is>
          <t>Bergvik skog väst AB</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40081-2024</t>
        </is>
      </c>
      <c r="B16415" s="1" t="n">
        <v>45554</v>
      </c>
      <c r="C16415" s="1" t="n">
        <v>45736</v>
      </c>
      <c r="D16415" t="inlineStr">
        <is>
          <t>VÄRMLANDS LÄN</t>
        </is>
      </c>
      <c r="E16415" t="inlineStr">
        <is>
          <t>SUNNE</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40157-2024</t>
        </is>
      </c>
      <c r="B16416" s="1" t="n">
        <v>45554</v>
      </c>
      <c r="C16416" s="1" t="n">
        <v>45736</v>
      </c>
      <c r="D16416" t="inlineStr">
        <is>
          <t>VÄRMLANDS LÄN</t>
        </is>
      </c>
      <c r="E16416" t="inlineStr">
        <is>
          <t>TORSBY</t>
        </is>
      </c>
      <c r="F16416" t="inlineStr">
        <is>
          <t>Bergvik skog väst AB</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40194-2024</t>
        </is>
      </c>
      <c r="B16417" s="1" t="n">
        <v>45554</v>
      </c>
      <c r="C16417" s="1" t="n">
        <v>45736</v>
      </c>
      <c r="D16417" t="inlineStr">
        <is>
          <t>VÄRMLANDS LÄN</t>
        </is>
      </c>
      <c r="E16417" t="inlineStr">
        <is>
          <t>HAGFORS</t>
        </is>
      </c>
      <c r="F16417" t="inlineStr">
        <is>
          <t>Bergvik skog väst AB</t>
        </is>
      </c>
      <c r="G16417" t="n">
        <v>6.4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40252-2024</t>
        </is>
      </c>
      <c r="B16418" s="1" t="n">
        <v>45554</v>
      </c>
      <c r="C16418" s="1" t="n">
        <v>45736</v>
      </c>
      <c r="D16418" t="inlineStr">
        <is>
          <t>VÄRMLANDS LÄN</t>
        </is>
      </c>
      <c r="E16418" t="inlineStr">
        <is>
          <t>ÅRJÄNG</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40301-2024</t>
        </is>
      </c>
      <c r="B16419" s="1" t="n">
        <v>45554</v>
      </c>
      <c r="C16419" s="1" t="n">
        <v>45736</v>
      </c>
      <c r="D16419" t="inlineStr">
        <is>
          <t>VÄRMLANDS LÄN</t>
        </is>
      </c>
      <c r="E16419" t="inlineStr">
        <is>
          <t>TORSBY</t>
        </is>
      </c>
      <c r="G16419" t="n">
        <v>7.3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40083-2024</t>
        </is>
      </c>
      <c r="B16420" s="1" t="n">
        <v>45554</v>
      </c>
      <c r="C16420" s="1" t="n">
        <v>45736</v>
      </c>
      <c r="D16420" t="inlineStr">
        <is>
          <t>VÄRMLANDS LÄN</t>
        </is>
      </c>
      <c r="E16420" t="inlineStr">
        <is>
          <t>SUNNE</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40087-2024</t>
        </is>
      </c>
      <c r="B16421" s="1" t="n">
        <v>45554</v>
      </c>
      <c r="C16421" s="1" t="n">
        <v>45736</v>
      </c>
      <c r="D16421" t="inlineStr">
        <is>
          <t>VÄRMLANDS LÄN</t>
        </is>
      </c>
      <c r="E16421" t="inlineStr">
        <is>
          <t>SUNNE</t>
        </is>
      </c>
      <c r="G16421" t="n">
        <v>4.7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40147-2024</t>
        </is>
      </c>
      <c r="B16422" s="1" t="n">
        <v>45554</v>
      </c>
      <c r="C16422" s="1" t="n">
        <v>45736</v>
      </c>
      <c r="D16422" t="inlineStr">
        <is>
          <t>VÄRMLANDS LÄN</t>
        </is>
      </c>
      <c r="E16422" t="inlineStr">
        <is>
          <t>ARVIKA</t>
        </is>
      </c>
      <c r="G16422" t="n">
        <v>4.5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40250-2024</t>
        </is>
      </c>
      <c r="B16423" s="1" t="n">
        <v>45554</v>
      </c>
      <c r="C16423" s="1" t="n">
        <v>45736</v>
      </c>
      <c r="D16423" t="inlineStr">
        <is>
          <t>VÄRMLANDS LÄN</t>
        </is>
      </c>
      <c r="E16423" t="inlineStr">
        <is>
          <t>ARVIKA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40360-2024</t>
        </is>
      </c>
      <c r="B16424" s="1" t="n">
        <v>45555</v>
      </c>
      <c r="C16424" s="1" t="n">
        <v>45736</v>
      </c>
      <c r="D16424" t="inlineStr">
        <is>
          <t>VÄRMLANDS LÄN</t>
        </is>
      </c>
      <c r="E16424" t="inlineStr">
        <is>
          <t>ÅRJÄNG</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40330-2024</t>
        </is>
      </c>
      <c r="B16425" s="1" t="n">
        <v>45555</v>
      </c>
      <c r="C16425" s="1" t="n">
        <v>45736</v>
      </c>
      <c r="D16425" t="inlineStr">
        <is>
          <t>VÄRMLANDS LÄN</t>
        </is>
      </c>
      <c r="E16425" t="inlineStr">
        <is>
          <t>ÅRJÄNG</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40334-2024</t>
        </is>
      </c>
      <c r="B16426" s="1" t="n">
        <v>45555</v>
      </c>
      <c r="C16426" s="1" t="n">
        <v>45736</v>
      </c>
      <c r="D16426" t="inlineStr">
        <is>
          <t>VÄRMLANDS LÄN</t>
        </is>
      </c>
      <c r="E16426" t="inlineStr">
        <is>
          <t>SUNNE</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40346-2024</t>
        </is>
      </c>
      <c r="B16427" s="1" t="n">
        <v>45555</v>
      </c>
      <c r="C16427" s="1" t="n">
        <v>45736</v>
      </c>
      <c r="D16427" t="inlineStr">
        <is>
          <t>VÄRMLANDS LÄN</t>
        </is>
      </c>
      <c r="E16427" t="inlineStr">
        <is>
          <t>ÅRJÄNG</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40367-2024</t>
        </is>
      </c>
      <c r="B16428" s="1" t="n">
        <v>45555</v>
      </c>
      <c r="C16428" s="1" t="n">
        <v>45736</v>
      </c>
      <c r="D16428" t="inlineStr">
        <is>
          <t>VÄRMLANDS LÄN</t>
        </is>
      </c>
      <c r="E16428" t="inlineStr">
        <is>
          <t>EDA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40333-2024</t>
        </is>
      </c>
      <c r="B16429" s="1" t="n">
        <v>45555</v>
      </c>
      <c r="C16429" s="1" t="n">
        <v>45736</v>
      </c>
      <c r="D16429" t="inlineStr">
        <is>
          <t>VÄRMLANDS LÄN</t>
        </is>
      </c>
      <c r="E16429" t="inlineStr">
        <is>
          <t>ÅRJÄNG</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40349-2024</t>
        </is>
      </c>
      <c r="B16430" s="1" t="n">
        <v>45555</v>
      </c>
      <c r="C16430" s="1" t="n">
        <v>45736</v>
      </c>
      <c r="D16430" t="inlineStr">
        <is>
          <t>VÄRMLANDS LÄN</t>
        </is>
      </c>
      <c r="E16430" t="inlineStr">
        <is>
          <t>ÅRJÄNG</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40441-2024</t>
        </is>
      </c>
      <c r="B16431" s="1" t="n">
        <v>45555</v>
      </c>
      <c r="C16431" s="1" t="n">
        <v>45736</v>
      </c>
      <c r="D16431" t="inlineStr">
        <is>
          <t>VÄRMLANDS LÄN</t>
        </is>
      </c>
      <c r="E16431" t="inlineStr">
        <is>
          <t>ARVIKA</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40436-2024</t>
        </is>
      </c>
      <c r="B16432" s="1" t="n">
        <v>45555</v>
      </c>
      <c r="C16432" s="1" t="n">
        <v>45736</v>
      </c>
      <c r="D16432" t="inlineStr">
        <is>
          <t>VÄRMLANDS LÄN</t>
        </is>
      </c>
      <c r="E16432" t="inlineStr">
        <is>
          <t>ARVIKA</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40457-2024</t>
        </is>
      </c>
      <c r="B16433" s="1" t="n">
        <v>45555</v>
      </c>
      <c r="C16433" s="1" t="n">
        <v>45736</v>
      </c>
      <c r="D16433" t="inlineStr">
        <is>
          <t>VÄRMLANDS LÄN</t>
        </is>
      </c>
      <c r="E16433" t="inlineStr">
        <is>
          <t>FILIPSTAD</t>
        </is>
      </c>
      <c r="F16433" t="inlineStr">
        <is>
          <t>Kyrkan</t>
        </is>
      </c>
      <c r="G16433" t="n">
        <v>9.199999999999999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40509-2024</t>
        </is>
      </c>
      <c r="B16434" s="1" t="n">
        <v>45555</v>
      </c>
      <c r="C16434" s="1" t="n">
        <v>45736</v>
      </c>
      <c r="D16434" t="inlineStr">
        <is>
          <t>VÄRMLANDS LÄN</t>
        </is>
      </c>
      <c r="E16434" t="inlineStr">
        <is>
          <t>ARVIKA</t>
        </is>
      </c>
      <c r="F16434" t="inlineStr">
        <is>
          <t>Kommuner</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40541-2024</t>
        </is>
      </c>
      <c r="B16435" s="1" t="n">
        <v>45555</v>
      </c>
      <c r="C16435" s="1" t="n">
        <v>45736</v>
      </c>
      <c r="D16435" t="inlineStr">
        <is>
          <t>VÄRMLANDS LÄN</t>
        </is>
      </c>
      <c r="E16435" t="inlineStr">
        <is>
          <t>TORSBY</t>
        </is>
      </c>
      <c r="F16435" t="inlineStr">
        <is>
          <t>Bergvik skog väst AB</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40565-2024</t>
        </is>
      </c>
      <c r="B16436" s="1" t="n">
        <v>45555</v>
      </c>
      <c r="C16436" s="1" t="n">
        <v>45736</v>
      </c>
      <c r="D16436" t="inlineStr">
        <is>
          <t>VÄRMLANDS LÄN</t>
        </is>
      </c>
      <c r="E16436" t="inlineStr">
        <is>
          <t>TORSBY</t>
        </is>
      </c>
      <c r="F16436" t="inlineStr">
        <is>
          <t>Bergvik skog väst AB</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40573-2024</t>
        </is>
      </c>
      <c r="B16437" s="1" t="n">
        <v>45555</v>
      </c>
      <c r="C16437" s="1" t="n">
        <v>45736</v>
      </c>
      <c r="D16437" t="inlineStr">
        <is>
          <t>VÄRMLANDS LÄN</t>
        </is>
      </c>
      <c r="E16437" t="inlineStr">
        <is>
          <t>TORSBY</t>
        </is>
      </c>
      <c r="F16437" t="inlineStr">
        <is>
          <t>Bergvik skog väst AB</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40572-2024</t>
        </is>
      </c>
      <c r="B16438" s="1" t="n">
        <v>45555</v>
      </c>
      <c r="C16438" s="1" t="n">
        <v>45736</v>
      </c>
      <c r="D16438" t="inlineStr">
        <is>
          <t>VÄRMLANDS LÄN</t>
        </is>
      </c>
      <c r="E16438" t="inlineStr">
        <is>
          <t>ARVIKA</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40422-2024</t>
        </is>
      </c>
      <c r="B16439" s="1" t="n">
        <v>45555</v>
      </c>
      <c r="C16439" s="1" t="n">
        <v>45736</v>
      </c>
      <c r="D16439" t="inlineStr">
        <is>
          <t>VÄRMLANDS LÄN</t>
        </is>
      </c>
      <c r="E16439" t="inlineStr">
        <is>
          <t>ARVIKA</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40446-2024</t>
        </is>
      </c>
      <c r="B16440" s="1" t="n">
        <v>45555</v>
      </c>
      <c r="C16440" s="1" t="n">
        <v>45736</v>
      </c>
      <c r="D16440" t="inlineStr">
        <is>
          <t>VÄRMLANDS LÄN</t>
        </is>
      </c>
      <c r="E16440" t="inlineStr">
        <is>
          <t>ARVIKA</t>
        </is>
      </c>
      <c r="G16440" t="n">
        <v>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40466-2024</t>
        </is>
      </c>
      <c r="B16441" s="1" t="n">
        <v>45555</v>
      </c>
      <c r="C16441" s="1" t="n">
        <v>45736</v>
      </c>
      <c r="D16441" t="inlineStr">
        <is>
          <t>VÄRMLANDS LÄN</t>
        </is>
      </c>
      <c r="E16441" t="inlineStr">
        <is>
          <t>SÄFFLE</t>
        </is>
      </c>
      <c r="G16441" t="n">
        <v>17.3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40518-2024</t>
        </is>
      </c>
      <c r="B16442" s="1" t="n">
        <v>45555</v>
      </c>
      <c r="C16442" s="1" t="n">
        <v>45736</v>
      </c>
      <c r="D16442" t="inlineStr">
        <is>
          <t>VÄRMLANDS LÄN</t>
        </is>
      </c>
      <c r="E16442" t="inlineStr">
        <is>
          <t>SÄFFLE</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40546-2024</t>
        </is>
      </c>
      <c r="B16443" s="1" t="n">
        <v>45555</v>
      </c>
      <c r="C16443" s="1" t="n">
        <v>45736</v>
      </c>
      <c r="D16443" t="inlineStr">
        <is>
          <t>VÄRMLANDS LÄN</t>
        </is>
      </c>
      <c r="E16443" t="inlineStr">
        <is>
          <t>TORSBY</t>
        </is>
      </c>
      <c r="F16443" t="inlineStr">
        <is>
          <t>Bergvik skog väst AB</t>
        </is>
      </c>
      <c r="G16443" t="n">
        <v>13.9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40582-2024</t>
        </is>
      </c>
      <c r="B16444" s="1" t="n">
        <v>45555</v>
      </c>
      <c r="C16444" s="1" t="n">
        <v>45736</v>
      </c>
      <c r="D16444" t="inlineStr">
        <is>
          <t>VÄRMLANDS LÄN</t>
        </is>
      </c>
      <c r="E16444" t="inlineStr">
        <is>
          <t>ARVIKA</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40583-2024</t>
        </is>
      </c>
      <c r="B16445" s="1" t="n">
        <v>45555</v>
      </c>
      <c r="C16445" s="1" t="n">
        <v>45736</v>
      </c>
      <c r="D16445" t="inlineStr">
        <is>
          <t>VÄRMLANDS LÄN</t>
        </is>
      </c>
      <c r="E16445" t="inlineStr">
        <is>
          <t>ARVIKA</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40644-2024</t>
        </is>
      </c>
      <c r="B16446" s="1" t="n">
        <v>45557</v>
      </c>
      <c r="C16446" s="1" t="n">
        <v>45736</v>
      </c>
      <c r="D16446" t="inlineStr">
        <is>
          <t>VÄRMLANDS LÄN</t>
        </is>
      </c>
      <c r="E16446" t="inlineStr">
        <is>
          <t>ÅRJÄNG</t>
        </is>
      </c>
      <c r="F16446" t="inlineStr">
        <is>
          <t>Övriga Aktiebolag</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40628-2024</t>
        </is>
      </c>
      <c r="B16447" s="1" t="n">
        <v>45557</v>
      </c>
      <c r="C16447" s="1" t="n">
        <v>45736</v>
      </c>
      <c r="D16447" t="inlineStr">
        <is>
          <t>VÄRMLANDS LÄN</t>
        </is>
      </c>
      <c r="E16447" t="inlineStr">
        <is>
          <t>ÅRJÄNG</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40759-2024</t>
        </is>
      </c>
      <c r="B16448" s="1" t="n">
        <v>45558</v>
      </c>
      <c r="C16448" s="1" t="n">
        <v>45736</v>
      </c>
      <c r="D16448" t="inlineStr">
        <is>
          <t>VÄRMLANDS LÄN</t>
        </is>
      </c>
      <c r="E16448" t="inlineStr">
        <is>
          <t>SÄFFLE</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40685-2024</t>
        </is>
      </c>
      <c r="B16449" s="1" t="n">
        <v>45558</v>
      </c>
      <c r="C16449" s="1" t="n">
        <v>45736</v>
      </c>
      <c r="D16449" t="inlineStr">
        <is>
          <t>VÄRMLANDS LÄN</t>
        </is>
      </c>
      <c r="E16449" t="inlineStr">
        <is>
          <t>ÅRJÄNG</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40754-2024</t>
        </is>
      </c>
      <c r="B16450" s="1" t="n">
        <v>45558</v>
      </c>
      <c r="C16450" s="1" t="n">
        <v>45736</v>
      </c>
      <c r="D16450" t="inlineStr">
        <is>
          <t>VÄRMLANDS LÄN</t>
        </is>
      </c>
      <c r="E16450" t="inlineStr">
        <is>
          <t>SÄFFLE</t>
        </is>
      </c>
      <c r="G16450" t="n">
        <v>1.8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40767-2024</t>
        </is>
      </c>
      <c r="B16451" s="1" t="n">
        <v>45558</v>
      </c>
      <c r="C16451" s="1" t="n">
        <v>45736</v>
      </c>
      <c r="D16451" t="inlineStr">
        <is>
          <t>VÄRMLANDS LÄN</t>
        </is>
      </c>
      <c r="E16451" t="inlineStr">
        <is>
          <t>KRISTINEHAMN</t>
        </is>
      </c>
      <c r="F16451" t="inlineStr">
        <is>
          <t>Kommuner</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40808-2024</t>
        </is>
      </c>
      <c r="B16452" s="1" t="n">
        <v>45558</v>
      </c>
      <c r="C16452" s="1" t="n">
        <v>45736</v>
      </c>
      <c r="D16452" t="inlineStr">
        <is>
          <t>VÄRMLANDS LÄN</t>
        </is>
      </c>
      <c r="E16452" t="inlineStr">
        <is>
          <t>EDA</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40853-2024</t>
        </is>
      </c>
      <c r="B16453" s="1" t="n">
        <v>45558</v>
      </c>
      <c r="C16453" s="1" t="n">
        <v>45736</v>
      </c>
      <c r="D16453" t="inlineStr">
        <is>
          <t>VÄRMLANDS LÄN</t>
        </is>
      </c>
      <c r="E16453" t="inlineStr">
        <is>
          <t>KIL</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40898-2024</t>
        </is>
      </c>
      <c r="B16454" s="1" t="n">
        <v>45558</v>
      </c>
      <c r="C16454" s="1" t="n">
        <v>45736</v>
      </c>
      <c r="D16454" t="inlineStr">
        <is>
          <t>VÄRMLANDS LÄN</t>
        </is>
      </c>
      <c r="E16454" t="inlineStr">
        <is>
          <t>FORSHAGA</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40914-2024</t>
        </is>
      </c>
      <c r="B16455" s="1" t="n">
        <v>45558</v>
      </c>
      <c r="C16455" s="1" t="n">
        <v>45736</v>
      </c>
      <c r="D16455" t="inlineStr">
        <is>
          <t>VÄRMLANDS LÄN</t>
        </is>
      </c>
      <c r="E16455" t="inlineStr">
        <is>
          <t>TORSBY</t>
        </is>
      </c>
      <c r="G16455" t="n">
        <v>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40959-2024</t>
        </is>
      </c>
      <c r="B16456" s="1" t="n">
        <v>45558</v>
      </c>
      <c r="C16456" s="1" t="n">
        <v>45736</v>
      </c>
      <c r="D16456" t="inlineStr">
        <is>
          <t>VÄRMLANDS LÄN</t>
        </is>
      </c>
      <c r="E16456" t="inlineStr">
        <is>
          <t>HAGFORS</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40807-2024</t>
        </is>
      </c>
      <c r="B16457" s="1" t="n">
        <v>45558</v>
      </c>
      <c r="C16457" s="1" t="n">
        <v>45736</v>
      </c>
      <c r="D16457" t="inlineStr">
        <is>
          <t>VÄRMLANDS LÄN</t>
        </is>
      </c>
      <c r="E16457" t="inlineStr">
        <is>
          <t>TORSBY</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40888-2024</t>
        </is>
      </c>
      <c r="B16458" s="1" t="n">
        <v>45558</v>
      </c>
      <c r="C16458" s="1" t="n">
        <v>45736</v>
      </c>
      <c r="D16458" t="inlineStr">
        <is>
          <t>VÄRMLANDS LÄN</t>
        </is>
      </c>
      <c r="E16458" t="inlineStr">
        <is>
          <t>ARVIKA</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40905-2024</t>
        </is>
      </c>
      <c r="B16459" s="1" t="n">
        <v>45558</v>
      </c>
      <c r="C16459" s="1" t="n">
        <v>45736</v>
      </c>
      <c r="D16459" t="inlineStr">
        <is>
          <t>VÄRMLANDS LÄN</t>
        </is>
      </c>
      <c r="E16459" t="inlineStr">
        <is>
          <t>ARVIKA</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40992-2024</t>
        </is>
      </c>
      <c r="B16460" s="1" t="n">
        <v>45558</v>
      </c>
      <c r="C16460" s="1" t="n">
        <v>45736</v>
      </c>
      <c r="D16460" t="inlineStr">
        <is>
          <t>VÄRMLANDS LÄN</t>
        </is>
      </c>
      <c r="E16460" t="inlineStr">
        <is>
          <t>ARVIKA</t>
        </is>
      </c>
      <c r="G16460" t="n">
        <v>5.7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40810-2024</t>
        </is>
      </c>
      <c r="B16461" s="1" t="n">
        <v>45558</v>
      </c>
      <c r="C16461" s="1" t="n">
        <v>45736</v>
      </c>
      <c r="D16461" t="inlineStr">
        <is>
          <t>VÄRMLANDS LÄN</t>
        </is>
      </c>
      <c r="E16461" t="inlineStr">
        <is>
          <t>TORSBY</t>
        </is>
      </c>
      <c r="G16461" t="n">
        <v>6.2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40961-2024</t>
        </is>
      </c>
      <c r="B16462" s="1" t="n">
        <v>45558</v>
      </c>
      <c r="C16462" s="1" t="n">
        <v>45736</v>
      </c>
      <c r="D16462" t="inlineStr">
        <is>
          <t>VÄRMLANDS LÄN</t>
        </is>
      </c>
      <c r="E16462" t="inlineStr">
        <is>
          <t>SUNNE</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40740-2024</t>
        </is>
      </c>
      <c r="B16463" s="1" t="n">
        <v>45558</v>
      </c>
      <c r="C16463" s="1" t="n">
        <v>45736</v>
      </c>
      <c r="D16463" t="inlineStr">
        <is>
          <t>VÄRMLANDS LÄN</t>
        </is>
      </c>
      <c r="E16463" t="inlineStr">
        <is>
          <t>SUNNE</t>
        </is>
      </c>
      <c r="G16463" t="n">
        <v>21.9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40789-2024</t>
        </is>
      </c>
      <c r="B16464" s="1" t="n">
        <v>45558</v>
      </c>
      <c r="C16464" s="1" t="n">
        <v>45736</v>
      </c>
      <c r="D16464" t="inlineStr">
        <is>
          <t>VÄRMLANDS LÄN</t>
        </is>
      </c>
      <c r="E16464" t="inlineStr">
        <is>
          <t>HAGFORS</t>
        </is>
      </c>
      <c r="F16464" t="inlineStr">
        <is>
          <t>Bergvik skog väst AB</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40826-2024</t>
        </is>
      </c>
      <c r="B16465" s="1" t="n">
        <v>45558</v>
      </c>
      <c r="C16465" s="1" t="n">
        <v>45736</v>
      </c>
      <c r="D16465" t="inlineStr">
        <is>
          <t>VÄRMLANDS LÄN</t>
        </is>
      </c>
      <c r="E16465" t="inlineStr">
        <is>
          <t>EDA</t>
        </is>
      </c>
      <c r="G16465" t="n">
        <v>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40874-2024</t>
        </is>
      </c>
      <c r="B16466" s="1" t="n">
        <v>45558</v>
      </c>
      <c r="C16466" s="1" t="n">
        <v>45736</v>
      </c>
      <c r="D16466" t="inlineStr">
        <is>
          <t>VÄRMLANDS LÄN</t>
        </is>
      </c>
      <c r="E16466" t="inlineStr">
        <is>
          <t>EDA</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40955-2024</t>
        </is>
      </c>
      <c r="B16467" s="1" t="n">
        <v>45558</v>
      </c>
      <c r="C16467" s="1" t="n">
        <v>45736</v>
      </c>
      <c r="D16467" t="inlineStr">
        <is>
          <t>VÄRMLANDS LÄN</t>
        </is>
      </c>
      <c r="E16467" t="inlineStr">
        <is>
          <t>EDA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40981-2024</t>
        </is>
      </c>
      <c r="B16468" s="1" t="n">
        <v>45558</v>
      </c>
      <c r="C16468" s="1" t="n">
        <v>45736</v>
      </c>
      <c r="D16468" t="inlineStr">
        <is>
          <t>VÄRMLANDS LÄN</t>
        </is>
      </c>
      <c r="E16468" t="inlineStr">
        <is>
          <t>ARVIKA</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40987-2024</t>
        </is>
      </c>
      <c r="B16469" s="1" t="n">
        <v>45558</v>
      </c>
      <c r="C16469" s="1" t="n">
        <v>45736</v>
      </c>
      <c r="D16469" t="inlineStr">
        <is>
          <t>VÄRMLANDS LÄN</t>
        </is>
      </c>
      <c r="E16469" t="inlineStr">
        <is>
          <t>TORSBY</t>
        </is>
      </c>
      <c r="G16469" t="n">
        <v>11.6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40999-2024</t>
        </is>
      </c>
      <c r="B16470" s="1" t="n">
        <v>45558</v>
      </c>
      <c r="C16470" s="1" t="n">
        <v>45736</v>
      </c>
      <c r="D16470" t="inlineStr">
        <is>
          <t>VÄRMLANDS LÄN</t>
        </is>
      </c>
      <c r="E16470" t="inlineStr">
        <is>
          <t>ARVIKA</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41031-2024</t>
        </is>
      </c>
      <c r="B16471" s="1" t="n">
        <v>45559</v>
      </c>
      <c r="C16471" s="1" t="n">
        <v>45736</v>
      </c>
      <c r="D16471" t="inlineStr">
        <is>
          <t>VÄRMLANDS LÄN</t>
        </is>
      </c>
      <c r="E16471" t="inlineStr">
        <is>
          <t>EDA</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41036-2024</t>
        </is>
      </c>
      <c r="B16472" s="1" t="n">
        <v>45559</v>
      </c>
      <c r="C16472" s="1" t="n">
        <v>45736</v>
      </c>
      <c r="D16472" t="inlineStr">
        <is>
          <t>VÄRMLANDS LÄN</t>
        </is>
      </c>
      <c r="E16472" t="inlineStr">
        <is>
          <t>EDA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41092-2024</t>
        </is>
      </c>
      <c r="B16473" s="1" t="n">
        <v>45559</v>
      </c>
      <c r="C16473" s="1" t="n">
        <v>45736</v>
      </c>
      <c r="D16473" t="inlineStr">
        <is>
          <t>VÄRMLANDS LÄN</t>
        </is>
      </c>
      <c r="E16473" t="inlineStr">
        <is>
          <t>HAGFORS</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41127-2024</t>
        </is>
      </c>
      <c r="B16474" s="1" t="n">
        <v>45559</v>
      </c>
      <c r="C16474" s="1" t="n">
        <v>45736</v>
      </c>
      <c r="D16474" t="inlineStr">
        <is>
          <t>VÄRMLANDS LÄN</t>
        </is>
      </c>
      <c r="E16474" t="inlineStr">
        <is>
          <t>ARVIKA</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41161-2024</t>
        </is>
      </c>
      <c r="B16475" s="1" t="n">
        <v>45559</v>
      </c>
      <c r="C16475" s="1" t="n">
        <v>45736</v>
      </c>
      <c r="D16475" t="inlineStr">
        <is>
          <t>VÄRMLANDS LÄN</t>
        </is>
      </c>
      <c r="E16475" t="inlineStr">
        <is>
          <t>TORSBY</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41162-2024</t>
        </is>
      </c>
      <c r="B16476" s="1" t="n">
        <v>45559</v>
      </c>
      <c r="C16476" s="1" t="n">
        <v>45736</v>
      </c>
      <c r="D16476" t="inlineStr">
        <is>
          <t>VÄRMLANDS LÄN</t>
        </is>
      </c>
      <c r="E16476" t="inlineStr">
        <is>
          <t>TORSBY</t>
        </is>
      </c>
      <c r="G16476" t="n">
        <v>8.5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41175-2024</t>
        </is>
      </c>
      <c r="B16477" s="1" t="n">
        <v>45559</v>
      </c>
      <c r="C16477" s="1" t="n">
        <v>45736</v>
      </c>
      <c r="D16477" t="inlineStr">
        <is>
          <t>VÄRMLANDS LÄN</t>
        </is>
      </c>
      <c r="E16477" t="inlineStr">
        <is>
          <t>ARVIKA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41203-2024</t>
        </is>
      </c>
      <c r="B16478" s="1" t="n">
        <v>45559</v>
      </c>
      <c r="C16478" s="1" t="n">
        <v>45736</v>
      </c>
      <c r="D16478" t="inlineStr">
        <is>
          <t>VÄRMLANDS LÄN</t>
        </is>
      </c>
      <c r="E16478" t="inlineStr">
        <is>
          <t>ARVIKA</t>
        </is>
      </c>
      <c r="F16478" t="inlineStr">
        <is>
          <t>Kommuner</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41235-2024</t>
        </is>
      </c>
      <c r="B16479" s="1" t="n">
        <v>45559</v>
      </c>
      <c r="C16479" s="1" t="n">
        <v>45736</v>
      </c>
      <c r="D16479" t="inlineStr">
        <is>
          <t>VÄRMLANDS LÄN</t>
        </is>
      </c>
      <c r="E16479" t="inlineStr">
        <is>
          <t>ARVIKA</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41206-2024</t>
        </is>
      </c>
      <c r="B16480" s="1" t="n">
        <v>45559</v>
      </c>
      <c r="C16480" s="1" t="n">
        <v>45736</v>
      </c>
      <c r="D16480" t="inlineStr">
        <is>
          <t>VÄRMLANDS LÄN</t>
        </is>
      </c>
      <c r="E16480" t="inlineStr">
        <is>
          <t>ÅRJÄNG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41239-2024</t>
        </is>
      </c>
      <c r="B16481" s="1" t="n">
        <v>45559</v>
      </c>
      <c r="C16481" s="1" t="n">
        <v>45736</v>
      </c>
      <c r="D16481" t="inlineStr">
        <is>
          <t>VÄRMLANDS LÄN</t>
        </is>
      </c>
      <c r="E16481" t="inlineStr">
        <is>
          <t>ARVIKA</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41336-2024</t>
        </is>
      </c>
      <c r="B16482" s="1" t="n">
        <v>45559</v>
      </c>
      <c r="C16482" s="1" t="n">
        <v>45736</v>
      </c>
      <c r="D16482" t="inlineStr">
        <is>
          <t>VÄRMLANDS LÄN</t>
        </is>
      </c>
      <c r="E16482" t="inlineStr">
        <is>
          <t>HAGFORS</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41305-2024</t>
        </is>
      </c>
      <c r="B16483" s="1" t="n">
        <v>45559</v>
      </c>
      <c r="C16483" s="1" t="n">
        <v>45736</v>
      </c>
      <c r="D16483" t="inlineStr">
        <is>
          <t>VÄRMLANDS LÄN</t>
        </is>
      </c>
      <c r="E16483" t="inlineStr">
        <is>
          <t>EDA</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41017-2024</t>
        </is>
      </c>
      <c r="B16484" s="1" t="n">
        <v>45559</v>
      </c>
      <c r="C16484" s="1" t="n">
        <v>45736</v>
      </c>
      <c r="D16484" t="inlineStr">
        <is>
          <t>VÄRMLANDS LÄN</t>
        </is>
      </c>
      <c r="E16484" t="inlineStr">
        <is>
          <t>SUNNE</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41374-2024</t>
        </is>
      </c>
      <c r="B16485" s="1" t="n">
        <v>45559</v>
      </c>
      <c r="C16485" s="1" t="n">
        <v>45736</v>
      </c>
      <c r="D16485" t="inlineStr">
        <is>
          <t>VÄRMLANDS LÄN</t>
        </is>
      </c>
      <c r="E16485" t="inlineStr">
        <is>
          <t>ARVIKA</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41368-2024</t>
        </is>
      </c>
      <c r="B16486" s="1" t="n">
        <v>45559</v>
      </c>
      <c r="C16486" s="1" t="n">
        <v>45736</v>
      </c>
      <c r="D16486" t="inlineStr">
        <is>
          <t>VÄRMLANDS LÄN</t>
        </is>
      </c>
      <c r="E16486" t="inlineStr">
        <is>
          <t>SÄFFLE</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41376-2024</t>
        </is>
      </c>
      <c r="B16487" s="1" t="n">
        <v>45559</v>
      </c>
      <c r="C16487" s="1" t="n">
        <v>45736</v>
      </c>
      <c r="D16487" t="inlineStr">
        <is>
          <t>VÄRMLANDS LÄN</t>
        </is>
      </c>
      <c r="E16487" t="inlineStr">
        <is>
          <t>KARLSTAD</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41069-2024</t>
        </is>
      </c>
      <c r="B16488" s="1" t="n">
        <v>45559</v>
      </c>
      <c r="C16488" s="1" t="n">
        <v>45736</v>
      </c>
      <c r="D16488" t="inlineStr">
        <is>
          <t>VÄRMLANDS LÄN</t>
        </is>
      </c>
      <c r="E16488" t="inlineStr">
        <is>
          <t>EDA</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41085-2024</t>
        </is>
      </c>
      <c r="B16489" s="1" t="n">
        <v>45559</v>
      </c>
      <c r="C16489" s="1" t="n">
        <v>45736</v>
      </c>
      <c r="D16489" t="inlineStr">
        <is>
          <t>VÄRMLANDS LÄN</t>
        </is>
      </c>
      <c r="E16489" t="inlineStr">
        <is>
          <t>KRISTINEHAMN</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41193-2024</t>
        </is>
      </c>
      <c r="B16490" s="1" t="n">
        <v>45559</v>
      </c>
      <c r="C16490" s="1" t="n">
        <v>45736</v>
      </c>
      <c r="D16490" t="inlineStr">
        <is>
          <t>VÄRMLANDS LÄN</t>
        </is>
      </c>
      <c r="E16490" t="inlineStr">
        <is>
          <t>ÅRJÄNG</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41201-2024</t>
        </is>
      </c>
      <c r="B16491" s="1" t="n">
        <v>45559</v>
      </c>
      <c r="C16491" s="1" t="n">
        <v>45736</v>
      </c>
      <c r="D16491" t="inlineStr">
        <is>
          <t>VÄRMLANDS LÄN</t>
        </is>
      </c>
      <c r="E16491" t="inlineStr">
        <is>
          <t>ÅRJÄNG</t>
        </is>
      </c>
      <c r="G16491" t="n">
        <v>4.1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41205-2024</t>
        </is>
      </c>
      <c r="B16492" s="1" t="n">
        <v>45559</v>
      </c>
      <c r="C16492" s="1" t="n">
        <v>45736</v>
      </c>
      <c r="D16492" t="inlineStr">
        <is>
          <t>VÄRMLANDS LÄN</t>
        </is>
      </c>
      <c r="E16492" t="inlineStr">
        <is>
          <t>ÅRJÄNG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41250-2024</t>
        </is>
      </c>
      <c r="B16493" s="1" t="n">
        <v>45559</v>
      </c>
      <c r="C16493" s="1" t="n">
        <v>45736</v>
      </c>
      <c r="D16493" t="inlineStr">
        <is>
          <t>VÄRMLANDS LÄN</t>
        </is>
      </c>
      <c r="E16493" t="inlineStr">
        <is>
          <t>ARVIKA</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41322-2024</t>
        </is>
      </c>
      <c r="B16494" s="1" t="n">
        <v>45559</v>
      </c>
      <c r="C16494" s="1" t="n">
        <v>45736</v>
      </c>
      <c r="D16494" t="inlineStr">
        <is>
          <t>VÄRMLANDS LÄN</t>
        </is>
      </c>
      <c r="E16494" t="inlineStr">
        <is>
          <t>FILIPSTAD</t>
        </is>
      </c>
      <c r="F16494" t="inlineStr">
        <is>
          <t>Bergvik skog väst AB</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41371-2024</t>
        </is>
      </c>
      <c r="B16495" s="1" t="n">
        <v>45559</v>
      </c>
      <c r="C16495" s="1" t="n">
        <v>45736</v>
      </c>
      <c r="D16495" t="inlineStr">
        <is>
          <t>VÄRMLANDS LÄN</t>
        </is>
      </c>
      <c r="E16495" t="inlineStr">
        <is>
          <t>ARVIKA</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41548-2024</t>
        </is>
      </c>
      <c r="B16496" s="1" t="n">
        <v>45560</v>
      </c>
      <c r="C16496" s="1" t="n">
        <v>45736</v>
      </c>
      <c r="D16496" t="inlineStr">
        <is>
          <t>VÄRMLANDS LÄN</t>
        </is>
      </c>
      <c r="E16496" t="inlineStr">
        <is>
          <t>HAGFORS</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41602-2024</t>
        </is>
      </c>
      <c r="B16497" s="1" t="n">
        <v>45560</v>
      </c>
      <c r="C16497" s="1" t="n">
        <v>45736</v>
      </c>
      <c r="D16497" t="inlineStr">
        <is>
          <t>VÄRMLANDS LÄN</t>
        </is>
      </c>
      <c r="E16497" t="inlineStr">
        <is>
          <t>FILIPSTAD</t>
        </is>
      </c>
      <c r="F16497" t="inlineStr">
        <is>
          <t>Bergvik skog väst AB</t>
        </is>
      </c>
      <c r="G16497" t="n">
        <v>7.2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41514-2024</t>
        </is>
      </c>
      <c r="B16498" s="1" t="n">
        <v>45560</v>
      </c>
      <c r="C16498" s="1" t="n">
        <v>45736</v>
      </c>
      <c r="D16498" t="inlineStr">
        <is>
          <t>VÄRMLANDS LÄN</t>
        </is>
      </c>
      <c r="E16498" t="inlineStr">
        <is>
          <t>KARLSTAD</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41518-2024</t>
        </is>
      </c>
      <c r="B16499" s="1" t="n">
        <v>45560</v>
      </c>
      <c r="C16499" s="1" t="n">
        <v>45736</v>
      </c>
      <c r="D16499" t="inlineStr">
        <is>
          <t>VÄRMLANDS LÄN</t>
        </is>
      </c>
      <c r="E16499" t="inlineStr">
        <is>
          <t>TORSBY</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41654-2024</t>
        </is>
      </c>
      <c r="B16500" s="1" t="n">
        <v>45560</v>
      </c>
      <c r="C16500" s="1" t="n">
        <v>45736</v>
      </c>
      <c r="D16500" t="inlineStr">
        <is>
          <t>VÄRMLANDS LÄN</t>
        </is>
      </c>
      <c r="E16500" t="inlineStr">
        <is>
          <t>KARLSTAD</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41671-2024</t>
        </is>
      </c>
      <c r="B16501" s="1" t="n">
        <v>45560</v>
      </c>
      <c r="C16501" s="1" t="n">
        <v>45736</v>
      </c>
      <c r="D16501" t="inlineStr">
        <is>
          <t>VÄRMLANDS LÄN</t>
        </is>
      </c>
      <c r="E16501" t="inlineStr">
        <is>
          <t>FILIPSTAD</t>
        </is>
      </c>
      <c r="F16501" t="inlineStr">
        <is>
          <t>Bergvik skog väst AB</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41656-2024</t>
        </is>
      </c>
      <c r="B16502" s="1" t="n">
        <v>45560</v>
      </c>
      <c r="C16502" s="1" t="n">
        <v>45736</v>
      </c>
      <c r="D16502" t="inlineStr">
        <is>
          <t>VÄRMLANDS LÄN</t>
        </is>
      </c>
      <c r="E16502" t="inlineStr">
        <is>
          <t>STORFORS</t>
        </is>
      </c>
      <c r="F16502" t="inlineStr">
        <is>
          <t>Naturvårdsverket</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41673-2024</t>
        </is>
      </c>
      <c r="B16503" s="1" t="n">
        <v>45560</v>
      </c>
      <c r="C16503" s="1" t="n">
        <v>45736</v>
      </c>
      <c r="D16503" t="inlineStr">
        <is>
          <t>VÄRMLANDS LÄN</t>
        </is>
      </c>
      <c r="E16503" t="inlineStr">
        <is>
          <t>FILIPSTAD</t>
        </is>
      </c>
      <c r="F16503" t="inlineStr">
        <is>
          <t>Bergvik skog väst AB</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41504-2024</t>
        </is>
      </c>
      <c r="B16504" s="1" t="n">
        <v>45560</v>
      </c>
      <c r="C16504" s="1" t="n">
        <v>45736</v>
      </c>
      <c r="D16504" t="inlineStr">
        <is>
          <t>VÄRMLANDS LÄN</t>
        </is>
      </c>
      <c r="E16504" t="inlineStr">
        <is>
          <t>TORSBY</t>
        </is>
      </c>
      <c r="G16504" t="n">
        <v>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41529-2024</t>
        </is>
      </c>
      <c r="B16505" s="1" t="n">
        <v>45560</v>
      </c>
      <c r="C16505" s="1" t="n">
        <v>45736</v>
      </c>
      <c r="D16505" t="inlineStr">
        <is>
          <t>VÄRMLANDS LÄN</t>
        </is>
      </c>
      <c r="E16505" t="inlineStr">
        <is>
          <t>TORSBY</t>
        </is>
      </c>
      <c r="F16505" t="inlineStr">
        <is>
          <t>Bergvik skog väst AB</t>
        </is>
      </c>
      <c r="G16505" t="n">
        <v>4.8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41541-2024</t>
        </is>
      </c>
      <c r="B16506" s="1" t="n">
        <v>45560</v>
      </c>
      <c r="C16506" s="1" t="n">
        <v>45736</v>
      </c>
      <c r="D16506" t="inlineStr">
        <is>
          <t>VÄRMLANDS LÄN</t>
        </is>
      </c>
      <c r="E16506" t="inlineStr">
        <is>
          <t>ARVIKA</t>
        </is>
      </c>
      <c r="F16506" t="inlineStr">
        <is>
          <t>Bergvik skog väst AB</t>
        </is>
      </c>
      <c r="G16506" t="n">
        <v>19.8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41553-2024</t>
        </is>
      </c>
      <c r="B16507" s="1" t="n">
        <v>45560</v>
      </c>
      <c r="C16507" s="1" t="n">
        <v>45736</v>
      </c>
      <c r="D16507" t="inlineStr">
        <is>
          <t>VÄRMLANDS LÄN</t>
        </is>
      </c>
      <c r="E16507" t="inlineStr">
        <is>
          <t>ARVIKA</t>
        </is>
      </c>
      <c r="G16507" t="n">
        <v>9.9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41501-2024</t>
        </is>
      </c>
      <c r="B16508" s="1" t="n">
        <v>45560</v>
      </c>
      <c r="C16508" s="1" t="n">
        <v>45736</v>
      </c>
      <c r="D16508" t="inlineStr">
        <is>
          <t>VÄRMLANDS LÄN</t>
        </is>
      </c>
      <c r="E16508" t="inlineStr">
        <is>
          <t>TORSBY</t>
        </is>
      </c>
      <c r="G16508" t="n">
        <v>7.5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41493-2024</t>
        </is>
      </c>
      <c r="B16509" s="1" t="n">
        <v>45560</v>
      </c>
      <c r="C16509" s="1" t="n">
        <v>45736</v>
      </c>
      <c r="D16509" t="inlineStr">
        <is>
          <t>VÄRMLANDS LÄN</t>
        </is>
      </c>
      <c r="E16509" t="inlineStr">
        <is>
          <t>ARVIKA</t>
        </is>
      </c>
      <c r="F16509" t="inlineStr">
        <is>
          <t>Bergvik skog väst AB</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41499-2024</t>
        </is>
      </c>
      <c r="B16510" s="1" t="n">
        <v>45560</v>
      </c>
      <c r="C16510" s="1" t="n">
        <v>45736</v>
      </c>
      <c r="D16510" t="inlineStr">
        <is>
          <t>VÄRMLANDS LÄN</t>
        </is>
      </c>
      <c r="E16510" t="inlineStr">
        <is>
          <t>STORFORS</t>
        </is>
      </c>
      <c r="F16510" t="inlineStr">
        <is>
          <t>Naturvårdsverket</t>
        </is>
      </c>
      <c r="G16510" t="n">
        <v>17.1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41491-2024</t>
        </is>
      </c>
      <c r="B16511" s="1" t="n">
        <v>45560</v>
      </c>
      <c r="C16511" s="1" t="n">
        <v>45736</v>
      </c>
      <c r="D16511" t="inlineStr">
        <is>
          <t>VÄRMLANDS LÄN</t>
        </is>
      </c>
      <c r="E16511" t="inlineStr">
        <is>
          <t>KARLSTAD</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41479-2024</t>
        </is>
      </c>
      <c r="B16512" s="1" t="n">
        <v>45560</v>
      </c>
      <c r="C16512" s="1" t="n">
        <v>45736</v>
      </c>
      <c r="D16512" t="inlineStr">
        <is>
          <t>VÄRMLANDS LÄN</t>
        </is>
      </c>
      <c r="E16512" t="inlineStr">
        <is>
          <t>STORFORS</t>
        </is>
      </c>
      <c r="F16512" t="inlineStr">
        <is>
          <t>Naturvårdsverket</t>
        </is>
      </c>
      <c r="G16512" t="n">
        <v>5.8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41457-2024</t>
        </is>
      </c>
      <c r="B16513" s="1" t="n">
        <v>45560</v>
      </c>
      <c r="C16513" s="1" t="n">
        <v>45736</v>
      </c>
      <c r="D16513" t="inlineStr">
        <is>
          <t>VÄRMLANDS LÄN</t>
        </is>
      </c>
      <c r="E16513" t="inlineStr">
        <is>
          <t>KARLSTAD</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41463-2024</t>
        </is>
      </c>
      <c r="B16514" s="1" t="n">
        <v>45560</v>
      </c>
      <c r="C16514" s="1" t="n">
        <v>45736</v>
      </c>
      <c r="D16514" t="inlineStr">
        <is>
          <t>VÄRMLANDS LÄN</t>
        </is>
      </c>
      <c r="E16514" t="inlineStr">
        <is>
          <t>STORFORS</t>
        </is>
      </c>
      <c r="F16514" t="inlineStr">
        <is>
          <t>Naturvårdsverket</t>
        </is>
      </c>
      <c r="G16514" t="n">
        <v>11.3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41405-2024</t>
        </is>
      </c>
      <c r="B16515" s="1" t="n">
        <v>45560</v>
      </c>
      <c r="C16515" s="1" t="n">
        <v>45736</v>
      </c>
      <c r="D16515" t="inlineStr">
        <is>
          <t>VÄRMLANDS LÄN</t>
        </is>
      </c>
      <c r="E16515" t="inlineStr">
        <is>
          <t>HAGFORS</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41621-2024</t>
        </is>
      </c>
      <c r="B16516" s="1" t="n">
        <v>45560</v>
      </c>
      <c r="C16516" s="1" t="n">
        <v>45736</v>
      </c>
      <c r="D16516" t="inlineStr">
        <is>
          <t>VÄRMLANDS LÄN</t>
        </is>
      </c>
      <c r="E16516" t="inlineStr">
        <is>
          <t>FILIPSTAD</t>
        </is>
      </c>
      <c r="F16516" t="inlineStr">
        <is>
          <t>Bergvik skog väst AB</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41629-2024</t>
        </is>
      </c>
      <c r="B16517" s="1" t="n">
        <v>45560</v>
      </c>
      <c r="C16517" s="1" t="n">
        <v>45736</v>
      </c>
      <c r="D16517" t="inlineStr">
        <is>
          <t>VÄRMLANDS LÄN</t>
        </is>
      </c>
      <c r="E16517" t="inlineStr">
        <is>
          <t>HAGFORS</t>
        </is>
      </c>
      <c r="F16517" t="inlineStr">
        <is>
          <t>Bergvik skog väst AB</t>
        </is>
      </c>
      <c r="G16517" t="n">
        <v>5.4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41720-2024</t>
        </is>
      </c>
      <c r="B16518" s="1" t="n">
        <v>45560</v>
      </c>
      <c r="C16518" s="1" t="n">
        <v>45736</v>
      </c>
      <c r="D16518" t="inlineStr">
        <is>
          <t>VÄRMLANDS LÄN</t>
        </is>
      </c>
      <c r="E16518" t="inlineStr">
        <is>
          <t>TORSBY</t>
        </is>
      </c>
      <c r="F16518" t="inlineStr">
        <is>
          <t>Bergvik skog väst AB</t>
        </is>
      </c>
      <c r="G16518" t="n">
        <v>13.2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41407-2024</t>
        </is>
      </c>
      <c r="B16519" s="1" t="n">
        <v>45560</v>
      </c>
      <c r="C16519" s="1" t="n">
        <v>45736</v>
      </c>
      <c r="D16519" t="inlineStr">
        <is>
          <t>VÄRMLANDS LÄN</t>
        </is>
      </c>
      <c r="E16519" t="inlineStr">
        <is>
          <t>SUNNE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41721-2024</t>
        </is>
      </c>
      <c r="B16520" s="1" t="n">
        <v>45560</v>
      </c>
      <c r="C16520" s="1" t="n">
        <v>45736</v>
      </c>
      <c r="D16520" t="inlineStr">
        <is>
          <t>VÄRMLANDS LÄN</t>
        </is>
      </c>
      <c r="E16520" t="inlineStr">
        <is>
          <t>HAGFORS</t>
        </is>
      </c>
      <c r="F16520" t="inlineStr">
        <is>
          <t>Bergvik skog väst AB</t>
        </is>
      </c>
      <c r="G16520" t="n">
        <v>9.300000000000001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41534-2024</t>
        </is>
      </c>
      <c r="B16521" s="1" t="n">
        <v>45560</v>
      </c>
      <c r="C16521" s="1" t="n">
        <v>45736</v>
      </c>
      <c r="D16521" t="inlineStr">
        <is>
          <t>VÄRMLANDS LÄN</t>
        </is>
      </c>
      <c r="E16521" t="inlineStr">
        <is>
          <t>TORSBY</t>
        </is>
      </c>
      <c r="G16521" t="n">
        <v>17.3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41631-2024</t>
        </is>
      </c>
      <c r="B16522" s="1" t="n">
        <v>45560</v>
      </c>
      <c r="C16522" s="1" t="n">
        <v>45736</v>
      </c>
      <c r="D16522" t="inlineStr">
        <is>
          <t>VÄRMLANDS LÄN</t>
        </is>
      </c>
      <c r="E16522" t="inlineStr">
        <is>
          <t>TORSBY</t>
        </is>
      </c>
      <c r="F16522" t="inlineStr">
        <is>
          <t>Bergvik skog väst AB</t>
        </is>
      </c>
      <c r="G16522" t="n">
        <v>16.3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41502-2024</t>
        </is>
      </c>
      <c r="B16523" s="1" t="n">
        <v>45560</v>
      </c>
      <c r="C16523" s="1" t="n">
        <v>45736</v>
      </c>
      <c r="D16523" t="inlineStr">
        <is>
          <t>VÄRMLANDS LÄN</t>
        </is>
      </c>
      <c r="E16523" t="inlineStr">
        <is>
          <t>HAGFORS</t>
        </is>
      </c>
      <c r="F16523" t="inlineStr">
        <is>
          <t>Bergvik skog väst AB</t>
        </is>
      </c>
      <c r="G16523" t="n">
        <v>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41639-2024</t>
        </is>
      </c>
      <c r="B16524" s="1" t="n">
        <v>45560</v>
      </c>
      <c r="C16524" s="1" t="n">
        <v>45736</v>
      </c>
      <c r="D16524" t="inlineStr">
        <is>
          <t>VÄRMLANDS LÄN</t>
        </is>
      </c>
      <c r="E16524" t="inlineStr">
        <is>
          <t>ARVIKA</t>
        </is>
      </c>
      <c r="G16524" t="n">
        <v>13.9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41676-2024</t>
        </is>
      </c>
      <c r="B16525" s="1" t="n">
        <v>45560</v>
      </c>
      <c r="C16525" s="1" t="n">
        <v>45736</v>
      </c>
      <c r="D16525" t="inlineStr">
        <is>
          <t>VÄRMLANDS LÄN</t>
        </is>
      </c>
      <c r="E16525" t="inlineStr">
        <is>
          <t>FILIPSTAD</t>
        </is>
      </c>
      <c r="F16525" t="inlineStr">
        <is>
          <t>Bergvik skog väst AB</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41745-2024</t>
        </is>
      </c>
      <c r="B16526" s="1" t="n">
        <v>45561</v>
      </c>
      <c r="C16526" s="1" t="n">
        <v>45736</v>
      </c>
      <c r="D16526" t="inlineStr">
        <is>
          <t>VÄRMLANDS LÄN</t>
        </is>
      </c>
      <c r="E16526" t="inlineStr">
        <is>
          <t>TORSBY</t>
        </is>
      </c>
      <c r="F16526" t="inlineStr">
        <is>
          <t>Bergvik skog väst AB</t>
        </is>
      </c>
      <c r="G16526" t="n">
        <v>7.2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41743-2024</t>
        </is>
      </c>
      <c r="B16527" s="1" t="n">
        <v>45561</v>
      </c>
      <c r="C16527" s="1" t="n">
        <v>45736</v>
      </c>
      <c r="D16527" t="inlineStr">
        <is>
          <t>VÄRMLANDS LÄN</t>
        </is>
      </c>
      <c r="E16527" t="inlineStr">
        <is>
          <t>TORSBY</t>
        </is>
      </c>
      <c r="F16527" t="inlineStr">
        <is>
          <t>Bergvik skog väst AB</t>
        </is>
      </c>
      <c r="G16527" t="n">
        <v>5.4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41969-2024</t>
        </is>
      </c>
      <c r="B16528" s="1" t="n">
        <v>45561</v>
      </c>
      <c r="C16528" s="1" t="n">
        <v>45736</v>
      </c>
      <c r="D16528" t="inlineStr">
        <is>
          <t>VÄRMLANDS LÄN</t>
        </is>
      </c>
      <c r="E16528" t="inlineStr">
        <is>
          <t>ARVIKA</t>
        </is>
      </c>
      <c r="G16528" t="n">
        <v>9.800000000000001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42045-2024</t>
        </is>
      </c>
      <c r="B16529" s="1" t="n">
        <v>45561</v>
      </c>
      <c r="C16529" s="1" t="n">
        <v>45736</v>
      </c>
      <c r="D16529" t="inlineStr">
        <is>
          <t>VÄRMLANDS LÄN</t>
        </is>
      </c>
      <c r="E16529" t="inlineStr">
        <is>
          <t>ÅRJÄNG</t>
        </is>
      </c>
      <c r="G16529" t="n">
        <v>1.9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42050-2024</t>
        </is>
      </c>
      <c r="B16530" s="1" t="n">
        <v>45561</v>
      </c>
      <c r="C16530" s="1" t="n">
        <v>45736</v>
      </c>
      <c r="D16530" t="inlineStr">
        <is>
          <t>VÄRMLANDS LÄN</t>
        </is>
      </c>
      <c r="E16530" t="inlineStr">
        <is>
          <t>ARVIKA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42051-2024</t>
        </is>
      </c>
      <c r="B16531" s="1" t="n">
        <v>45561</v>
      </c>
      <c r="C16531" s="1" t="n">
        <v>45736</v>
      </c>
      <c r="D16531" t="inlineStr">
        <is>
          <t>VÄRMLANDS LÄN</t>
        </is>
      </c>
      <c r="E16531" t="inlineStr">
        <is>
          <t>ARVIKA</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41878-2024</t>
        </is>
      </c>
      <c r="B16532" s="1" t="n">
        <v>45561</v>
      </c>
      <c r="C16532" s="1" t="n">
        <v>45736</v>
      </c>
      <c r="D16532" t="inlineStr">
        <is>
          <t>VÄRMLANDS LÄN</t>
        </is>
      </c>
      <c r="E16532" t="inlineStr">
        <is>
          <t>GRUMS</t>
        </is>
      </c>
      <c r="F16532" t="inlineStr">
        <is>
          <t>Bergvik skog väst AB</t>
        </is>
      </c>
      <c r="G16532" t="n">
        <v>15.9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41936-2024</t>
        </is>
      </c>
      <c r="B16533" s="1" t="n">
        <v>45561</v>
      </c>
      <c r="C16533" s="1" t="n">
        <v>45736</v>
      </c>
      <c r="D16533" t="inlineStr">
        <is>
          <t>VÄRMLANDS LÄN</t>
        </is>
      </c>
      <c r="E16533" t="inlineStr">
        <is>
          <t>TORSBY</t>
        </is>
      </c>
      <c r="G16533" t="n">
        <v>9.9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42048-2024</t>
        </is>
      </c>
      <c r="B16534" s="1" t="n">
        <v>45561</v>
      </c>
      <c r="C16534" s="1" t="n">
        <v>45736</v>
      </c>
      <c r="D16534" t="inlineStr">
        <is>
          <t>VÄRMLANDS LÄN</t>
        </is>
      </c>
      <c r="E16534" t="inlineStr">
        <is>
          <t>ARVIKA</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42116-2024</t>
        </is>
      </c>
      <c r="B16535" s="1" t="n">
        <v>45562</v>
      </c>
      <c r="C16535" s="1" t="n">
        <v>45736</v>
      </c>
      <c r="D16535" t="inlineStr">
        <is>
          <t>VÄRMLANDS LÄN</t>
        </is>
      </c>
      <c r="E16535" t="inlineStr">
        <is>
          <t>KIL</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42169-2024</t>
        </is>
      </c>
      <c r="B16536" s="1" t="n">
        <v>45562</v>
      </c>
      <c r="C16536" s="1" t="n">
        <v>45736</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42173-2024</t>
        </is>
      </c>
      <c r="B16537" s="1" t="n">
        <v>45562</v>
      </c>
      <c r="C16537" s="1" t="n">
        <v>45736</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42177-2024</t>
        </is>
      </c>
      <c r="B16538" s="1" t="n">
        <v>45562</v>
      </c>
      <c r="C16538" s="1" t="n">
        <v>45736</v>
      </c>
      <c r="D16538" t="inlineStr">
        <is>
          <t>VÄRMLANDS LÄN</t>
        </is>
      </c>
      <c r="E16538" t="inlineStr">
        <is>
          <t>FILIPSTAD</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42229-2024</t>
        </is>
      </c>
      <c r="B16539" s="1" t="n">
        <v>45562</v>
      </c>
      <c r="C16539" s="1" t="n">
        <v>45736</v>
      </c>
      <c r="D16539" t="inlineStr">
        <is>
          <t>VÄRMLANDS LÄN</t>
        </is>
      </c>
      <c r="E16539" t="inlineStr">
        <is>
          <t>ÅRJÄNG</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42233-2024</t>
        </is>
      </c>
      <c r="B16540" s="1" t="n">
        <v>45562</v>
      </c>
      <c r="C16540" s="1" t="n">
        <v>45736</v>
      </c>
      <c r="D16540" t="inlineStr">
        <is>
          <t>VÄRMLANDS LÄN</t>
        </is>
      </c>
      <c r="E16540" t="inlineStr">
        <is>
          <t>ÅRJÄNG</t>
        </is>
      </c>
      <c r="G16540" t="n">
        <v>9.800000000000001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42241-2024</t>
        </is>
      </c>
      <c r="B16541" s="1" t="n">
        <v>45562</v>
      </c>
      <c r="C16541" s="1" t="n">
        <v>45736</v>
      </c>
      <c r="D16541" t="inlineStr">
        <is>
          <t>VÄRMLANDS LÄN</t>
        </is>
      </c>
      <c r="E16541" t="inlineStr">
        <is>
          <t>ÅRJÄNG</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42269-2024</t>
        </is>
      </c>
      <c r="B16542" s="1" t="n">
        <v>45562</v>
      </c>
      <c r="C16542" s="1" t="n">
        <v>45736</v>
      </c>
      <c r="D16542" t="inlineStr">
        <is>
          <t>VÄRMLANDS LÄN</t>
        </is>
      </c>
      <c r="E16542" t="inlineStr">
        <is>
          <t>HAGFORS</t>
        </is>
      </c>
      <c r="F16542" t="inlineStr">
        <is>
          <t>Bergvik skog väst AB</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42121-2024</t>
        </is>
      </c>
      <c r="B16543" s="1" t="n">
        <v>45562</v>
      </c>
      <c r="C16543" s="1" t="n">
        <v>45736</v>
      </c>
      <c r="D16543" t="inlineStr">
        <is>
          <t>VÄRMLANDS LÄN</t>
        </is>
      </c>
      <c r="E16543" t="inlineStr">
        <is>
          <t>HAGFORS</t>
        </is>
      </c>
      <c r="F16543" t="inlineStr">
        <is>
          <t>Bergvik skog väst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42283-2024</t>
        </is>
      </c>
      <c r="B16544" s="1" t="n">
        <v>45562</v>
      </c>
      <c r="C16544" s="1" t="n">
        <v>45736</v>
      </c>
      <c r="D16544" t="inlineStr">
        <is>
          <t>VÄRMLANDS LÄN</t>
        </is>
      </c>
      <c r="E16544" t="inlineStr">
        <is>
          <t>TORSBY</t>
        </is>
      </c>
      <c r="F16544" t="inlineStr">
        <is>
          <t>Bergvik skog väst AB</t>
        </is>
      </c>
      <c r="G16544" t="n">
        <v>10.7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42141-2024</t>
        </is>
      </c>
      <c r="B16545" s="1" t="n">
        <v>45562</v>
      </c>
      <c r="C16545" s="1" t="n">
        <v>45736</v>
      </c>
      <c r="D16545" t="inlineStr">
        <is>
          <t>VÄRMLANDS LÄN</t>
        </is>
      </c>
      <c r="E16545" t="inlineStr">
        <is>
          <t>ÅRJÄNG</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42149-2024</t>
        </is>
      </c>
      <c r="B16546" s="1" t="n">
        <v>45562</v>
      </c>
      <c r="C16546" s="1" t="n">
        <v>45736</v>
      </c>
      <c r="D16546" t="inlineStr">
        <is>
          <t>VÄRMLANDS LÄN</t>
        </is>
      </c>
      <c r="E16546" t="inlineStr">
        <is>
          <t>ÅRJÄNG</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42157-2024</t>
        </is>
      </c>
      <c r="B16547" s="1" t="n">
        <v>45562</v>
      </c>
      <c r="C16547" s="1" t="n">
        <v>45736</v>
      </c>
      <c r="D16547" t="inlineStr">
        <is>
          <t>VÄRMLANDS LÄN</t>
        </is>
      </c>
      <c r="E16547" t="inlineStr">
        <is>
          <t>KIL</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42300-2024</t>
        </is>
      </c>
      <c r="B16548" s="1" t="n">
        <v>45562</v>
      </c>
      <c r="C16548" s="1" t="n">
        <v>45736</v>
      </c>
      <c r="D16548" t="inlineStr">
        <is>
          <t>VÄRMLANDS LÄN</t>
        </is>
      </c>
      <c r="E16548" t="inlineStr">
        <is>
          <t>SUNNE</t>
        </is>
      </c>
      <c r="F16548" t="inlineStr">
        <is>
          <t>Bergvik skog väst AB</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42170-2024</t>
        </is>
      </c>
      <c r="B16549" s="1" t="n">
        <v>45562</v>
      </c>
      <c r="C16549" s="1" t="n">
        <v>45736</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42178-2024</t>
        </is>
      </c>
      <c r="B16550" s="1" t="n">
        <v>45562</v>
      </c>
      <c r="C16550" s="1" t="n">
        <v>45736</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42183-2024</t>
        </is>
      </c>
      <c r="B16551" s="1" t="n">
        <v>45562</v>
      </c>
      <c r="C16551" s="1" t="n">
        <v>45736</v>
      </c>
      <c r="D16551" t="inlineStr">
        <is>
          <t>VÄRMLANDS LÄN</t>
        </is>
      </c>
      <c r="E16551" t="inlineStr">
        <is>
          <t>FILIPSTAD</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42222-2024</t>
        </is>
      </c>
      <c r="B16552" s="1" t="n">
        <v>45562</v>
      </c>
      <c r="C16552" s="1" t="n">
        <v>45736</v>
      </c>
      <c r="D16552" t="inlineStr">
        <is>
          <t>VÄRMLANDS LÄN</t>
        </is>
      </c>
      <c r="E16552" t="inlineStr">
        <is>
          <t>ÅRJÄNG</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42226-2024</t>
        </is>
      </c>
      <c r="B16553" s="1" t="n">
        <v>45562</v>
      </c>
      <c r="C16553" s="1" t="n">
        <v>45736</v>
      </c>
      <c r="D16553" t="inlineStr">
        <is>
          <t>VÄRMLANDS LÄN</t>
        </is>
      </c>
      <c r="E16553" t="inlineStr">
        <is>
          <t>ÅRJÄNG</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42230-2024</t>
        </is>
      </c>
      <c r="B16554" s="1" t="n">
        <v>45562</v>
      </c>
      <c r="C16554" s="1" t="n">
        <v>45736</v>
      </c>
      <c r="D16554" t="inlineStr">
        <is>
          <t>VÄRMLANDS LÄN</t>
        </is>
      </c>
      <c r="E16554" t="inlineStr">
        <is>
          <t>ÅRJÄNG</t>
        </is>
      </c>
      <c r="G16554" t="n">
        <v>8.6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42250-2024</t>
        </is>
      </c>
      <c r="B16555" s="1" t="n">
        <v>45562</v>
      </c>
      <c r="C16555" s="1" t="n">
        <v>45736</v>
      </c>
      <c r="D16555" t="inlineStr">
        <is>
          <t>VÄRMLANDS LÄN</t>
        </is>
      </c>
      <c r="E16555" t="inlineStr">
        <is>
          <t>TORSBY</t>
        </is>
      </c>
      <c r="F16555" t="inlineStr">
        <is>
          <t>Bergvik skog väst AB</t>
        </is>
      </c>
      <c r="G16555" t="n">
        <v>6.2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42280-2024</t>
        </is>
      </c>
      <c r="B16556" s="1" t="n">
        <v>45562</v>
      </c>
      <c r="C16556" s="1" t="n">
        <v>45736</v>
      </c>
      <c r="D16556" t="inlineStr">
        <is>
          <t>VÄRMLANDS LÄN</t>
        </is>
      </c>
      <c r="E16556" t="inlineStr">
        <is>
          <t>FILIPSTAD</t>
        </is>
      </c>
      <c r="F16556" t="inlineStr">
        <is>
          <t>Bergvik skog väst AB</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42150-2024</t>
        </is>
      </c>
      <c r="B16557" s="1" t="n">
        <v>45562</v>
      </c>
      <c r="C16557" s="1" t="n">
        <v>45736</v>
      </c>
      <c r="D16557" t="inlineStr">
        <is>
          <t>VÄRMLANDS LÄN</t>
        </is>
      </c>
      <c r="E16557" t="inlineStr">
        <is>
          <t>HAGFORS</t>
        </is>
      </c>
      <c r="F16557" t="inlineStr">
        <is>
          <t>Bergvik skog väst AB</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42163-2024</t>
        </is>
      </c>
      <c r="B16558" s="1" t="n">
        <v>45562</v>
      </c>
      <c r="C16558" s="1" t="n">
        <v>45736</v>
      </c>
      <c r="D16558" t="inlineStr">
        <is>
          <t>VÄRMLANDS LÄN</t>
        </is>
      </c>
      <c r="E16558" t="inlineStr">
        <is>
          <t>HAGFORS</t>
        </is>
      </c>
      <c r="F16558" t="inlineStr">
        <is>
          <t>Bergvik skog väst AB</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42171-2024</t>
        </is>
      </c>
      <c r="B16559" s="1" t="n">
        <v>45562</v>
      </c>
      <c r="C16559" s="1" t="n">
        <v>45736</v>
      </c>
      <c r="D16559" t="inlineStr">
        <is>
          <t>VÄRMLANDS LÄN</t>
        </is>
      </c>
      <c r="E16559" t="inlineStr">
        <is>
          <t>HAGFORS</t>
        </is>
      </c>
      <c r="F16559" t="inlineStr">
        <is>
          <t>Bergvik skog väst AB</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42175-2024</t>
        </is>
      </c>
      <c r="B16560" s="1" t="n">
        <v>45562</v>
      </c>
      <c r="C16560" s="1" t="n">
        <v>45736</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42179-2024</t>
        </is>
      </c>
      <c r="B16561" s="1" t="n">
        <v>45562</v>
      </c>
      <c r="C16561" s="1" t="n">
        <v>45736</v>
      </c>
      <c r="D16561" t="inlineStr">
        <is>
          <t>VÄRMLANDS LÄN</t>
        </is>
      </c>
      <c r="E16561" t="inlineStr">
        <is>
          <t>FILIPSTAD</t>
        </is>
      </c>
      <c r="G16561" t="n">
        <v>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42219-2024</t>
        </is>
      </c>
      <c r="B16562" s="1" t="n">
        <v>45562</v>
      </c>
      <c r="C16562" s="1" t="n">
        <v>45736</v>
      </c>
      <c r="D16562" t="inlineStr">
        <is>
          <t>VÄRMLANDS LÄN</t>
        </is>
      </c>
      <c r="E16562" t="inlineStr">
        <is>
          <t>HAGFORS</t>
        </is>
      </c>
      <c r="F16562" t="inlineStr">
        <is>
          <t>Bergvik skog väst AB</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42227-2024</t>
        </is>
      </c>
      <c r="B16563" s="1" t="n">
        <v>45562</v>
      </c>
      <c r="C16563" s="1" t="n">
        <v>45736</v>
      </c>
      <c r="D16563" t="inlineStr">
        <is>
          <t>VÄRMLANDS LÄN</t>
        </is>
      </c>
      <c r="E16563" t="inlineStr">
        <is>
          <t>ARVIKA</t>
        </is>
      </c>
      <c r="F16563" t="inlineStr">
        <is>
          <t>Bergvik skog väst AB</t>
        </is>
      </c>
      <c r="G16563" t="n">
        <v>20.5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42235-2024</t>
        </is>
      </c>
      <c r="B16564" s="1" t="n">
        <v>45562</v>
      </c>
      <c r="C16564" s="1" t="n">
        <v>45736</v>
      </c>
      <c r="D16564" t="inlineStr">
        <is>
          <t>VÄRMLANDS LÄN</t>
        </is>
      </c>
      <c r="E16564" t="inlineStr">
        <is>
          <t>HAGFORS</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42243-2024</t>
        </is>
      </c>
      <c r="B16565" s="1" t="n">
        <v>45562</v>
      </c>
      <c r="C16565" s="1" t="n">
        <v>45736</v>
      </c>
      <c r="D16565" t="inlineStr">
        <is>
          <t>VÄRMLANDS LÄN</t>
        </is>
      </c>
      <c r="E16565" t="inlineStr">
        <is>
          <t>HAGFORS</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42329-2024</t>
        </is>
      </c>
      <c r="B16566" s="1" t="n">
        <v>45562</v>
      </c>
      <c r="C16566" s="1" t="n">
        <v>45736</v>
      </c>
      <c r="D16566" t="inlineStr">
        <is>
          <t>VÄRMLANDS LÄN</t>
        </is>
      </c>
      <c r="E16566" t="inlineStr">
        <is>
          <t>ARVIKA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42131-2024</t>
        </is>
      </c>
      <c r="B16567" s="1" t="n">
        <v>45562</v>
      </c>
      <c r="C16567" s="1" t="n">
        <v>45736</v>
      </c>
      <c r="D16567" t="inlineStr">
        <is>
          <t>VÄRMLANDS LÄN</t>
        </is>
      </c>
      <c r="E16567" t="inlineStr">
        <is>
          <t>KIL</t>
        </is>
      </c>
      <c r="G16567" t="n">
        <v>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42168-2024</t>
        </is>
      </c>
      <c r="B16568" s="1" t="n">
        <v>45562</v>
      </c>
      <c r="C16568" s="1" t="n">
        <v>45736</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42172-2024</t>
        </is>
      </c>
      <c r="B16569" s="1" t="n">
        <v>45562</v>
      </c>
      <c r="C16569" s="1" t="n">
        <v>45736</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42176-2024</t>
        </is>
      </c>
      <c r="B16570" s="1" t="n">
        <v>45562</v>
      </c>
      <c r="C16570" s="1" t="n">
        <v>45736</v>
      </c>
      <c r="D16570" t="inlineStr">
        <is>
          <t>VÄRMLANDS LÄN</t>
        </is>
      </c>
      <c r="E16570" t="inlineStr">
        <is>
          <t>TORSBY</t>
        </is>
      </c>
      <c r="F16570" t="inlineStr">
        <is>
          <t>Kommuner</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42180-2024</t>
        </is>
      </c>
      <c r="B16571" s="1" t="n">
        <v>45562</v>
      </c>
      <c r="C16571" s="1" t="n">
        <v>45736</v>
      </c>
      <c r="D16571" t="inlineStr">
        <is>
          <t>VÄRMLANDS LÄN</t>
        </is>
      </c>
      <c r="E16571" t="inlineStr">
        <is>
          <t>HAGFORS</t>
        </is>
      </c>
      <c r="F16571" t="inlineStr">
        <is>
          <t>Bergvik skog väst AB</t>
        </is>
      </c>
      <c r="G16571" t="n">
        <v>4.6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42236-2024</t>
        </is>
      </c>
      <c r="B16572" s="1" t="n">
        <v>45562</v>
      </c>
      <c r="C16572" s="1" t="n">
        <v>45736</v>
      </c>
      <c r="D16572" t="inlineStr">
        <is>
          <t>VÄRMLANDS LÄN</t>
        </is>
      </c>
      <c r="E16572" t="inlineStr">
        <is>
          <t>ÅRJÄNG</t>
        </is>
      </c>
      <c r="G16572" t="n">
        <v>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42345-2024</t>
        </is>
      </c>
      <c r="B16573" s="1" t="n">
        <v>45562</v>
      </c>
      <c r="C16573" s="1" t="n">
        <v>45736</v>
      </c>
      <c r="D16573" t="inlineStr">
        <is>
          <t>VÄRMLANDS LÄN</t>
        </is>
      </c>
      <c r="E16573" t="inlineStr">
        <is>
          <t>EDA</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42336-2024</t>
        </is>
      </c>
      <c r="B16574" s="1" t="n">
        <v>45562</v>
      </c>
      <c r="C16574" s="1" t="n">
        <v>45736</v>
      </c>
      <c r="D16574" t="inlineStr">
        <is>
          <t>VÄRMLANDS LÄN</t>
        </is>
      </c>
      <c r="E16574" t="inlineStr">
        <is>
          <t>ARVIKA</t>
        </is>
      </c>
      <c r="G16574" t="n">
        <v>11.1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42377-2024</t>
        </is>
      </c>
      <c r="B16575" s="1" t="n">
        <v>45564</v>
      </c>
      <c r="C16575" s="1" t="n">
        <v>45736</v>
      </c>
      <c r="D16575" t="inlineStr">
        <is>
          <t>VÄRMLANDS LÄN</t>
        </is>
      </c>
      <c r="E16575" t="inlineStr">
        <is>
          <t>SÄFFLE</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42405-2024</t>
        </is>
      </c>
      <c r="B16576" s="1" t="n">
        <v>45565</v>
      </c>
      <c r="C16576" s="1" t="n">
        <v>45736</v>
      </c>
      <c r="D16576" t="inlineStr">
        <is>
          <t>VÄRMLANDS LÄN</t>
        </is>
      </c>
      <c r="E16576" t="inlineStr">
        <is>
          <t>TORSBY</t>
        </is>
      </c>
      <c r="F16576" t="inlineStr">
        <is>
          <t>Bergvik skog väst AB</t>
        </is>
      </c>
      <c r="G16576" t="n">
        <v>10</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42414-2024</t>
        </is>
      </c>
      <c r="B16577" s="1" t="n">
        <v>45565</v>
      </c>
      <c r="C16577" s="1" t="n">
        <v>45736</v>
      </c>
      <c r="D16577" t="inlineStr">
        <is>
          <t>VÄRMLANDS LÄN</t>
        </is>
      </c>
      <c r="E16577" t="inlineStr">
        <is>
          <t>TORSBY</t>
        </is>
      </c>
      <c r="F16577" t="inlineStr">
        <is>
          <t>Bergvik skog väst AB</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42545-2024</t>
        </is>
      </c>
      <c r="B16578" s="1" t="n">
        <v>45565</v>
      </c>
      <c r="C16578" s="1" t="n">
        <v>45736</v>
      </c>
      <c r="D16578" t="inlineStr">
        <is>
          <t>VÄRMLANDS LÄN</t>
        </is>
      </c>
      <c r="E16578" t="inlineStr">
        <is>
          <t>ÅRJÄNG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42424-2024</t>
        </is>
      </c>
      <c r="B16579" s="1" t="n">
        <v>45565</v>
      </c>
      <c r="C16579" s="1" t="n">
        <v>45736</v>
      </c>
      <c r="D16579" t="inlineStr">
        <is>
          <t>VÄRMLANDS LÄN</t>
        </is>
      </c>
      <c r="E16579" t="inlineStr">
        <is>
          <t>TORSBY</t>
        </is>
      </c>
      <c r="F16579" t="inlineStr">
        <is>
          <t>Bergvik skog väst AB</t>
        </is>
      </c>
      <c r="G16579" t="n">
        <v>3.7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42428-2024</t>
        </is>
      </c>
      <c r="B16580" s="1" t="n">
        <v>45565</v>
      </c>
      <c r="C16580" s="1" t="n">
        <v>45736</v>
      </c>
      <c r="D16580" t="inlineStr">
        <is>
          <t>VÄRMLANDS LÄN</t>
        </is>
      </c>
      <c r="E16580" t="inlineStr">
        <is>
          <t>TORSBY</t>
        </is>
      </c>
      <c r="F16580" t="inlineStr">
        <is>
          <t>Bergvik skog väst AB</t>
        </is>
      </c>
      <c r="G16580" t="n">
        <v>20.7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42801-2024</t>
        </is>
      </c>
      <c r="B16581" s="1" t="n">
        <v>45565</v>
      </c>
      <c r="C16581" s="1" t="n">
        <v>45736</v>
      </c>
      <c r="D16581" t="inlineStr">
        <is>
          <t>VÄRMLANDS LÄN</t>
        </is>
      </c>
      <c r="E16581" t="inlineStr">
        <is>
          <t>HAGFORS</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42457-2024</t>
        </is>
      </c>
      <c r="B16582" s="1" t="n">
        <v>45565</v>
      </c>
      <c r="C16582" s="1" t="n">
        <v>45736</v>
      </c>
      <c r="D16582" t="inlineStr">
        <is>
          <t>VÄRMLANDS LÄN</t>
        </is>
      </c>
      <c r="E16582" t="inlineStr">
        <is>
          <t>TORSBY</t>
        </is>
      </c>
      <c r="G16582" t="n">
        <v>5.2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42465-2024</t>
        </is>
      </c>
      <c r="B16583" s="1" t="n">
        <v>45565</v>
      </c>
      <c r="C16583" s="1" t="n">
        <v>45736</v>
      </c>
      <c r="D16583" t="inlineStr">
        <is>
          <t>VÄRMLANDS LÄN</t>
        </is>
      </c>
      <c r="E16583" t="inlineStr">
        <is>
          <t>KARLSTAD</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42469-2024</t>
        </is>
      </c>
      <c r="B16584" s="1" t="n">
        <v>45565</v>
      </c>
      <c r="C16584" s="1" t="n">
        <v>45736</v>
      </c>
      <c r="D16584" t="inlineStr">
        <is>
          <t>VÄRMLANDS LÄN</t>
        </is>
      </c>
      <c r="E16584" t="inlineStr">
        <is>
          <t>HAGFORS</t>
        </is>
      </c>
      <c r="G16584" t="n">
        <v>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42555-2024</t>
        </is>
      </c>
      <c r="B16585" s="1" t="n">
        <v>45565</v>
      </c>
      <c r="C16585" s="1" t="n">
        <v>45736</v>
      </c>
      <c r="D16585" t="inlineStr">
        <is>
          <t>VÄRMLANDS LÄN</t>
        </is>
      </c>
      <c r="E16585" t="inlineStr">
        <is>
          <t>SUNNE</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42511-2024</t>
        </is>
      </c>
      <c r="B16586" s="1" t="n">
        <v>45565</v>
      </c>
      <c r="C16586" s="1" t="n">
        <v>45736</v>
      </c>
      <c r="D16586" t="inlineStr">
        <is>
          <t>VÄRMLANDS LÄN</t>
        </is>
      </c>
      <c r="E16586" t="inlineStr">
        <is>
          <t>FORSHAGA</t>
        </is>
      </c>
      <c r="F16586" t="inlineStr">
        <is>
          <t>Bergvik skog väst AB</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42606-2024</t>
        </is>
      </c>
      <c r="B16587" s="1" t="n">
        <v>45565</v>
      </c>
      <c r="C16587" s="1" t="n">
        <v>45736</v>
      </c>
      <c r="D16587" t="inlineStr">
        <is>
          <t>VÄRMLANDS LÄN</t>
        </is>
      </c>
      <c r="E16587" t="inlineStr">
        <is>
          <t>ÅRJÄNG</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42585-2024</t>
        </is>
      </c>
      <c r="B16588" s="1" t="n">
        <v>45565</v>
      </c>
      <c r="C16588" s="1" t="n">
        <v>45736</v>
      </c>
      <c r="D16588" t="inlineStr">
        <is>
          <t>VÄRMLANDS LÄN</t>
        </is>
      </c>
      <c r="E16588" t="inlineStr">
        <is>
          <t>ARVIKA</t>
        </is>
      </c>
      <c r="F16588" t="inlineStr">
        <is>
          <t>Bergvik skog väst AB</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42630-2024</t>
        </is>
      </c>
      <c r="B16589" s="1" t="n">
        <v>45565</v>
      </c>
      <c r="C16589" s="1" t="n">
        <v>45736</v>
      </c>
      <c r="D16589" t="inlineStr">
        <is>
          <t>VÄRMLANDS LÄN</t>
        </is>
      </c>
      <c r="E16589" t="inlineStr">
        <is>
          <t>SÄFFLE</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42471-2024</t>
        </is>
      </c>
      <c r="B16590" s="1" t="n">
        <v>45565</v>
      </c>
      <c r="C16590" s="1" t="n">
        <v>45736</v>
      </c>
      <c r="D16590" t="inlineStr">
        <is>
          <t>VÄRMLANDS LÄN</t>
        </is>
      </c>
      <c r="E16590" t="inlineStr">
        <is>
          <t>ÅRJÄNG</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42455-2024</t>
        </is>
      </c>
      <c r="B16591" s="1" t="n">
        <v>45565</v>
      </c>
      <c r="C16591" s="1" t="n">
        <v>45736</v>
      </c>
      <c r="D16591" t="inlineStr">
        <is>
          <t>VÄRMLANDS LÄN</t>
        </is>
      </c>
      <c r="E16591" t="inlineStr">
        <is>
          <t>ÅRJÄNG</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42531-2024</t>
        </is>
      </c>
      <c r="B16592" s="1" t="n">
        <v>45565</v>
      </c>
      <c r="C16592" s="1" t="n">
        <v>45736</v>
      </c>
      <c r="D16592" t="inlineStr">
        <is>
          <t>VÄRMLANDS LÄN</t>
        </is>
      </c>
      <c r="E16592" t="inlineStr">
        <is>
          <t>ÅRJÄNG</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42879-2024</t>
        </is>
      </c>
      <c r="B16593" s="1" t="n">
        <v>45566</v>
      </c>
      <c r="C16593" s="1" t="n">
        <v>45736</v>
      </c>
      <c r="D16593" t="inlineStr">
        <is>
          <t>VÄRMLANDS LÄN</t>
        </is>
      </c>
      <c r="E16593" t="inlineStr">
        <is>
          <t>FILIPSTAD</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42809-2024</t>
        </is>
      </c>
      <c r="B16594" s="1" t="n">
        <v>45566</v>
      </c>
      <c r="C16594" s="1" t="n">
        <v>45736</v>
      </c>
      <c r="D16594" t="inlineStr">
        <is>
          <t>VÄRMLANDS LÄN</t>
        </is>
      </c>
      <c r="E16594" t="inlineStr">
        <is>
          <t>FORSHAGA</t>
        </is>
      </c>
      <c r="F16594" t="inlineStr">
        <is>
          <t>Bergvik skog väst AB</t>
        </is>
      </c>
      <c r="G16594" t="n">
        <v>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42792-2024</t>
        </is>
      </c>
      <c r="B16595" s="1" t="n">
        <v>45566</v>
      </c>
      <c r="C16595" s="1" t="n">
        <v>45736</v>
      </c>
      <c r="D16595" t="inlineStr">
        <is>
          <t>VÄRMLANDS LÄN</t>
        </is>
      </c>
      <c r="E16595" t="inlineStr">
        <is>
          <t>SUNNE</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42834-2024</t>
        </is>
      </c>
      <c r="B16596" s="1" t="n">
        <v>45566</v>
      </c>
      <c r="C16596" s="1" t="n">
        <v>45736</v>
      </c>
      <c r="D16596" t="inlineStr">
        <is>
          <t>VÄRMLANDS LÄN</t>
        </is>
      </c>
      <c r="E16596" t="inlineStr">
        <is>
          <t>TORSBY</t>
        </is>
      </c>
      <c r="G16596" t="n">
        <v>5.8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42828-2024</t>
        </is>
      </c>
      <c r="B16597" s="1" t="n">
        <v>45566</v>
      </c>
      <c r="C16597" s="1" t="n">
        <v>45736</v>
      </c>
      <c r="D16597" t="inlineStr">
        <is>
          <t>VÄRMLANDS LÄN</t>
        </is>
      </c>
      <c r="E16597" t="inlineStr">
        <is>
          <t>SUNNE</t>
        </is>
      </c>
      <c r="F16597" t="inlineStr">
        <is>
          <t>Bergvik skog väst AB</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42667-2024</t>
        </is>
      </c>
      <c r="B16598" s="1" t="n">
        <v>45566</v>
      </c>
      <c r="C16598" s="1" t="n">
        <v>45736</v>
      </c>
      <c r="D16598" t="inlineStr">
        <is>
          <t>VÄRMLANDS LÄN</t>
        </is>
      </c>
      <c r="E16598" t="inlineStr">
        <is>
          <t>KIL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42783-2024</t>
        </is>
      </c>
      <c r="B16599" s="1" t="n">
        <v>45566</v>
      </c>
      <c r="C16599" s="1" t="n">
        <v>45736</v>
      </c>
      <c r="D16599" t="inlineStr">
        <is>
          <t>VÄRMLANDS LÄN</t>
        </is>
      </c>
      <c r="E16599" t="inlineStr">
        <is>
          <t>ÅRJÄNG</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42662-2024</t>
        </is>
      </c>
      <c r="B16600" s="1" t="n">
        <v>45566</v>
      </c>
      <c r="C16600" s="1" t="n">
        <v>45736</v>
      </c>
      <c r="D16600" t="inlineStr">
        <is>
          <t>VÄRMLANDS LÄN</t>
        </is>
      </c>
      <c r="E16600" t="inlineStr">
        <is>
          <t>TORSBY</t>
        </is>
      </c>
      <c r="F16600" t="inlineStr">
        <is>
          <t>Bergvik skog väst AB</t>
        </is>
      </c>
      <c r="G16600" t="n">
        <v>7.9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43203-2024</t>
        </is>
      </c>
      <c r="B16601" s="1" t="n">
        <v>45567</v>
      </c>
      <c r="C16601" s="1" t="n">
        <v>45736</v>
      </c>
      <c r="D16601" t="inlineStr">
        <is>
          <t>VÄRMLANDS LÄN</t>
        </is>
      </c>
      <c r="E16601" t="inlineStr">
        <is>
          <t>EDA</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43163-2024</t>
        </is>
      </c>
      <c r="B16602" s="1" t="n">
        <v>45567</v>
      </c>
      <c r="C16602" s="1" t="n">
        <v>45736</v>
      </c>
      <c r="D16602" t="inlineStr">
        <is>
          <t>VÄRMLANDS LÄN</t>
        </is>
      </c>
      <c r="E16602" t="inlineStr">
        <is>
          <t>FORSHAGA</t>
        </is>
      </c>
      <c r="F16602" t="inlineStr">
        <is>
          <t>Bergvik skog väst AB</t>
        </is>
      </c>
      <c r="G16602" t="n">
        <v>9.4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43107-2024</t>
        </is>
      </c>
      <c r="B16603" s="1" t="n">
        <v>45567</v>
      </c>
      <c r="C16603" s="1" t="n">
        <v>45736</v>
      </c>
      <c r="D16603" t="inlineStr">
        <is>
          <t>VÄRMLANDS LÄN</t>
        </is>
      </c>
      <c r="E16603" t="inlineStr">
        <is>
          <t>ÅRJÄNG</t>
        </is>
      </c>
      <c r="G16603" t="n">
        <v>16.2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43099-2024</t>
        </is>
      </c>
      <c r="B16604" s="1" t="n">
        <v>45567</v>
      </c>
      <c r="C16604" s="1" t="n">
        <v>45736</v>
      </c>
      <c r="D16604" t="inlineStr">
        <is>
          <t>VÄRMLANDS LÄN</t>
        </is>
      </c>
      <c r="E16604" t="inlineStr">
        <is>
          <t>SÄFFLE</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43223-2024</t>
        </is>
      </c>
      <c r="B16605" s="1" t="n">
        <v>45567</v>
      </c>
      <c r="C16605" s="1" t="n">
        <v>45736</v>
      </c>
      <c r="D16605" t="inlineStr">
        <is>
          <t>VÄRMLANDS LÄN</t>
        </is>
      </c>
      <c r="E16605" t="inlineStr">
        <is>
          <t>HAGFORS</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43045-2024</t>
        </is>
      </c>
      <c r="B16606" s="1" t="n">
        <v>45567</v>
      </c>
      <c r="C16606" s="1" t="n">
        <v>45736</v>
      </c>
      <c r="D16606" t="inlineStr">
        <is>
          <t>VÄRMLANDS LÄN</t>
        </is>
      </c>
      <c r="E16606" t="inlineStr">
        <is>
          <t>FILIPSTAD</t>
        </is>
      </c>
      <c r="F16606" t="inlineStr">
        <is>
          <t>Kyrkan</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43037-2024</t>
        </is>
      </c>
      <c r="B16607" s="1" t="n">
        <v>45567</v>
      </c>
      <c r="C16607" s="1" t="n">
        <v>45736</v>
      </c>
      <c r="D16607" t="inlineStr">
        <is>
          <t>VÄRMLANDS LÄN</t>
        </is>
      </c>
      <c r="E16607" t="inlineStr">
        <is>
          <t>TORSBY</t>
        </is>
      </c>
      <c r="F16607" t="inlineStr">
        <is>
          <t>Bergvik skog väst AB</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42945-2024</t>
        </is>
      </c>
      <c r="B16608" s="1" t="n">
        <v>45567</v>
      </c>
      <c r="C16608" s="1" t="n">
        <v>45736</v>
      </c>
      <c r="D16608" t="inlineStr">
        <is>
          <t>VÄRMLANDS LÄN</t>
        </is>
      </c>
      <c r="E16608" t="inlineStr">
        <is>
          <t>TORSBY</t>
        </is>
      </c>
      <c r="F16608" t="inlineStr">
        <is>
          <t>Bergvik skog väst AB</t>
        </is>
      </c>
      <c r="G16608" t="n">
        <v>8.300000000000001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42929-2024</t>
        </is>
      </c>
      <c r="B16609" s="1" t="n">
        <v>45567</v>
      </c>
      <c r="C16609" s="1" t="n">
        <v>45736</v>
      </c>
      <c r="D16609" t="inlineStr">
        <is>
          <t>VÄRMLANDS LÄN</t>
        </is>
      </c>
      <c r="E16609" t="inlineStr">
        <is>
          <t>KARLSTAD</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43157-2024</t>
        </is>
      </c>
      <c r="B16610" s="1" t="n">
        <v>45567</v>
      </c>
      <c r="C16610" s="1" t="n">
        <v>45736</v>
      </c>
      <c r="D16610" t="inlineStr">
        <is>
          <t>VÄRMLANDS LÄN</t>
        </is>
      </c>
      <c r="E16610" t="inlineStr">
        <is>
          <t>SUNNE</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43153-2024</t>
        </is>
      </c>
      <c r="B16611" s="1" t="n">
        <v>45567</v>
      </c>
      <c r="C16611" s="1" t="n">
        <v>45736</v>
      </c>
      <c r="D16611" t="inlineStr">
        <is>
          <t>VÄRMLANDS LÄN</t>
        </is>
      </c>
      <c r="E16611" t="inlineStr">
        <is>
          <t>SUNNE</t>
        </is>
      </c>
      <c r="F16611" t="inlineStr">
        <is>
          <t>Bergvik skog väst AB</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43149-2024</t>
        </is>
      </c>
      <c r="B16612" s="1" t="n">
        <v>45567</v>
      </c>
      <c r="C16612" s="1" t="n">
        <v>45736</v>
      </c>
      <c r="D16612" t="inlineStr">
        <is>
          <t>VÄRMLANDS LÄN</t>
        </is>
      </c>
      <c r="E16612" t="inlineStr">
        <is>
          <t>SUNNE</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43137-2024</t>
        </is>
      </c>
      <c r="B16613" s="1" t="n">
        <v>45567</v>
      </c>
      <c r="C16613" s="1" t="n">
        <v>45736</v>
      </c>
      <c r="D16613" t="inlineStr">
        <is>
          <t>VÄRMLANDS LÄN</t>
        </is>
      </c>
      <c r="E16613" t="inlineStr">
        <is>
          <t>TORSBY</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43065-2024</t>
        </is>
      </c>
      <c r="B16614" s="1" t="n">
        <v>45567</v>
      </c>
      <c r="C16614" s="1" t="n">
        <v>45736</v>
      </c>
      <c r="D16614" t="inlineStr">
        <is>
          <t>VÄRMLANDS LÄN</t>
        </is>
      </c>
      <c r="E16614" t="inlineStr">
        <is>
          <t>KIL</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43060-2024</t>
        </is>
      </c>
      <c r="B16615" s="1" t="n">
        <v>45567</v>
      </c>
      <c r="C16615" s="1" t="n">
        <v>45736</v>
      </c>
      <c r="D16615" t="inlineStr">
        <is>
          <t>VÄRMLANDS LÄN</t>
        </is>
      </c>
      <c r="E16615" t="inlineStr">
        <is>
          <t>KIL</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43044-2024</t>
        </is>
      </c>
      <c r="B16616" s="1" t="n">
        <v>45567</v>
      </c>
      <c r="C16616" s="1" t="n">
        <v>45736</v>
      </c>
      <c r="D16616" t="inlineStr">
        <is>
          <t>VÄRMLANDS LÄN</t>
        </is>
      </c>
      <c r="E16616" t="inlineStr">
        <is>
          <t>TORSBY</t>
        </is>
      </c>
      <c r="F16616" t="inlineStr">
        <is>
          <t>Bergvik skog väst AB</t>
        </is>
      </c>
      <c r="G16616" t="n">
        <v>42.7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42935-2024</t>
        </is>
      </c>
      <c r="B16617" s="1" t="n">
        <v>45567</v>
      </c>
      <c r="C16617" s="1" t="n">
        <v>45736</v>
      </c>
      <c r="D16617" t="inlineStr">
        <is>
          <t>VÄRMLANDS LÄN</t>
        </is>
      </c>
      <c r="E16617" t="inlineStr">
        <is>
          <t>EDA</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43200-2024</t>
        </is>
      </c>
      <c r="B16618" s="1" t="n">
        <v>45567</v>
      </c>
      <c r="C16618" s="1" t="n">
        <v>45736</v>
      </c>
      <c r="D16618" t="inlineStr">
        <is>
          <t>VÄRMLANDS LÄN</t>
        </is>
      </c>
      <c r="E16618" t="inlineStr">
        <is>
          <t>EDA</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43164-2024</t>
        </is>
      </c>
      <c r="B16619" s="1" t="n">
        <v>45567</v>
      </c>
      <c r="C16619" s="1" t="n">
        <v>45736</v>
      </c>
      <c r="D16619" t="inlineStr">
        <is>
          <t>VÄRMLANDS LÄN</t>
        </is>
      </c>
      <c r="E16619" t="inlineStr">
        <is>
          <t>TORSBY</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43144-2024</t>
        </is>
      </c>
      <c r="B16620" s="1" t="n">
        <v>45567</v>
      </c>
      <c r="C16620" s="1" t="n">
        <v>45736</v>
      </c>
      <c r="D16620" t="inlineStr">
        <is>
          <t>VÄRMLANDS LÄN</t>
        </is>
      </c>
      <c r="E16620" t="inlineStr">
        <is>
          <t>TORSBY</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43059-2024</t>
        </is>
      </c>
      <c r="B16621" s="1" t="n">
        <v>45567</v>
      </c>
      <c r="C16621" s="1" t="n">
        <v>45736</v>
      </c>
      <c r="D16621" t="inlineStr">
        <is>
          <t>VÄRMLANDS LÄN</t>
        </is>
      </c>
      <c r="E16621" t="inlineStr">
        <is>
          <t>FILIPSTAD</t>
        </is>
      </c>
      <c r="F16621" t="inlineStr">
        <is>
          <t>Kyrkan</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42986-2024</t>
        </is>
      </c>
      <c r="B16622" s="1" t="n">
        <v>45567</v>
      </c>
      <c r="C16622" s="1" t="n">
        <v>45736</v>
      </c>
      <c r="D16622" t="inlineStr">
        <is>
          <t>VÄRMLANDS LÄN</t>
        </is>
      </c>
      <c r="E16622" t="inlineStr">
        <is>
          <t>ARVIKA</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43483-2024</t>
        </is>
      </c>
      <c r="B16623" s="1" t="n">
        <v>45568</v>
      </c>
      <c r="C16623" s="1" t="n">
        <v>45736</v>
      </c>
      <c r="D16623" t="inlineStr">
        <is>
          <t>VÄRMLANDS LÄN</t>
        </is>
      </c>
      <c r="E16623" t="inlineStr">
        <is>
          <t>SUNNE</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43420-2024</t>
        </is>
      </c>
      <c r="B16624" s="1" t="n">
        <v>45568</v>
      </c>
      <c r="C16624" s="1" t="n">
        <v>45736</v>
      </c>
      <c r="D16624" t="inlineStr">
        <is>
          <t>VÄRMLANDS LÄN</t>
        </is>
      </c>
      <c r="E16624" t="inlineStr">
        <is>
          <t>TORSBY</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43409-2024</t>
        </is>
      </c>
      <c r="B16625" s="1" t="n">
        <v>45568</v>
      </c>
      <c r="C16625" s="1" t="n">
        <v>45736</v>
      </c>
      <c r="D16625" t="inlineStr">
        <is>
          <t>VÄRMLANDS LÄN</t>
        </is>
      </c>
      <c r="E16625" t="inlineStr">
        <is>
          <t>TORSBY</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43295-2024</t>
        </is>
      </c>
      <c r="B16626" s="1" t="n">
        <v>45568</v>
      </c>
      <c r="C16626" s="1" t="n">
        <v>45736</v>
      </c>
      <c r="D16626" t="inlineStr">
        <is>
          <t>VÄRMLANDS LÄN</t>
        </is>
      </c>
      <c r="E16626" t="inlineStr">
        <is>
          <t>TORSBY</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43285-2024</t>
        </is>
      </c>
      <c r="B16627" s="1" t="n">
        <v>45568</v>
      </c>
      <c r="C16627" s="1" t="n">
        <v>45736</v>
      </c>
      <c r="D16627" t="inlineStr">
        <is>
          <t>VÄRMLANDS LÄN</t>
        </is>
      </c>
      <c r="E16627" t="inlineStr">
        <is>
          <t>KIL</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43376-2024</t>
        </is>
      </c>
      <c r="B16628" s="1" t="n">
        <v>45568</v>
      </c>
      <c r="C16628" s="1" t="n">
        <v>45736</v>
      </c>
      <c r="D16628" t="inlineStr">
        <is>
          <t>VÄRMLANDS LÄN</t>
        </is>
      </c>
      <c r="E16628" t="inlineStr">
        <is>
          <t>KARLSTAD</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43269-2024</t>
        </is>
      </c>
      <c r="B16629" s="1" t="n">
        <v>45568</v>
      </c>
      <c r="C16629" s="1" t="n">
        <v>45736</v>
      </c>
      <c r="D16629" t="inlineStr">
        <is>
          <t>VÄRMLANDS LÄN</t>
        </is>
      </c>
      <c r="E16629" t="inlineStr">
        <is>
          <t>FILIPSTAD</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43319-2024</t>
        </is>
      </c>
      <c r="B16630" s="1" t="n">
        <v>45568</v>
      </c>
      <c r="C16630" s="1" t="n">
        <v>45736</v>
      </c>
      <c r="D16630" t="inlineStr">
        <is>
          <t>VÄRMLANDS LÄN</t>
        </is>
      </c>
      <c r="E16630" t="inlineStr">
        <is>
          <t>ÅRJÄNG</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43387-2024</t>
        </is>
      </c>
      <c r="B16631" s="1" t="n">
        <v>45568</v>
      </c>
      <c r="C16631" s="1" t="n">
        <v>45736</v>
      </c>
      <c r="D16631" t="inlineStr">
        <is>
          <t>VÄRMLANDS LÄN</t>
        </is>
      </c>
      <c r="E16631" t="inlineStr">
        <is>
          <t>FORSHAGA</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43336-2024</t>
        </is>
      </c>
      <c r="B16632" s="1" t="n">
        <v>45568</v>
      </c>
      <c r="C16632" s="1" t="n">
        <v>45736</v>
      </c>
      <c r="D16632" t="inlineStr">
        <is>
          <t>VÄRMLANDS LÄN</t>
        </is>
      </c>
      <c r="E16632" t="inlineStr">
        <is>
          <t>TORSBY</t>
        </is>
      </c>
      <c r="F16632" t="inlineStr">
        <is>
          <t>Bergvik skog väst AB</t>
        </is>
      </c>
      <c r="G16632" t="n">
        <v>6.7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43301-2024</t>
        </is>
      </c>
      <c r="B16633" s="1" t="n">
        <v>45568</v>
      </c>
      <c r="C16633" s="1" t="n">
        <v>45736</v>
      </c>
      <c r="D16633" t="inlineStr">
        <is>
          <t>VÄRMLANDS LÄN</t>
        </is>
      </c>
      <c r="E16633" t="inlineStr">
        <is>
          <t>TORSBY</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43290-2024</t>
        </is>
      </c>
      <c r="B16634" s="1" t="n">
        <v>45568</v>
      </c>
      <c r="C16634" s="1" t="n">
        <v>45736</v>
      </c>
      <c r="D16634" t="inlineStr">
        <is>
          <t>VÄRMLANDS LÄN</t>
        </is>
      </c>
      <c r="E16634" t="inlineStr">
        <is>
          <t>ÅRJÄNG</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43270-2024</t>
        </is>
      </c>
      <c r="B16635" s="1" t="n">
        <v>45568</v>
      </c>
      <c r="C16635" s="1" t="n">
        <v>45736</v>
      </c>
      <c r="D16635" t="inlineStr">
        <is>
          <t>VÄRMLANDS LÄN</t>
        </is>
      </c>
      <c r="E16635" t="inlineStr">
        <is>
          <t>FILIPSTAD</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43284-2024</t>
        </is>
      </c>
      <c r="B16636" s="1" t="n">
        <v>45568</v>
      </c>
      <c r="C16636" s="1" t="n">
        <v>45736</v>
      </c>
      <c r="D16636" t="inlineStr">
        <is>
          <t>VÄRMLANDS LÄN</t>
        </is>
      </c>
      <c r="E16636" t="inlineStr">
        <is>
          <t>ÅRJÄNG</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43264-2024</t>
        </is>
      </c>
      <c r="B16637" s="1" t="n">
        <v>45568</v>
      </c>
      <c r="C16637" s="1" t="n">
        <v>45736</v>
      </c>
      <c r="D16637" t="inlineStr">
        <is>
          <t>VÄRMLANDS LÄN</t>
        </is>
      </c>
      <c r="E16637" t="inlineStr">
        <is>
          <t>FILIPSTAD</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43256-2024</t>
        </is>
      </c>
      <c r="B16638" s="1" t="n">
        <v>45568</v>
      </c>
      <c r="C16638" s="1" t="n">
        <v>45736</v>
      </c>
      <c r="D16638" t="inlineStr">
        <is>
          <t>VÄRMLANDS LÄN</t>
        </is>
      </c>
      <c r="E16638" t="inlineStr">
        <is>
          <t>TORSBY</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43636-2024</t>
        </is>
      </c>
      <c r="B16639" s="1" t="n">
        <v>45569</v>
      </c>
      <c r="C16639" s="1" t="n">
        <v>45736</v>
      </c>
      <c r="D16639" t="inlineStr">
        <is>
          <t>VÄRMLANDS LÄN</t>
        </is>
      </c>
      <c r="E16639" t="inlineStr">
        <is>
          <t>FILIPSTAD</t>
        </is>
      </c>
      <c r="F16639" t="inlineStr">
        <is>
          <t>Bergvik skog väst AB</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43650-2024</t>
        </is>
      </c>
      <c r="B16640" s="1" t="n">
        <v>45569</v>
      </c>
      <c r="C16640" s="1" t="n">
        <v>45736</v>
      </c>
      <c r="D16640" t="inlineStr">
        <is>
          <t>VÄRMLANDS LÄN</t>
        </is>
      </c>
      <c r="E16640" t="inlineStr">
        <is>
          <t>ÅRJÄNG</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43654-2024</t>
        </is>
      </c>
      <c r="B16641" s="1" t="n">
        <v>45569</v>
      </c>
      <c r="C16641" s="1" t="n">
        <v>45736</v>
      </c>
      <c r="D16641" t="inlineStr">
        <is>
          <t>VÄRMLANDS LÄN</t>
        </is>
      </c>
      <c r="E16641" t="inlineStr">
        <is>
          <t>KRISTINEHAMN</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43659-2024</t>
        </is>
      </c>
      <c r="B16642" s="1" t="n">
        <v>45569</v>
      </c>
      <c r="C16642" s="1" t="n">
        <v>45736</v>
      </c>
      <c r="D16642" t="inlineStr">
        <is>
          <t>VÄRMLANDS LÄN</t>
        </is>
      </c>
      <c r="E16642" t="inlineStr">
        <is>
          <t>ÅRJÄNG</t>
        </is>
      </c>
      <c r="G16642" t="n">
        <v>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43538-2024</t>
        </is>
      </c>
      <c r="B16643" s="1" t="n">
        <v>45569</v>
      </c>
      <c r="C16643" s="1" t="n">
        <v>45736</v>
      </c>
      <c r="D16643" t="inlineStr">
        <is>
          <t>VÄRMLANDS LÄN</t>
        </is>
      </c>
      <c r="E16643" t="inlineStr">
        <is>
          <t>TORSBY</t>
        </is>
      </c>
      <c r="F16643" t="inlineStr">
        <is>
          <t>Bergvik skog väst AB</t>
        </is>
      </c>
      <c r="G16643" t="n">
        <v>14.4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43595-2024</t>
        </is>
      </c>
      <c r="B16644" s="1" t="n">
        <v>45569</v>
      </c>
      <c r="C16644" s="1" t="n">
        <v>45736</v>
      </c>
      <c r="D16644" t="inlineStr">
        <is>
          <t>VÄRMLANDS LÄN</t>
        </is>
      </c>
      <c r="E16644" t="inlineStr">
        <is>
          <t>HAGFORS</t>
        </is>
      </c>
      <c r="F16644" t="inlineStr">
        <is>
          <t>Bergvik skog väst AB</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43633-2024</t>
        </is>
      </c>
      <c r="B16645" s="1" t="n">
        <v>45569</v>
      </c>
      <c r="C16645" s="1" t="n">
        <v>45736</v>
      </c>
      <c r="D16645" t="inlineStr">
        <is>
          <t>VÄRMLANDS LÄN</t>
        </is>
      </c>
      <c r="E16645" t="inlineStr">
        <is>
          <t>FILIPSTAD</t>
        </is>
      </c>
      <c r="F16645" t="inlineStr">
        <is>
          <t>Bergvik skog väst AB</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43692-2024</t>
        </is>
      </c>
      <c r="B16646" s="1" t="n">
        <v>45569</v>
      </c>
      <c r="C16646" s="1" t="n">
        <v>45736</v>
      </c>
      <c r="D16646" t="inlineStr">
        <is>
          <t>VÄRMLANDS LÄN</t>
        </is>
      </c>
      <c r="E16646" t="inlineStr">
        <is>
          <t>STORFORS</t>
        </is>
      </c>
      <c r="F16646" t="inlineStr">
        <is>
          <t>Bergvik skog väst AB</t>
        </is>
      </c>
      <c r="G16646" t="n">
        <v>8.4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43766-2024</t>
        </is>
      </c>
      <c r="B16647" s="1" t="n">
        <v>45569</v>
      </c>
      <c r="C16647" s="1" t="n">
        <v>45736</v>
      </c>
      <c r="D16647" t="inlineStr">
        <is>
          <t>VÄRMLANDS LÄN</t>
        </is>
      </c>
      <c r="E16647" t="inlineStr">
        <is>
          <t>SÄFFLE</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43718-2024</t>
        </is>
      </c>
      <c r="B16648" s="1" t="n">
        <v>45569</v>
      </c>
      <c r="C16648" s="1" t="n">
        <v>45736</v>
      </c>
      <c r="D16648" t="inlineStr">
        <is>
          <t>VÄRMLANDS LÄN</t>
        </is>
      </c>
      <c r="E16648" t="inlineStr">
        <is>
          <t>TORSBY</t>
        </is>
      </c>
      <c r="G16648" t="n">
        <v>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43587-2024</t>
        </is>
      </c>
      <c r="B16649" s="1" t="n">
        <v>45569</v>
      </c>
      <c r="C16649" s="1" t="n">
        <v>45736</v>
      </c>
      <c r="D16649" t="inlineStr">
        <is>
          <t>VÄRMLANDS LÄN</t>
        </is>
      </c>
      <c r="E16649" t="inlineStr">
        <is>
          <t>ARVIKA</t>
        </is>
      </c>
      <c r="F16649" t="inlineStr">
        <is>
          <t>Bergvik skog väst AB</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43558-2024</t>
        </is>
      </c>
      <c r="B16650" s="1" t="n">
        <v>45569</v>
      </c>
      <c r="C16650" s="1" t="n">
        <v>45736</v>
      </c>
      <c r="D16650" t="inlineStr">
        <is>
          <t>VÄRMLANDS LÄN</t>
        </is>
      </c>
      <c r="E16650" t="inlineStr">
        <is>
          <t>HAGFORS</t>
        </is>
      </c>
      <c r="F16650" t="inlineStr">
        <is>
          <t>Bergvik skog väst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43543-2024</t>
        </is>
      </c>
      <c r="B16651" s="1" t="n">
        <v>45569</v>
      </c>
      <c r="C16651" s="1" t="n">
        <v>45736</v>
      </c>
      <c r="D16651" t="inlineStr">
        <is>
          <t>VÄRMLANDS LÄN</t>
        </is>
      </c>
      <c r="E16651" t="inlineStr">
        <is>
          <t>HAGFORS</t>
        </is>
      </c>
      <c r="F16651" t="inlineStr">
        <is>
          <t>Bergvik skog väst AB</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43531-2024</t>
        </is>
      </c>
      <c r="B16652" s="1" t="n">
        <v>45569</v>
      </c>
      <c r="C16652" s="1" t="n">
        <v>45736</v>
      </c>
      <c r="D16652" t="inlineStr">
        <is>
          <t>VÄRMLANDS LÄN</t>
        </is>
      </c>
      <c r="E16652" t="inlineStr">
        <is>
          <t>ARVIKA</t>
        </is>
      </c>
      <c r="G16652" t="n">
        <v>4.8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43517-2024</t>
        </is>
      </c>
      <c r="B16653" s="1" t="n">
        <v>45569</v>
      </c>
      <c r="C16653" s="1" t="n">
        <v>45736</v>
      </c>
      <c r="D16653" t="inlineStr">
        <is>
          <t>VÄRMLANDS LÄN</t>
        </is>
      </c>
      <c r="E16653" t="inlineStr">
        <is>
          <t>ÅRJÄNG</t>
        </is>
      </c>
      <c r="G16653" t="n">
        <v>5.9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43765-2024</t>
        </is>
      </c>
      <c r="B16654" s="1" t="n">
        <v>45569</v>
      </c>
      <c r="C16654" s="1" t="n">
        <v>45736</v>
      </c>
      <c r="D16654" t="inlineStr">
        <is>
          <t>VÄRMLANDS LÄN</t>
        </is>
      </c>
      <c r="E16654" t="inlineStr">
        <is>
          <t>SÄFFLE</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43632-2024</t>
        </is>
      </c>
      <c r="B16655" s="1" t="n">
        <v>45569</v>
      </c>
      <c r="C16655" s="1" t="n">
        <v>45736</v>
      </c>
      <c r="D16655" t="inlineStr">
        <is>
          <t>VÄRMLANDS LÄN</t>
        </is>
      </c>
      <c r="E16655" t="inlineStr">
        <is>
          <t>FILIPSTAD</t>
        </is>
      </c>
      <c r="F16655" t="inlineStr">
        <is>
          <t>Bergvik skog väst AB</t>
        </is>
      </c>
      <c r="G16655" t="n">
        <v>23.3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43545-2024</t>
        </is>
      </c>
      <c r="B16656" s="1" t="n">
        <v>45569</v>
      </c>
      <c r="C16656" s="1" t="n">
        <v>45736</v>
      </c>
      <c r="D16656" t="inlineStr">
        <is>
          <t>VÄRMLANDS LÄN</t>
        </is>
      </c>
      <c r="E16656" t="inlineStr">
        <is>
          <t>TORSBY</t>
        </is>
      </c>
      <c r="F16656" t="inlineStr">
        <is>
          <t>Bergvik skog väst AB</t>
        </is>
      </c>
      <c r="G16656" t="n">
        <v>5.5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43739-2024</t>
        </is>
      </c>
      <c r="B16657" s="1" t="n">
        <v>45569</v>
      </c>
      <c r="C16657" s="1" t="n">
        <v>45736</v>
      </c>
      <c r="D16657" t="inlineStr">
        <is>
          <t>VÄRMLANDS LÄN</t>
        </is>
      </c>
      <c r="E16657" t="inlineStr">
        <is>
          <t>TORSBY</t>
        </is>
      </c>
      <c r="G16657" t="n">
        <v>4.7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43955-2024</t>
        </is>
      </c>
      <c r="B16658" s="1" t="n">
        <v>45571</v>
      </c>
      <c r="C16658" s="1" t="n">
        <v>45736</v>
      </c>
      <c r="D16658" t="inlineStr">
        <is>
          <t>VÄRMLANDS LÄN</t>
        </is>
      </c>
      <c r="E16658" t="inlineStr">
        <is>
          <t>KIL</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43952-2024</t>
        </is>
      </c>
      <c r="B16659" s="1" t="n">
        <v>45571</v>
      </c>
      <c r="C16659" s="1" t="n">
        <v>45736</v>
      </c>
      <c r="D16659" t="inlineStr">
        <is>
          <t>VÄRMLANDS LÄN</t>
        </is>
      </c>
      <c r="E16659" t="inlineStr">
        <is>
          <t>KIL</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43794-2024</t>
        </is>
      </c>
      <c r="B16660" s="1" t="n">
        <v>45571</v>
      </c>
      <c r="C16660" s="1" t="n">
        <v>45736</v>
      </c>
      <c r="D16660" t="inlineStr">
        <is>
          <t>VÄRMLANDS LÄN</t>
        </is>
      </c>
      <c r="E16660" t="inlineStr">
        <is>
          <t>ÅRJÄNG</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43859-2024</t>
        </is>
      </c>
      <c r="B16661" s="1" t="n">
        <v>45572</v>
      </c>
      <c r="C16661" s="1" t="n">
        <v>45736</v>
      </c>
      <c r="D16661" t="inlineStr">
        <is>
          <t>VÄRMLANDS LÄN</t>
        </is>
      </c>
      <c r="E16661" t="inlineStr">
        <is>
          <t>SUNNE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43864-2024</t>
        </is>
      </c>
      <c r="B16662" s="1" t="n">
        <v>45572</v>
      </c>
      <c r="C16662" s="1" t="n">
        <v>45736</v>
      </c>
      <c r="D16662" t="inlineStr">
        <is>
          <t>VÄRMLANDS LÄN</t>
        </is>
      </c>
      <c r="E16662" t="inlineStr">
        <is>
          <t>TORSBY</t>
        </is>
      </c>
      <c r="F16662" t="inlineStr">
        <is>
          <t>Kommuner</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43894-2024</t>
        </is>
      </c>
      <c r="B16663" s="1" t="n">
        <v>45572</v>
      </c>
      <c r="C16663" s="1" t="n">
        <v>45736</v>
      </c>
      <c r="D16663" t="inlineStr">
        <is>
          <t>VÄRMLANDS LÄN</t>
        </is>
      </c>
      <c r="E16663" t="inlineStr">
        <is>
          <t>SÄFFLE</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43995-2024</t>
        </is>
      </c>
      <c r="B16664" s="1" t="n">
        <v>45572</v>
      </c>
      <c r="C16664" s="1" t="n">
        <v>45736</v>
      </c>
      <c r="D16664" t="inlineStr">
        <is>
          <t>VÄRMLANDS LÄN</t>
        </is>
      </c>
      <c r="E16664" t="inlineStr">
        <is>
          <t>SÄFFLE</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44068-2024</t>
        </is>
      </c>
      <c r="B16665" s="1" t="n">
        <v>45572</v>
      </c>
      <c r="C16665" s="1" t="n">
        <v>45736</v>
      </c>
      <c r="D16665" t="inlineStr">
        <is>
          <t>VÄRMLANDS LÄN</t>
        </is>
      </c>
      <c r="E16665" t="inlineStr">
        <is>
          <t>SÄFFLE</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44085-2024</t>
        </is>
      </c>
      <c r="B16666" s="1" t="n">
        <v>45572</v>
      </c>
      <c r="C16666" s="1" t="n">
        <v>45736</v>
      </c>
      <c r="D16666" t="inlineStr">
        <is>
          <t>VÄRMLANDS LÄN</t>
        </is>
      </c>
      <c r="E16666" t="inlineStr">
        <is>
          <t>KARLSTAD</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44097-2024</t>
        </is>
      </c>
      <c r="B16667" s="1" t="n">
        <v>45572</v>
      </c>
      <c r="C16667" s="1" t="n">
        <v>45736</v>
      </c>
      <c r="D16667" t="inlineStr">
        <is>
          <t>VÄRMLANDS LÄN</t>
        </is>
      </c>
      <c r="E16667" t="inlineStr">
        <is>
          <t>KARLSTAD</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44101-2024</t>
        </is>
      </c>
      <c r="B16668" s="1" t="n">
        <v>45572</v>
      </c>
      <c r="C16668" s="1" t="n">
        <v>45736</v>
      </c>
      <c r="D16668" t="inlineStr">
        <is>
          <t>VÄRMLANDS LÄN</t>
        </is>
      </c>
      <c r="E16668" t="inlineStr">
        <is>
          <t>KARLSTAD</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43865-2024</t>
        </is>
      </c>
      <c r="B16669" s="1" t="n">
        <v>45572</v>
      </c>
      <c r="C16669" s="1" t="n">
        <v>45736</v>
      </c>
      <c r="D16669" t="inlineStr">
        <is>
          <t>VÄRMLANDS LÄN</t>
        </is>
      </c>
      <c r="E16669" t="inlineStr">
        <is>
          <t>SUNNE</t>
        </is>
      </c>
      <c r="F16669" t="inlineStr">
        <is>
          <t>Bergvik skog väst AB</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43881-2024</t>
        </is>
      </c>
      <c r="B16670" s="1" t="n">
        <v>45572</v>
      </c>
      <c r="C16670" s="1" t="n">
        <v>45736</v>
      </c>
      <c r="D16670" t="inlineStr">
        <is>
          <t>VÄRMLANDS LÄN</t>
        </is>
      </c>
      <c r="E16670" t="inlineStr">
        <is>
          <t>EDA</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43988-2024</t>
        </is>
      </c>
      <c r="B16671" s="1" t="n">
        <v>45572</v>
      </c>
      <c r="C16671" s="1" t="n">
        <v>45736</v>
      </c>
      <c r="D16671" t="inlineStr">
        <is>
          <t>VÄRMLANDS LÄN</t>
        </is>
      </c>
      <c r="E16671" t="inlineStr">
        <is>
          <t>TORSBY</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43992-2024</t>
        </is>
      </c>
      <c r="B16672" s="1" t="n">
        <v>45572</v>
      </c>
      <c r="C16672" s="1" t="n">
        <v>45736</v>
      </c>
      <c r="D16672" t="inlineStr">
        <is>
          <t>VÄRMLANDS LÄN</t>
        </is>
      </c>
      <c r="E16672" t="inlineStr">
        <is>
          <t>FILIPSTAD</t>
        </is>
      </c>
      <c r="F16672" t="inlineStr">
        <is>
          <t>Bergvik skog väst AB</t>
        </is>
      </c>
      <c r="G16672" t="n">
        <v>12.1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44036-2024</t>
        </is>
      </c>
      <c r="B16673" s="1" t="n">
        <v>45572</v>
      </c>
      <c r="C16673" s="1" t="n">
        <v>45736</v>
      </c>
      <c r="D16673" t="inlineStr">
        <is>
          <t>VÄRMLANDS LÄN</t>
        </is>
      </c>
      <c r="E16673" t="inlineStr">
        <is>
          <t>FILIPSTAD</t>
        </is>
      </c>
      <c r="F16673" t="inlineStr">
        <is>
          <t>Bergvik skog väst AB</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43985-2024</t>
        </is>
      </c>
      <c r="B16674" s="1" t="n">
        <v>45572</v>
      </c>
      <c r="C16674" s="1" t="n">
        <v>45736</v>
      </c>
      <c r="D16674" t="inlineStr">
        <is>
          <t>VÄRMLANDS LÄN</t>
        </is>
      </c>
      <c r="E16674" t="inlineStr">
        <is>
          <t>SÄFFLE</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44103-2024</t>
        </is>
      </c>
      <c r="B16675" s="1" t="n">
        <v>45572</v>
      </c>
      <c r="C16675" s="1" t="n">
        <v>45736</v>
      </c>
      <c r="D16675" t="inlineStr">
        <is>
          <t>VÄRMLANDS LÄN</t>
        </is>
      </c>
      <c r="E16675" t="inlineStr">
        <is>
          <t>KRISTINEHAMN</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44099-2024</t>
        </is>
      </c>
      <c r="B16676" s="1" t="n">
        <v>45572</v>
      </c>
      <c r="C16676" s="1" t="n">
        <v>45736</v>
      </c>
      <c r="D16676" t="inlineStr">
        <is>
          <t>VÄRMLANDS LÄN</t>
        </is>
      </c>
      <c r="E16676" t="inlineStr">
        <is>
          <t>KARLSTAD</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43968-2024</t>
        </is>
      </c>
      <c r="B16677" s="1" t="n">
        <v>45572</v>
      </c>
      <c r="C16677" s="1" t="n">
        <v>45736</v>
      </c>
      <c r="D16677" t="inlineStr">
        <is>
          <t>VÄRMLANDS LÄN</t>
        </is>
      </c>
      <c r="E16677" t="inlineStr">
        <is>
          <t>ARVIKA</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43882-2024</t>
        </is>
      </c>
      <c r="B16678" s="1" t="n">
        <v>45572</v>
      </c>
      <c r="C16678" s="1" t="n">
        <v>45736</v>
      </c>
      <c r="D16678" t="inlineStr">
        <is>
          <t>VÄRMLANDS LÄN</t>
        </is>
      </c>
      <c r="E16678" t="inlineStr">
        <is>
          <t>ARVIKA</t>
        </is>
      </c>
      <c r="G16678" t="n">
        <v>7.4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43866-2024</t>
        </is>
      </c>
      <c r="B16679" s="1" t="n">
        <v>45572</v>
      </c>
      <c r="C16679" s="1" t="n">
        <v>45736</v>
      </c>
      <c r="D16679" t="inlineStr">
        <is>
          <t>VÄRMLANDS LÄN</t>
        </is>
      </c>
      <c r="E16679" t="inlineStr">
        <is>
          <t>EDA</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44081-2024</t>
        </is>
      </c>
      <c r="B16680" s="1" t="n">
        <v>45572</v>
      </c>
      <c r="C16680" s="1" t="n">
        <v>45736</v>
      </c>
      <c r="D16680" t="inlineStr">
        <is>
          <t>VÄRMLANDS LÄN</t>
        </is>
      </c>
      <c r="E16680" t="inlineStr">
        <is>
          <t>TORSBY</t>
        </is>
      </c>
      <c r="F16680" t="inlineStr">
        <is>
          <t>Bergvik skog väst AB</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44086-2024</t>
        </is>
      </c>
      <c r="B16681" s="1" t="n">
        <v>45572</v>
      </c>
      <c r="C16681" s="1" t="n">
        <v>45736</v>
      </c>
      <c r="D16681" t="inlineStr">
        <is>
          <t>VÄRMLANDS LÄN</t>
        </is>
      </c>
      <c r="E16681" t="inlineStr">
        <is>
          <t>SUNNE</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44094-2024</t>
        </is>
      </c>
      <c r="B16682" s="1" t="n">
        <v>45572</v>
      </c>
      <c r="C16682" s="1" t="n">
        <v>45736</v>
      </c>
      <c r="D16682" t="inlineStr">
        <is>
          <t>VÄRMLANDS LÄN</t>
        </is>
      </c>
      <c r="E16682" t="inlineStr">
        <is>
          <t>KARLSTAD</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44164-2024</t>
        </is>
      </c>
      <c r="B16683" s="1" t="n">
        <v>45572</v>
      </c>
      <c r="C16683" s="1" t="n">
        <v>45736</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43893-2024</t>
        </is>
      </c>
      <c r="B16684" s="1" t="n">
        <v>45572</v>
      </c>
      <c r="C16684" s="1" t="n">
        <v>45736</v>
      </c>
      <c r="D16684" t="inlineStr">
        <is>
          <t>VÄRMLANDS LÄN</t>
        </is>
      </c>
      <c r="E16684" t="inlineStr">
        <is>
          <t>SÄFFLE</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43935-2024</t>
        </is>
      </c>
      <c r="B16685" s="1" t="n">
        <v>45572</v>
      </c>
      <c r="C16685" s="1" t="n">
        <v>45736</v>
      </c>
      <c r="D16685" t="inlineStr">
        <is>
          <t>VÄRMLANDS LÄN</t>
        </is>
      </c>
      <c r="E16685" t="inlineStr">
        <is>
          <t>ARVIKA</t>
        </is>
      </c>
      <c r="G16685" t="n">
        <v>5.3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43961-2024</t>
        </is>
      </c>
      <c r="B16686" s="1" t="n">
        <v>45572</v>
      </c>
      <c r="C16686" s="1" t="n">
        <v>45736</v>
      </c>
      <c r="D16686" t="inlineStr">
        <is>
          <t>VÄRMLANDS LÄN</t>
        </is>
      </c>
      <c r="E16686" t="inlineStr">
        <is>
          <t>ARVIKA</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43978-2024</t>
        </is>
      </c>
      <c r="B16687" s="1" t="n">
        <v>45572</v>
      </c>
      <c r="C16687" s="1" t="n">
        <v>45736</v>
      </c>
      <c r="D16687" t="inlineStr">
        <is>
          <t>VÄRMLANDS LÄN</t>
        </is>
      </c>
      <c r="E16687" t="inlineStr">
        <is>
          <t>ARVIKA</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43998-2024</t>
        </is>
      </c>
      <c r="B16688" s="1" t="n">
        <v>45572</v>
      </c>
      <c r="C16688" s="1" t="n">
        <v>45736</v>
      </c>
      <c r="D16688" t="inlineStr">
        <is>
          <t>VÄRMLANDS LÄN</t>
        </is>
      </c>
      <c r="E16688" t="inlineStr">
        <is>
          <t>HAGFORS</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44059-2024</t>
        </is>
      </c>
      <c r="B16689" s="1" t="n">
        <v>45572</v>
      </c>
      <c r="C16689" s="1" t="n">
        <v>45736</v>
      </c>
      <c r="D16689" t="inlineStr">
        <is>
          <t>VÄRMLANDS LÄN</t>
        </is>
      </c>
      <c r="E16689" t="inlineStr">
        <is>
          <t>TORSBY</t>
        </is>
      </c>
      <c r="F16689" t="inlineStr">
        <is>
          <t>Bergvik skog väst AB</t>
        </is>
      </c>
      <c r="G16689" t="n">
        <v>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44096-2024</t>
        </is>
      </c>
      <c r="B16690" s="1" t="n">
        <v>45572</v>
      </c>
      <c r="C16690" s="1" t="n">
        <v>45736</v>
      </c>
      <c r="D16690" t="inlineStr">
        <is>
          <t>VÄRMLANDS LÄN</t>
        </is>
      </c>
      <c r="E16690" t="inlineStr">
        <is>
          <t>SUNNE</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44140-2024</t>
        </is>
      </c>
      <c r="B16691" s="1" t="n">
        <v>45572</v>
      </c>
      <c r="C16691" s="1" t="n">
        <v>45736</v>
      </c>
      <c r="D16691" t="inlineStr">
        <is>
          <t>VÄRMLANDS LÄN</t>
        </is>
      </c>
      <c r="E16691" t="inlineStr">
        <is>
          <t>ÅRJÄNG</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44170-2024</t>
        </is>
      </c>
      <c r="B16692" s="1" t="n">
        <v>45572</v>
      </c>
      <c r="C16692" s="1" t="n">
        <v>45736</v>
      </c>
      <c r="D16692" t="inlineStr">
        <is>
          <t>VÄRMLANDS LÄN</t>
        </is>
      </c>
      <c r="E16692" t="inlineStr">
        <is>
          <t>SUNNE</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44182-2024</t>
        </is>
      </c>
      <c r="B16693" s="1" t="n">
        <v>45572</v>
      </c>
      <c r="C16693" s="1" t="n">
        <v>45736</v>
      </c>
      <c r="D16693" t="inlineStr">
        <is>
          <t>VÄRMLANDS LÄN</t>
        </is>
      </c>
      <c r="E16693" t="inlineStr">
        <is>
          <t>HAGFORS</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44408-2024</t>
        </is>
      </c>
      <c r="B16694" s="1" t="n">
        <v>45573</v>
      </c>
      <c r="C16694" s="1" t="n">
        <v>45736</v>
      </c>
      <c r="D16694" t="inlineStr">
        <is>
          <t>VÄRMLANDS LÄN</t>
        </is>
      </c>
      <c r="E16694" t="inlineStr">
        <is>
          <t>SUNNE</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44346-2024</t>
        </is>
      </c>
      <c r="B16695" s="1" t="n">
        <v>45573</v>
      </c>
      <c r="C16695" s="1" t="n">
        <v>45736</v>
      </c>
      <c r="D16695" t="inlineStr">
        <is>
          <t>VÄRMLANDS LÄN</t>
        </is>
      </c>
      <c r="E16695" t="inlineStr">
        <is>
          <t>SÄFFLE</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44362-2024</t>
        </is>
      </c>
      <c r="B16696" s="1" t="n">
        <v>45573</v>
      </c>
      <c r="C16696" s="1" t="n">
        <v>45736</v>
      </c>
      <c r="D16696" t="inlineStr">
        <is>
          <t>VÄRMLANDS LÄN</t>
        </is>
      </c>
      <c r="E16696" t="inlineStr">
        <is>
          <t>ARVIKA</t>
        </is>
      </c>
      <c r="G16696" t="n">
        <v>3.3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44349-2024</t>
        </is>
      </c>
      <c r="B16697" s="1" t="n">
        <v>45573</v>
      </c>
      <c r="C16697" s="1" t="n">
        <v>45736</v>
      </c>
      <c r="D16697" t="inlineStr">
        <is>
          <t>VÄRMLANDS LÄN</t>
        </is>
      </c>
      <c r="E16697" t="inlineStr">
        <is>
          <t>TORSBY</t>
        </is>
      </c>
      <c r="G16697" t="n">
        <v>8.4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44312-2024</t>
        </is>
      </c>
      <c r="B16698" s="1" t="n">
        <v>45573</v>
      </c>
      <c r="C16698" s="1" t="n">
        <v>45736</v>
      </c>
      <c r="D16698" t="inlineStr">
        <is>
          <t>VÄRMLANDS LÄN</t>
        </is>
      </c>
      <c r="E16698" t="inlineStr">
        <is>
          <t>SUNNE</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44364-2024</t>
        </is>
      </c>
      <c r="B16699" s="1" t="n">
        <v>45573</v>
      </c>
      <c r="C16699" s="1" t="n">
        <v>45736</v>
      </c>
      <c r="D16699" t="inlineStr">
        <is>
          <t>VÄRMLANDS LÄN</t>
        </is>
      </c>
      <c r="E16699" t="inlineStr">
        <is>
          <t>ARVIKA</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44360-2024</t>
        </is>
      </c>
      <c r="B16700" s="1" t="n">
        <v>45573</v>
      </c>
      <c r="C16700" s="1" t="n">
        <v>45736</v>
      </c>
      <c r="D16700" t="inlineStr">
        <is>
          <t>VÄRMLANDS LÄN</t>
        </is>
      </c>
      <c r="E16700" t="inlineStr">
        <is>
          <t>ARVIKA</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44352-2024</t>
        </is>
      </c>
      <c r="B16701" s="1" t="n">
        <v>45573</v>
      </c>
      <c r="C16701" s="1" t="n">
        <v>45736</v>
      </c>
      <c r="D16701" t="inlineStr">
        <is>
          <t>VÄRMLANDS LÄN</t>
        </is>
      </c>
      <c r="E16701" t="inlineStr">
        <is>
          <t>TORSBY</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44276-2024</t>
        </is>
      </c>
      <c r="B16702" s="1" t="n">
        <v>45573</v>
      </c>
      <c r="C16702" s="1" t="n">
        <v>45736</v>
      </c>
      <c r="D16702" t="inlineStr">
        <is>
          <t>VÄRMLANDS LÄN</t>
        </is>
      </c>
      <c r="E16702" t="inlineStr">
        <is>
          <t>TORSBY</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44241-2024</t>
        </is>
      </c>
      <c r="B16703" s="1" t="n">
        <v>45573</v>
      </c>
      <c r="C16703" s="1" t="n">
        <v>45736</v>
      </c>
      <c r="D16703" t="inlineStr">
        <is>
          <t>VÄRMLANDS LÄN</t>
        </is>
      </c>
      <c r="E16703" t="inlineStr">
        <is>
          <t>TORSBY</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44303-2024</t>
        </is>
      </c>
      <c r="B16704" s="1" t="n">
        <v>45573</v>
      </c>
      <c r="C16704" s="1" t="n">
        <v>45736</v>
      </c>
      <c r="D16704" t="inlineStr">
        <is>
          <t>VÄRMLANDS LÄN</t>
        </is>
      </c>
      <c r="E16704" t="inlineStr">
        <is>
          <t>TORSBY</t>
        </is>
      </c>
      <c r="F16704" t="inlineStr">
        <is>
          <t>Bergvik skog väst AB</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44304-2024</t>
        </is>
      </c>
      <c r="B16705" s="1" t="n">
        <v>45573</v>
      </c>
      <c r="C16705" s="1" t="n">
        <v>45736</v>
      </c>
      <c r="D16705" t="inlineStr">
        <is>
          <t>VÄRMLANDS LÄN</t>
        </is>
      </c>
      <c r="E16705" t="inlineStr">
        <is>
          <t>SÄFFLE</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44424-2024</t>
        </is>
      </c>
      <c r="B16706" s="1" t="n">
        <v>45573</v>
      </c>
      <c r="C16706" s="1" t="n">
        <v>45736</v>
      </c>
      <c r="D16706" t="inlineStr">
        <is>
          <t>VÄRMLANDS LÄN</t>
        </is>
      </c>
      <c r="E16706" t="inlineStr">
        <is>
          <t>TORSBY</t>
        </is>
      </c>
      <c r="G16706" t="n">
        <v>8.5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44325-2024</t>
        </is>
      </c>
      <c r="B16707" s="1" t="n">
        <v>45573</v>
      </c>
      <c r="C16707" s="1" t="n">
        <v>45736</v>
      </c>
      <c r="D16707" t="inlineStr">
        <is>
          <t>VÄRMLANDS LÄN</t>
        </is>
      </c>
      <c r="E16707" t="inlineStr">
        <is>
          <t>TORSBY</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44422-2024</t>
        </is>
      </c>
      <c r="B16708" s="1" t="n">
        <v>45573</v>
      </c>
      <c r="C16708" s="1" t="n">
        <v>45736</v>
      </c>
      <c r="D16708" t="inlineStr">
        <is>
          <t>VÄRMLANDS LÄN</t>
        </is>
      </c>
      <c r="E16708" t="inlineStr">
        <is>
          <t>TORSBY</t>
        </is>
      </c>
      <c r="G16708" t="n">
        <v>14.1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44423-2024</t>
        </is>
      </c>
      <c r="B16709" s="1" t="n">
        <v>45573</v>
      </c>
      <c r="C16709" s="1" t="n">
        <v>45736</v>
      </c>
      <c r="D16709" t="inlineStr">
        <is>
          <t>VÄRMLANDS LÄN</t>
        </is>
      </c>
      <c r="E16709" t="inlineStr">
        <is>
          <t>TORSBY</t>
        </is>
      </c>
      <c r="G16709" t="n">
        <v>34.1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44383-2024</t>
        </is>
      </c>
      <c r="B16710" s="1" t="n">
        <v>45573</v>
      </c>
      <c r="C16710" s="1" t="n">
        <v>45736</v>
      </c>
      <c r="D16710" t="inlineStr">
        <is>
          <t>VÄRMLANDS LÄN</t>
        </is>
      </c>
      <c r="E16710" t="inlineStr">
        <is>
          <t>SUNNE</t>
        </is>
      </c>
      <c r="G16710" t="n">
        <v>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44335-2024</t>
        </is>
      </c>
      <c r="B16711" s="1" t="n">
        <v>45573</v>
      </c>
      <c r="C16711" s="1" t="n">
        <v>45736</v>
      </c>
      <c r="D16711" t="inlineStr">
        <is>
          <t>VÄRMLANDS LÄN</t>
        </is>
      </c>
      <c r="E16711" t="inlineStr">
        <is>
          <t>EDA</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44278-2024</t>
        </is>
      </c>
      <c r="B16712" s="1" t="n">
        <v>45573</v>
      </c>
      <c r="C16712" s="1" t="n">
        <v>45736</v>
      </c>
      <c r="D16712" t="inlineStr">
        <is>
          <t>VÄRMLANDS LÄN</t>
        </is>
      </c>
      <c r="E16712" t="inlineStr">
        <is>
          <t>TORSBY</t>
        </is>
      </c>
      <c r="F16712" t="inlineStr">
        <is>
          <t>Bergvik skog väst AB</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44212-2024</t>
        </is>
      </c>
      <c r="B16713" s="1" t="n">
        <v>45573</v>
      </c>
      <c r="C16713" s="1" t="n">
        <v>45736</v>
      </c>
      <c r="D16713" t="inlineStr">
        <is>
          <t>VÄRMLANDS LÄN</t>
        </is>
      </c>
      <c r="E16713" t="inlineStr">
        <is>
          <t>ÅRJÄNG</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44204-2024</t>
        </is>
      </c>
      <c r="B16714" s="1" t="n">
        <v>45573</v>
      </c>
      <c r="C16714" s="1" t="n">
        <v>45736</v>
      </c>
      <c r="D16714" t="inlineStr">
        <is>
          <t>VÄRMLANDS LÄN</t>
        </is>
      </c>
      <c r="E16714" t="inlineStr">
        <is>
          <t>TORSBY</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44338-2024</t>
        </is>
      </c>
      <c r="B16715" s="1" t="n">
        <v>45573</v>
      </c>
      <c r="C16715" s="1" t="n">
        <v>45736</v>
      </c>
      <c r="D16715" t="inlineStr">
        <is>
          <t>VÄRMLANDS LÄN</t>
        </is>
      </c>
      <c r="E16715" t="inlineStr">
        <is>
          <t>TORSBY</t>
        </is>
      </c>
      <c r="G16715" t="n">
        <v>3.1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44342-2024</t>
        </is>
      </c>
      <c r="B16716" s="1" t="n">
        <v>45573</v>
      </c>
      <c r="C16716" s="1" t="n">
        <v>45736</v>
      </c>
      <c r="D16716" t="inlineStr">
        <is>
          <t>VÄRMLANDS LÄN</t>
        </is>
      </c>
      <c r="E16716" t="inlineStr">
        <is>
          <t>TORSBY</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44435-2024</t>
        </is>
      </c>
      <c r="B16717" s="1" t="n">
        <v>45574</v>
      </c>
      <c r="C16717" s="1" t="n">
        <v>45736</v>
      </c>
      <c r="D16717" t="inlineStr">
        <is>
          <t>VÄRMLANDS LÄN</t>
        </is>
      </c>
      <c r="E16717" t="inlineStr">
        <is>
          <t>ARVIKA</t>
        </is>
      </c>
      <c r="F16717" t="inlineStr">
        <is>
          <t>Bergvik skog väst AB</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44448-2024</t>
        </is>
      </c>
      <c r="B16718" s="1" t="n">
        <v>45574</v>
      </c>
      <c r="C16718" s="1" t="n">
        <v>45736</v>
      </c>
      <c r="D16718" t="inlineStr">
        <is>
          <t>VÄRMLANDS LÄN</t>
        </is>
      </c>
      <c r="E16718" t="inlineStr">
        <is>
          <t>TORSBY</t>
        </is>
      </c>
      <c r="G16718" t="n">
        <v>8.9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44652-2024</t>
        </is>
      </c>
      <c r="B16719" s="1" t="n">
        <v>45574</v>
      </c>
      <c r="C16719" s="1" t="n">
        <v>45736</v>
      </c>
      <c r="D16719" t="inlineStr">
        <is>
          <t>VÄRMLANDS LÄN</t>
        </is>
      </c>
      <c r="E16719" t="inlineStr">
        <is>
          <t>KIL</t>
        </is>
      </c>
      <c r="G16719" t="n">
        <v>7.8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44660-2024</t>
        </is>
      </c>
      <c r="B16720" s="1" t="n">
        <v>45574</v>
      </c>
      <c r="C16720" s="1" t="n">
        <v>45736</v>
      </c>
      <c r="D16720" t="inlineStr">
        <is>
          <t>VÄRMLANDS LÄN</t>
        </is>
      </c>
      <c r="E16720" t="inlineStr">
        <is>
          <t>KIL</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44668-2024</t>
        </is>
      </c>
      <c r="B16721" s="1" t="n">
        <v>45574</v>
      </c>
      <c r="C16721" s="1" t="n">
        <v>45736</v>
      </c>
      <c r="D16721" t="inlineStr">
        <is>
          <t>VÄRMLANDS LÄN</t>
        </is>
      </c>
      <c r="E16721" t="inlineStr">
        <is>
          <t>FILIPSTAD</t>
        </is>
      </c>
      <c r="F16721" t="inlineStr">
        <is>
          <t>Bergvik skog väst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44680-2024</t>
        </is>
      </c>
      <c r="B16722" s="1" t="n">
        <v>45574</v>
      </c>
      <c r="C16722" s="1" t="n">
        <v>45736</v>
      </c>
      <c r="D16722" t="inlineStr">
        <is>
          <t>VÄRMLANDS LÄN</t>
        </is>
      </c>
      <c r="E16722" t="inlineStr">
        <is>
          <t>FILIPSTAD</t>
        </is>
      </c>
      <c r="F16722" t="inlineStr">
        <is>
          <t>Bergvik skog väst AB</t>
        </is>
      </c>
      <c r="G16722" t="n">
        <v>5.8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44697-2024</t>
        </is>
      </c>
      <c r="B16723" s="1" t="n">
        <v>45574</v>
      </c>
      <c r="C16723" s="1" t="n">
        <v>45736</v>
      </c>
      <c r="D16723" t="inlineStr">
        <is>
          <t>VÄRMLANDS LÄN</t>
        </is>
      </c>
      <c r="E16723" t="inlineStr">
        <is>
          <t>TORSBY</t>
        </is>
      </c>
      <c r="G16723" t="n">
        <v>6.7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44725-2024</t>
        </is>
      </c>
      <c r="B16724" s="1" t="n">
        <v>45574</v>
      </c>
      <c r="C16724" s="1" t="n">
        <v>45736</v>
      </c>
      <c r="D16724" t="inlineStr">
        <is>
          <t>VÄRMLANDS LÄN</t>
        </is>
      </c>
      <c r="E16724" t="inlineStr">
        <is>
          <t>FILIPSTAD</t>
        </is>
      </c>
      <c r="F16724" t="inlineStr">
        <is>
          <t>Bergvik skog väst AB</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44657-2024</t>
        </is>
      </c>
      <c r="B16725" s="1" t="n">
        <v>45574</v>
      </c>
      <c r="C16725" s="1" t="n">
        <v>45736</v>
      </c>
      <c r="D16725" t="inlineStr">
        <is>
          <t>VÄRMLANDS LÄN</t>
        </is>
      </c>
      <c r="E16725" t="inlineStr">
        <is>
          <t>KIL</t>
        </is>
      </c>
      <c r="G16725" t="n">
        <v>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44673-2024</t>
        </is>
      </c>
      <c r="B16726" s="1" t="n">
        <v>45574</v>
      </c>
      <c r="C16726" s="1" t="n">
        <v>45736</v>
      </c>
      <c r="D16726" t="inlineStr">
        <is>
          <t>VÄRMLANDS LÄN</t>
        </is>
      </c>
      <c r="E16726" t="inlineStr">
        <is>
          <t>KIL</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44677-2024</t>
        </is>
      </c>
      <c r="B16727" s="1" t="n">
        <v>45574</v>
      </c>
      <c r="C16727" s="1" t="n">
        <v>45736</v>
      </c>
      <c r="D16727" t="inlineStr">
        <is>
          <t>VÄRMLANDS LÄN</t>
        </is>
      </c>
      <c r="E16727" t="inlineStr">
        <is>
          <t>KIL</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44433-2024</t>
        </is>
      </c>
      <c r="B16728" s="1" t="n">
        <v>45574</v>
      </c>
      <c r="C16728" s="1" t="n">
        <v>45736</v>
      </c>
      <c r="D16728" t="inlineStr">
        <is>
          <t>VÄRMLANDS LÄN</t>
        </is>
      </c>
      <c r="E16728" t="inlineStr">
        <is>
          <t>ARVIKA</t>
        </is>
      </c>
      <c r="F16728" t="inlineStr">
        <is>
          <t>Bergvik skog väst AB</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44685-2024</t>
        </is>
      </c>
      <c r="B16729" s="1" t="n">
        <v>45574</v>
      </c>
      <c r="C16729" s="1" t="n">
        <v>45736</v>
      </c>
      <c r="D16729" t="inlineStr">
        <is>
          <t>VÄRMLANDS LÄN</t>
        </is>
      </c>
      <c r="E16729" t="inlineStr">
        <is>
          <t>TORSBY</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44690-2024</t>
        </is>
      </c>
      <c r="B16730" s="1" t="n">
        <v>45574</v>
      </c>
      <c r="C16730" s="1" t="n">
        <v>45736</v>
      </c>
      <c r="D16730" t="inlineStr">
        <is>
          <t>VÄRMLANDS LÄN</t>
        </is>
      </c>
      <c r="E16730" t="inlineStr">
        <is>
          <t>TORSBY</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44702-2024</t>
        </is>
      </c>
      <c r="B16731" s="1" t="n">
        <v>45574</v>
      </c>
      <c r="C16731" s="1" t="n">
        <v>45736</v>
      </c>
      <c r="D16731" t="inlineStr">
        <is>
          <t>VÄRMLANDS LÄN</t>
        </is>
      </c>
      <c r="E16731" t="inlineStr">
        <is>
          <t>TORSBY</t>
        </is>
      </c>
      <c r="F16731" t="inlineStr">
        <is>
          <t>Bergvik skog väst AB</t>
        </is>
      </c>
      <c r="G16731" t="n">
        <v>3.7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44763-2024</t>
        </is>
      </c>
      <c r="B16732" s="1" t="n">
        <v>45574</v>
      </c>
      <c r="C16732" s="1" t="n">
        <v>45736</v>
      </c>
      <c r="D16732" t="inlineStr">
        <is>
          <t>VÄRMLANDS LÄN</t>
        </is>
      </c>
      <c r="E16732" t="inlineStr">
        <is>
          <t>ARVIKA</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44548-2024</t>
        </is>
      </c>
      <c r="B16733" s="1" t="n">
        <v>45574</v>
      </c>
      <c r="C16733" s="1" t="n">
        <v>45736</v>
      </c>
      <c r="D16733" t="inlineStr">
        <is>
          <t>VÄRMLANDS LÄN</t>
        </is>
      </c>
      <c r="E16733" t="inlineStr">
        <is>
          <t>SUNNE</t>
        </is>
      </c>
      <c r="G16733" t="n">
        <v>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44770-2024</t>
        </is>
      </c>
      <c r="B16734" s="1" t="n">
        <v>45574</v>
      </c>
      <c r="C16734" s="1" t="n">
        <v>45736</v>
      </c>
      <c r="D16734" t="inlineStr">
        <is>
          <t>VÄRMLANDS LÄN</t>
        </is>
      </c>
      <c r="E16734" t="inlineStr">
        <is>
          <t>TORSBY</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44786-2024</t>
        </is>
      </c>
      <c r="B16735" s="1" t="n">
        <v>45574</v>
      </c>
      <c r="C16735" s="1" t="n">
        <v>45736</v>
      </c>
      <c r="D16735" t="inlineStr">
        <is>
          <t>VÄRMLANDS LÄN</t>
        </is>
      </c>
      <c r="E16735" t="inlineStr">
        <is>
          <t>TORSBY</t>
        </is>
      </c>
      <c r="F16735" t="inlineStr">
        <is>
          <t>Bergvik skog väst AB</t>
        </is>
      </c>
      <c r="G16735" t="n">
        <v>21.9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44815-2024</t>
        </is>
      </c>
      <c r="B16736" s="1" t="n">
        <v>45574</v>
      </c>
      <c r="C16736" s="1" t="n">
        <v>45736</v>
      </c>
      <c r="D16736" t="inlineStr">
        <is>
          <t>VÄRMLANDS LÄN</t>
        </is>
      </c>
      <c r="E16736" t="inlineStr">
        <is>
          <t>SUNNE</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44646-2024</t>
        </is>
      </c>
      <c r="B16737" s="1" t="n">
        <v>45574</v>
      </c>
      <c r="C16737" s="1" t="n">
        <v>45736</v>
      </c>
      <c r="D16737" t="inlineStr">
        <is>
          <t>VÄRMLANDS LÄN</t>
        </is>
      </c>
      <c r="E16737" t="inlineStr">
        <is>
          <t>KIL</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44659-2024</t>
        </is>
      </c>
      <c r="B16738" s="1" t="n">
        <v>45574</v>
      </c>
      <c r="C16738" s="1" t="n">
        <v>45736</v>
      </c>
      <c r="D16738" t="inlineStr">
        <is>
          <t>VÄRMLANDS LÄN</t>
        </is>
      </c>
      <c r="E16738" t="inlineStr">
        <is>
          <t>TORSBY</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44683-2024</t>
        </is>
      </c>
      <c r="B16739" s="1" t="n">
        <v>45574</v>
      </c>
      <c r="C16739" s="1" t="n">
        <v>45736</v>
      </c>
      <c r="D16739" t="inlineStr">
        <is>
          <t>VÄRMLANDS LÄN</t>
        </is>
      </c>
      <c r="E16739" t="inlineStr">
        <is>
          <t>TORSBY</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44449-2024</t>
        </is>
      </c>
      <c r="B16740" s="1" t="n">
        <v>45574</v>
      </c>
      <c r="C16740" s="1" t="n">
        <v>45736</v>
      </c>
      <c r="D16740" t="inlineStr">
        <is>
          <t>VÄRMLANDS LÄN</t>
        </is>
      </c>
      <c r="E16740" t="inlineStr">
        <is>
          <t>EDA</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44470-2024</t>
        </is>
      </c>
      <c r="B16741" s="1" t="n">
        <v>45574</v>
      </c>
      <c r="C16741" s="1" t="n">
        <v>45736</v>
      </c>
      <c r="D16741" t="inlineStr">
        <is>
          <t>VÄRMLANDS LÄN</t>
        </is>
      </c>
      <c r="E16741" t="inlineStr">
        <is>
          <t>TORSBY</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44666-2024</t>
        </is>
      </c>
      <c r="B16742" s="1" t="n">
        <v>45574</v>
      </c>
      <c r="C16742" s="1" t="n">
        <v>45736</v>
      </c>
      <c r="D16742" t="inlineStr">
        <is>
          <t>VÄRMLANDS LÄN</t>
        </is>
      </c>
      <c r="E16742" t="inlineStr">
        <is>
          <t>KIL</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44699-2024</t>
        </is>
      </c>
      <c r="B16743" s="1" t="n">
        <v>45574</v>
      </c>
      <c r="C16743" s="1" t="n">
        <v>45736</v>
      </c>
      <c r="D16743" t="inlineStr">
        <is>
          <t>VÄRMLANDS LÄN</t>
        </is>
      </c>
      <c r="E16743" t="inlineStr">
        <is>
          <t>FILIPSTAD</t>
        </is>
      </c>
      <c r="F16743" t="inlineStr">
        <is>
          <t>Bergvik skog väst AB</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44764-2024</t>
        </is>
      </c>
      <c r="B16744" s="1" t="n">
        <v>45574</v>
      </c>
      <c r="C16744" s="1" t="n">
        <v>45736</v>
      </c>
      <c r="D16744" t="inlineStr">
        <is>
          <t>VÄRMLANDS LÄN</t>
        </is>
      </c>
      <c r="E16744" t="inlineStr">
        <is>
          <t>TORSBY</t>
        </is>
      </c>
      <c r="F16744" t="inlineStr">
        <is>
          <t>Bergvik skog väst AB</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44838-2024</t>
        </is>
      </c>
      <c r="B16745" s="1" t="n">
        <v>45574</v>
      </c>
      <c r="C16745" s="1" t="n">
        <v>45736</v>
      </c>
      <c r="D16745" t="inlineStr">
        <is>
          <t>VÄRMLANDS LÄN</t>
        </is>
      </c>
      <c r="E16745" t="inlineStr">
        <is>
          <t>TORSBY</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45116-2024</t>
        </is>
      </c>
      <c r="B16746" s="1" t="n">
        <v>45575</v>
      </c>
      <c r="C16746" s="1" t="n">
        <v>45736</v>
      </c>
      <c r="D16746" t="inlineStr">
        <is>
          <t>VÄRMLANDS LÄN</t>
        </is>
      </c>
      <c r="E16746" t="inlineStr">
        <is>
          <t>HAGFORS</t>
        </is>
      </c>
      <c r="F16746" t="inlineStr">
        <is>
          <t>Bergvik skog väst AB</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44975-2024</t>
        </is>
      </c>
      <c r="B16747" s="1" t="n">
        <v>45575</v>
      </c>
      <c r="C16747" s="1" t="n">
        <v>45736</v>
      </c>
      <c r="D16747" t="inlineStr">
        <is>
          <t>VÄRMLANDS LÄN</t>
        </is>
      </c>
      <c r="E16747" t="inlineStr">
        <is>
          <t>HAGFORS</t>
        </is>
      </c>
      <c r="F16747" t="inlineStr">
        <is>
          <t>Bergvik skog väst AB</t>
        </is>
      </c>
      <c r="G16747" t="n">
        <v>5.5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45134-2024</t>
        </is>
      </c>
      <c r="B16748" s="1" t="n">
        <v>45575</v>
      </c>
      <c r="C16748" s="1" t="n">
        <v>45736</v>
      </c>
      <c r="D16748" t="inlineStr">
        <is>
          <t>VÄRMLANDS LÄN</t>
        </is>
      </c>
      <c r="E16748" t="inlineStr">
        <is>
          <t>TORSBY</t>
        </is>
      </c>
      <c r="F16748" t="inlineStr">
        <is>
          <t>Bergvik skog väst AB</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45138-2024</t>
        </is>
      </c>
      <c r="B16749" s="1" t="n">
        <v>45575</v>
      </c>
      <c r="C16749" s="1" t="n">
        <v>45736</v>
      </c>
      <c r="D16749" t="inlineStr">
        <is>
          <t>VÄRMLANDS LÄN</t>
        </is>
      </c>
      <c r="E16749" t="inlineStr">
        <is>
          <t>SÄFFLE</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45146-2024</t>
        </is>
      </c>
      <c r="B16750" s="1" t="n">
        <v>45575</v>
      </c>
      <c r="C16750" s="1" t="n">
        <v>45736</v>
      </c>
      <c r="D16750" t="inlineStr">
        <is>
          <t>VÄRMLANDS LÄN</t>
        </is>
      </c>
      <c r="E16750" t="inlineStr">
        <is>
          <t>ÅRJÄNG</t>
        </is>
      </c>
      <c r="F16750" t="inlineStr">
        <is>
          <t>Bergvik skog väst AB</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45097-2024</t>
        </is>
      </c>
      <c r="B16751" s="1" t="n">
        <v>45575</v>
      </c>
      <c r="C16751" s="1" t="n">
        <v>45736</v>
      </c>
      <c r="D16751" t="inlineStr">
        <is>
          <t>VÄRMLANDS LÄN</t>
        </is>
      </c>
      <c r="E16751" t="inlineStr">
        <is>
          <t>SÄFFLE</t>
        </is>
      </c>
      <c r="G16751" t="n">
        <v>5.5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45114-2024</t>
        </is>
      </c>
      <c r="B16752" s="1" t="n">
        <v>45575</v>
      </c>
      <c r="C16752" s="1" t="n">
        <v>45736</v>
      </c>
      <c r="D16752" t="inlineStr">
        <is>
          <t>VÄRMLANDS LÄN</t>
        </is>
      </c>
      <c r="E16752" t="inlineStr">
        <is>
          <t>TORSBY</t>
        </is>
      </c>
      <c r="F16752" t="inlineStr">
        <is>
          <t>Bergvik skog väst AB</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44931-2024</t>
        </is>
      </c>
      <c r="B16753" s="1" t="n">
        <v>45575</v>
      </c>
      <c r="C16753" s="1" t="n">
        <v>45736</v>
      </c>
      <c r="D16753" t="inlineStr">
        <is>
          <t>VÄRMLANDS LÄN</t>
        </is>
      </c>
      <c r="E16753" t="inlineStr">
        <is>
          <t>STORFORS</t>
        </is>
      </c>
      <c r="F16753" t="inlineStr">
        <is>
          <t>Naturvårdsverket</t>
        </is>
      </c>
      <c r="G16753" t="n">
        <v>11.2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45098-2024</t>
        </is>
      </c>
      <c r="B16754" s="1" t="n">
        <v>45575</v>
      </c>
      <c r="C16754" s="1" t="n">
        <v>45736</v>
      </c>
      <c r="D16754" t="inlineStr">
        <is>
          <t>VÄRMLANDS LÄN</t>
        </is>
      </c>
      <c r="E16754" t="inlineStr">
        <is>
          <t>FILIPSTAD</t>
        </is>
      </c>
      <c r="F16754" t="inlineStr">
        <is>
          <t>Bergvik skog väst AB</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45124-2024</t>
        </is>
      </c>
      <c r="B16755" s="1" t="n">
        <v>45575</v>
      </c>
      <c r="C16755" s="1" t="n">
        <v>45736</v>
      </c>
      <c r="D16755" t="inlineStr">
        <is>
          <t>VÄRMLANDS LÄN</t>
        </is>
      </c>
      <c r="E16755" t="inlineStr">
        <is>
          <t>ÅRJÄNG</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45129-2024</t>
        </is>
      </c>
      <c r="B16756" s="1" t="n">
        <v>45575</v>
      </c>
      <c r="C16756" s="1" t="n">
        <v>45736</v>
      </c>
      <c r="D16756" t="inlineStr">
        <is>
          <t>VÄRMLANDS LÄN</t>
        </is>
      </c>
      <c r="E16756" t="inlineStr">
        <is>
          <t>TORSBY</t>
        </is>
      </c>
      <c r="F16756" t="inlineStr">
        <is>
          <t>Bergvik skog väst AB</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45132-2024</t>
        </is>
      </c>
      <c r="B16757" s="1" t="n">
        <v>45575</v>
      </c>
      <c r="C16757" s="1" t="n">
        <v>45736</v>
      </c>
      <c r="D16757" t="inlineStr">
        <is>
          <t>VÄRMLANDS LÄN</t>
        </is>
      </c>
      <c r="E16757" t="inlineStr">
        <is>
          <t>TORSBY</t>
        </is>
      </c>
      <c r="F16757" t="inlineStr">
        <is>
          <t>Bergvik skog väst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45136-2024</t>
        </is>
      </c>
      <c r="B16758" s="1" t="n">
        <v>45575</v>
      </c>
      <c r="C16758" s="1" t="n">
        <v>45736</v>
      </c>
      <c r="D16758" t="inlineStr">
        <is>
          <t>VÄRMLANDS LÄN</t>
        </is>
      </c>
      <c r="E16758" t="inlineStr">
        <is>
          <t>SÄFFLE</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45150-2024</t>
        </is>
      </c>
      <c r="B16759" s="1" t="n">
        <v>45575</v>
      </c>
      <c r="C16759" s="1" t="n">
        <v>45736</v>
      </c>
      <c r="D16759" t="inlineStr">
        <is>
          <t>VÄRMLANDS LÄN</t>
        </is>
      </c>
      <c r="E16759" t="inlineStr">
        <is>
          <t>ÅRJÄNG</t>
        </is>
      </c>
      <c r="F16759" t="inlineStr">
        <is>
          <t>Bergvik skog väst AB</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44915-2024</t>
        </is>
      </c>
      <c r="B16760" s="1" t="n">
        <v>45575</v>
      </c>
      <c r="C16760" s="1" t="n">
        <v>45736</v>
      </c>
      <c r="D16760" t="inlineStr">
        <is>
          <t>VÄRMLANDS LÄN</t>
        </is>
      </c>
      <c r="E16760" t="inlineStr">
        <is>
          <t>KRISTINEHAMN</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45151-2024</t>
        </is>
      </c>
      <c r="B16761" s="1" t="n">
        <v>45575</v>
      </c>
      <c r="C16761" s="1" t="n">
        <v>45736</v>
      </c>
      <c r="D16761" t="inlineStr">
        <is>
          <t>VÄRMLANDS LÄN</t>
        </is>
      </c>
      <c r="E16761" t="inlineStr">
        <is>
          <t>ARVIKA</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45126-2024</t>
        </is>
      </c>
      <c r="B16762" s="1" t="n">
        <v>45575</v>
      </c>
      <c r="C16762" s="1" t="n">
        <v>45736</v>
      </c>
      <c r="D16762" t="inlineStr">
        <is>
          <t>VÄRMLANDS LÄN</t>
        </is>
      </c>
      <c r="E16762" t="inlineStr">
        <is>
          <t>MUNKFORS</t>
        </is>
      </c>
      <c r="F16762" t="inlineStr">
        <is>
          <t>Bergvik skog väst AB</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45026-2024</t>
        </is>
      </c>
      <c r="B16763" s="1" t="n">
        <v>45575</v>
      </c>
      <c r="C16763" s="1" t="n">
        <v>45736</v>
      </c>
      <c r="D16763" t="inlineStr">
        <is>
          <t>VÄRMLANDS LÄN</t>
        </is>
      </c>
      <c r="E16763" t="inlineStr">
        <is>
          <t>HAGFORS</t>
        </is>
      </c>
      <c r="F16763" t="inlineStr">
        <is>
          <t>Bergvik skog väst AB</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45022-2024</t>
        </is>
      </c>
      <c r="B16764" s="1" t="n">
        <v>45575</v>
      </c>
      <c r="C16764" s="1" t="n">
        <v>45736</v>
      </c>
      <c r="D16764" t="inlineStr">
        <is>
          <t>VÄRMLANDS LÄN</t>
        </is>
      </c>
      <c r="E16764" t="inlineStr">
        <is>
          <t>TORSBY</t>
        </is>
      </c>
      <c r="F16764" t="inlineStr">
        <is>
          <t>Bergvik skog väst AB</t>
        </is>
      </c>
      <c r="G16764" t="n">
        <v>19.5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45186-2024</t>
        </is>
      </c>
      <c r="B16765" s="1" t="n">
        <v>45575</v>
      </c>
      <c r="C16765" s="1" t="n">
        <v>45736</v>
      </c>
      <c r="D16765" t="inlineStr">
        <is>
          <t>VÄRMLANDS LÄN</t>
        </is>
      </c>
      <c r="E16765" t="inlineStr">
        <is>
          <t>SUNNE</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45190-2024</t>
        </is>
      </c>
      <c r="B16766" s="1" t="n">
        <v>45575</v>
      </c>
      <c r="C16766" s="1" t="n">
        <v>45736</v>
      </c>
      <c r="D16766" t="inlineStr">
        <is>
          <t>VÄRMLANDS LÄN</t>
        </is>
      </c>
      <c r="E16766" t="inlineStr">
        <is>
          <t>SUNNE</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45194-2024</t>
        </is>
      </c>
      <c r="B16767" s="1" t="n">
        <v>45575</v>
      </c>
      <c r="C16767" s="1" t="n">
        <v>45736</v>
      </c>
      <c r="D16767" t="inlineStr">
        <is>
          <t>VÄRMLANDS LÄN</t>
        </is>
      </c>
      <c r="E16767" t="inlineStr">
        <is>
          <t>ARVIKA</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44989-2024</t>
        </is>
      </c>
      <c r="B16768" s="1" t="n">
        <v>45575</v>
      </c>
      <c r="C16768" s="1" t="n">
        <v>45736</v>
      </c>
      <c r="D16768" t="inlineStr">
        <is>
          <t>VÄRMLANDS LÄN</t>
        </is>
      </c>
      <c r="E16768" t="inlineStr">
        <is>
          <t>FILIPSTAD</t>
        </is>
      </c>
      <c r="F16768" t="inlineStr">
        <is>
          <t>Bergvik skog väst AB</t>
        </is>
      </c>
      <c r="G16768" t="n">
        <v>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44981-2024</t>
        </is>
      </c>
      <c r="B16769" s="1" t="n">
        <v>45575</v>
      </c>
      <c r="C16769" s="1" t="n">
        <v>45736</v>
      </c>
      <c r="D16769" t="inlineStr">
        <is>
          <t>VÄRMLANDS LÄN</t>
        </is>
      </c>
      <c r="E16769" t="inlineStr">
        <is>
          <t>SÄFFLE</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45213-2024</t>
        </is>
      </c>
      <c r="B16770" s="1" t="n">
        <v>45575</v>
      </c>
      <c r="C16770" s="1" t="n">
        <v>45736</v>
      </c>
      <c r="D16770" t="inlineStr">
        <is>
          <t>VÄRMLANDS LÄN</t>
        </is>
      </c>
      <c r="E16770" t="inlineStr">
        <is>
          <t>ARVIKA</t>
        </is>
      </c>
      <c r="F16770" t="inlineStr">
        <is>
          <t>Bergvik skog väst AB</t>
        </is>
      </c>
      <c r="G16770" t="n">
        <v>4.7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45227-2024</t>
        </is>
      </c>
      <c r="B16771" s="1" t="n">
        <v>45575</v>
      </c>
      <c r="C16771" s="1" t="n">
        <v>45736</v>
      </c>
      <c r="D16771" t="inlineStr">
        <is>
          <t>VÄRMLANDS LÄN</t>
        </is>
      </c>
      <c r="E16771" t="inlineStr">
        <is>
          <t>TORSBY</t>
        </is>
      </c>
      <c r="G16771" t="n">
        <v>12.9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45231-2024</t>
        </is>
      </c>
      <c r="B16772" s="1" t="n">
        <v>45575</v>
      </c>
      <c r="C16772" s="1" t="n">
        <v>45736</v>
      </c>
      <c r="D16772" t="inlineStr">
        <is>
          <t>VÄRMLANDS LÄN</t>
        </is>
      </c>
      <c r="E16772" t="inlineStr">
        <is>
          <t>KARLSTAD</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45009-2024</t>
        </is>
      </c>
      <c r="B16773" s="1" t="n">
        <v>45575</v>
      </c>
      <c r="C16773" s="1" t="n">
        <v>45736</v>
      </c>
      <c r="D16773" t="inlineStr">
        <is>
          <t>VÄRMLANDS LÄN</t>
        </is>
      </c>
      <c r="E16773" t="inlineStr">
        <is>
          <t>FILIPSTAD</t>
        </is>
      </c>
      <c r="F16773" t="inlineStr">
        <is>
          <t>Bergvik skog väst AB</t>
        </is>
      </c>
      <c r="G16773" t="n">
        <v>21.4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44972-2024</t>
        </is>
      </c>
      <c r="B16774" s="1" t="n">
        <v>45575</v>
      </c>
      <c r="C16774" s="1" t="n">
        <v>45736</v>
      </c>
      <c r="D16774" t="inlineStr">
        <is>
          <t>VÄRMLANDS LÄN</t>
        </is>
      </c>
      <c r="E16774" t="inlineStr">
        <is>
          <t>STORFORS</t>
        </is>
      </c>
      <c r="F16774" t="inlineStr">
        <is>
          <t>Naturvårdsverket</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44934-2024</t>
        </is>
      </c>
      <c r="B16775" s="1" t="n">
        <v>45575</v>
      </c>
      <c r="C16775" s="1" t="n">
        <v>45736</v>
      </c>
      <c r="D16775" t="inlineStr">
        <is>
          <t>VÄRMLANDS LÄN</t>
        </is>
      </c>
      <c r="E16775" t="inlineStr">
        <is>
          <t>ÅRJÄNG</t>
        </is>
      </c>
      <c r="F16775" t="inlineStr">
        <is>
          <t>Bergvik skog väst AB</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44906-2024</t>
        </is>
      </c>
      <c r="B16776" s="1" t="n">
        <v>45575</v>
      </c>
      <c r="C16776" s="1" t="n">
        <v>45736</v>
      </c>
      <c r="D16776" t="inlineStr">
        <is>
          <t>VÄRMLANDS LÄN</t>
        </is>
      </c>
      <c r="E16776" t="inlineStr">
        <is>
          <t>HAGFORS</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44895-2024</t>
        </is>
      </c>
      <c r="B16777" s="1" t="n">
        <v>45575</v>
      </c>
      <c r="C16777" s="1" t="n">
        <v>45736</v>
      </c>
      <c r="D16777" t="inlineStr">
        <is>
          <t>VÄRMLANDS LÄN</t>
        </is>
      </c>
      <c r="E16777" t="inlineStr">
        <is>
          <t>HAGFORS</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45239-2024</t>
        </is>
      </c>
      <c r="B16778" s="1" t="n">
        <v>45575</v>
      </c>
      <c r="C16778" s="1" t="n">
        <v>45736</v>
      </c>
      <c r="D16778" t="inlineStr">
        <is>
          <t>VÄRMLANDS LÄN</t>
        </is>
      </c>
      <c r="E16778" t="inlineStr">
        <is>
          <t>SÄFFLE</t>
        </is>
      </c>
      <c r="G16778" t="n">
        <v>11.4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45238-2024</t>
        </is>
      </c>
      <c r="B16779" s="1" t="n">
        <v>45575</v>
      </c>
      <c r="C16779" s="1" t="n">
        <v>45736</v>
      </c>
      <c r="D16779" t="inlineStr">
        <is>
          <t>VÄRMLANDS LÄN</t>
        </is>
      </c>
      <c r="E16779" t="inlineStr">
        <is>
          <t>HAGFORS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45081-2024</t>
        </is>
      </c>
      <c r="B16780" s="1" t="n">
        <v>45575</v>
      </c>
      <c r="C16780" s="1" t="n">
        <v>45736</v>
      </c>
      <c r="D16780" t="inlineStr">
        <is>
          <t>VÄRMLANDS LÄN</t>
        </is>
      </c>
      <c r="E16780" t="inlineStr">
        <is>
          <t>ARVIKA</t>
        </is>
      </c>
      <c r="F16780" t="inlineStr">
        <is>
          <t>Bergvik skog väst AB</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44857-2024</t>
        </is>
      </c>
      <c r="B16781" s="1" t="n">
        <v>45575</v>
      </c>
      <c r="C16781" s="1" t="n">
        <v>45736</v>
      </c>
      <c r="D16781" t="inlineStr">
        <is>
          <t>VÄRMLANDS LÄN</t>
        </is>
      </c>
      <c r="E16781" t="inlineStr">
        <is>
          <t>KARLSTAD</t>
        </is>
      </c>
      <c r="G16781" t="n">
        <v>4.2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45044-2024</t>
        </is>
      </c>
      <c r="B16782" s="1" t="n">
        <v>45575</v>
      </c>
      <c r="C16782" s="1" t="n">
        <v>45736</v>
      </c>
      <c r="D16782" t="inlineStr">
        <is>
          <t>VÄRMLANDS LÄN</t>
        </is>
      </c>
      <c r="E16782" t="inlineStr">
        <is>
          <t>HAGFORS</t>
        </is>
      </c>
      <c r="F16782" t="inlineStr">
        <is>
          <t>Bergvik skog väst AB</t>
        </is>
      </c>
      <c r="G16782" t="n">
        <v>8.6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45012-2024</t>
        </is>
      </c>
      <c r="B16783" s="1" t="n">
        <v>45575</v>
      </c>
      <c r="C16783" s="1" t="n">
        <v>45736</v>
      </c>
      <c r="D16783" t="inlineStr">
        <is>
          <t>VÄRMLANDS LÄN</t>
        </is>
      </c>
      <c r="E16783" t="inlineStr">
        <is>
          <t>KRISTINEHAMN</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44973-2024</t>
        </is>
      </c>
      <c r="B16784" s="1" t="n">
        <v>45575</v>
      </c>
      <c r="C16784" s="1" t="n">
        <v>45736</v>
      </c>
      <c r="D16784" t="inlineStr">
        <is>
          <t>VÄRMLANDS LÄN</t>
        </is>
      </c>
      <c r="E16784" t="inlineStr">
        <is>
          <t>SÄFFLE</t>
        </is>
      </c>
      <c r="F16784" t="inlineStr">
        <is>
          <t>Bergvik skog väst AB</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44969-2024</t>
        </is>
      </c>
      <c r="B16785" s="1" t="n">
        <v>45575</v>
      </c>
      <c r="C16785" s="1" t="n">
        <v>45736</v>
      </c>
      <c r="D16785" t="inlineStr">
        <is>
          <t>VÄRMLANDS LÄN</t>
        </is>
      </c>
      <c r="E16785" t="inlineStr">
        <is>
          <t>SUNNE</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44965-2024</t>
        </is>
      </c>
      <c r="B16786" s="1" t="n">
        <v>45575</v>
      </c>
      <c r="C16786" s="1" t="n">
        <v>45736</v>
      </c>
      <c r="D16786" t="inlineStr">
        <is>
          <t>VÄRMLANDS LÄN</t>
        </is>
      </c>
      <c r="E16786" t="inlineStr">
        <is>
          <t>TORSBY</t>
        </is>
      </c>
      <c r="F16786" t="inlineStr">
        <is>
          <t>Bergvik skog väst AB</t>
        </is>
      </c>
      <c r="G16786" t="n">
        <v>15.1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44961-2024</t>
        </is>
      </c>
      <c r="B16787" s="1" t="n">
        <v>45575</v>
      </c>
      <c r="C16787" s="1" t="n">
        <v>45736</v>
      </c>
      <c r="D16787" t="inlineStr">
        <is>
          <t>VÄRMLANDS LÄN</t>
        </is>
      </c>
      <c r="E16787" t="inlineStr">
        <is>
          <t>SÄFFLE</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45282-2024</t>
        </is>
      </c>
      <c r="B16788" s="1" t="n">
        <v>45576</v>
      </c>
      <c r="C16788" s="1" t="n">
        <v>45736</v>
      </c>
      <c r="D16788" t="inlineStr">
        <is>
          <t>VÄRMLANDS LÄN</t>
        </is>
      </c>
      <c r="E16788" t="inlineStr">
        <is>
          <t>FORSHAGA</t>
        </is>
      </c>
      <c r="F16788" t="inlineStr">
        <is>
          <t>Bergvik skog väst AB</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45327-2024</t>
        </is>
      </c>
      <c r="B16789" s="1" t="n">
        <v>45576</v>
      </c>
      <c r="C16789" s="1" t="n">
        <v>45736</v>
      </c>
      <c r="D16789" t="inlineStr">
        <is>
          <t>VÄRMLANDS LÄN</t>
        </is>
      </c>
      <c r="E16789" t="inlineStr">
        <is>
          <t>ÅRJÄNG</t>
        </is>
      </c>
      <c r="G16789" t="n">
        <v>7.6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45389-2024</t>
        </is>
      </c>
      <c r="B16790" s="1" t="n">
        <v>45576</v>
      </c>
      <c r="C16790" s="1" t="n">
        <v>45736</v>
      </c>
      <c r="D16790" t="inlineStr">
        <is>
          <t>VÄRMLANDS LÄN</t>
        </is>
      </c>
      <c r="E16790" t="inlineStr">
        <is>
          <t>TORSBY</t>
        </is>
      </c>
      <c r="G16790" t="n">
        <v>7.1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45401-2024</t>
        </is>
      </c>
      <c r="B16791" s="1" t="n">
        <v>45576</v>
      </c>
      <c r="C16791" s="1" t="n">
        <v>45736</v>
      </c>
      <c r="D16791" t="inlineStr">
        <is>
          <t>VÄRMLANDS LÄN</t>
        </is>
      </c>
      <c r="E16791" t="inlineStr">
        <is>
          <t>EDA</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45260-2024</t>
        </is>
      </c>
      <c r="B16792" s="1" t="n">
        <v>45576</v>
      </c>
      <c r="C16792" s="1" t="n">
        <v>45736</v>
      </c>
      <c r="D16792" t="inlineStr">
        <is>
          <t>VÄRMLANDS LÄN</t>
        </is>
      </c>
      <c r="E16792" t="inlineStr">
        <is>
          <t>STORFORS</t>
        </is>
      </c>
      <c r="F16792" t="inlineStr">
        <is>
          <t>Naturvårdsverket</t>
        </is>
      </c>
      <c r="G16792" t="n">
        <v>16.3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45379-2024</t>
        </is>
      </c>
      <c r="B16793" s="1" t="n">
        <v>45576</v>
      </c>
      <c r="C16793" s="1" t="n">
        <v>45736</v>
      </c>
      <c r="D16793" t="inlineStr">
        <is>
          <t>VÄRMLANDS LÄN</t>
        </is>
      </c>
      <c r="E16793" t="inlineStr">
        <is>
          <t>FILIPSTAD</t>
        </is>
      </c>
      <c r="F16793" t="inlineStr">
        <is>
          <t>Bergvik skog väst AB</t>
        </is>
      </c>
      <c r="G16793" t="n">
        <v>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45420-2024</t>
        </is>
      </c>
      <c r="B16794" s="1" t="n">
        <v>45576</v>
      </c>
      <c r="C16794" s="1" t="n">
        <v>45736</v>
      </c>
      <c r="D16794" t="inlineStr">
        <is>
          <t>VÄRMLANDS LÄN</t>
        </is>
      </c>
      <c r="E16794" t="inlineStr">
        <is>
          <t>SÄFFLE</t>
        </is>
      </c>
      <c r="G16794" t="n">
        <v>7.2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45440-2024</t>
        </is>
      </c>
      <c r="B16795" s="1" t="n">
        <v>45576</v>
      </c>
      <c r="C16795" s="1" t="n">
        <v>45736</v>
      </c>
      <c r="D16795" t="inlineStr">
        <is>
          <t>VÄRMLANDS LÄN</t>
        </is>
      </c>
      <c r="E16795" t="inlineStr">
        <is>
          <t>SÄFFLE</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45448-2024</t>
        </is>
      </c>
      <c r="B16796" s="1" t="n">
        <v>45576</v>
      </c>
      <c r="C16796" s="1" t="n">
        <v>45736</v>
      </c>
      <c r="D16796" t="inlineStr">
        <is>
          <t>VÄRMLANDS LÄN</t>
        </is>
      </c>
      <c r="E16796" t="inlineStr">
        <is>
          <t>TORSBY</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45385-2024</t>
        </is>
      </c>
      <c r="B16797" s="1" t="n">
        <v>45576</v>
      </c>
      <c r="C16797" s="1" t="n">
        <v>45736</v>
      </c>
      <c r="D16797" t="inlineStr">
        <is>
          <t>VÄRMLANDS LÄN</t>
        </is>
      </c>
      <c r="E16797" t="inlineStr">
        <is>
          <t>TORSBY</t>
        </is>
      </c>
      <c r="F16797" t="inlineStr">
        <is>
          <t>Bergvik skog väst AB</t>
        </is>
      </c>
      <c r="G16797" t="n">
        <v>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45365-2024</t>
        </is>
      </c>
      <c r="B16798" s="1" t="n">
        <v>45576</v>
      </c>
      <c r="C16798" s="1" t="n">
        <v>45736</v>
      </c>
      <c r="D16798" t="inlineStr">
        <is>
          <t>VÄRMLANDS LÄN</t>
        </is>
      </c>
      <c r="E16798" t="inlineStr">
        <is>
          <t>KARLSTAD</t>
        </is>
      </c>
      <c r="G16798" t="n">
        <v>9.800000000000001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45480-2024</t>
        </is>
      </c>
      <c r="B16799" s="1" t="n">
        <v>45576</v>
      </c>
      <c r="C16799" s="1" t="n">
        <v>45736</v>
      </c>
      <c r="D16799" t="inlineStr">
        <is>
          <t>VÄRMLANDS LÄN</t>
        </is>
      </c>
      <c r="E16799" t="inlineStr">
        <is>
          <t>SÄFFLE</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45439-2024</t>
        </is>
      </c>
      <c r="B16800" s="1" t="n">
        <v>45576</v>
      </c>
      <c r="C16800" s="1" t="n">
        <v>45736</v>
      </c>
      <c r="D16800" t="inlineStr">
        <is>
          <t>VÄRMLANDS LÄN</t>
        </is>
      </c>
      <c r="E16800" t="inlineStr">
        <is>
          <t>SÄFFLE</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45271-2024</t>
        </is>
      </c>
      <c r="B16801" s="1" t="n">
        <v>45576</v>
      </c>
      <c r="C16801" s="1" t="n">
        <v>45736</v>
      </c>
      <c r="D16801" t="inlineStr">
        <is>
          <t>VÄRMLANDS LÄN</t>
        </is>
      </c>
      <c r="E16801" t="inlineStr">
        <is>
          <t>STORFORS</t>
        </is>
      </c>
      <c r="F16801" t="inlineStr">
        <is>
          <t>Naturvårdsverket</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45245-2024</t>
        </is>
      </c>
      <c r="B16802" s="1" t="n">
        <v>45576</v>
      </c>
      <c r="C16802" s="1" t="n">
        <v>45736</v>
      </c>
      <c r="D16802" t="inlineStr">
        <is>
          <t>VÄRMLANDS LÄN</t>
        </is>
      </c>
      <c r="E16802" t="inlineStr">
        <is>
          <t>ARVIKA</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45490-2024</t>
        </is>
      </c>
      <c r="B16803" s="1" t="n">
        <v>45577</v>
      </c>
      <c r="C16803" s="1" t="n">
        <v>45736</v>
      </c>
      <c r="D16803" t="inlineStr">
        <is>
          <t>VÄRMLANDS LÄN</t>
        </is>
      </c>
      <c r="E16803" t="inlineStr">
        <is>
          <t>SUNNE</t>
        </is>
      </c>
      <c r="G16803" t="n">
        <v>7.1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45511-2024</t>
        </is>
      </c>
      <c r="B16804" s="1" t="n">
        <v>45578</v>
      </c>
      <c r="C16804" s="1" t="n">
        <v>45736</v>
      </c>
      <c r="D16804" t="inlineStr">
        <is>
          <t>VÄRMLANDS LÄN</t>
        </is>
      </c>
      <c r="E16804" t="inlineStr">
        <is>
          <t>FILIPSTAD</t>
        </is>
      </c>
      <c r="G16804" t="n">
        <v>5.1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45519-2024</t>
        </is>
      </c>
      <c r="B16805" s="1" t="n">
        <v>45578</v>
      </c>
      <c r="C16805" s="1" t="n">
        <v>45736</v>
      </c>
      <c r="D16805" t="inlineStr">
        <is>
          <t>VÄRMLANDS LÄN</t>
        </is>
      </c>
      <c r="E16805" t="inlineStr">
        <is>
          <t>FILIPSTAD</t>
        </is>
      </c>
      <c r="F16805" t="inlineStr">
        <is>
          <t>Bergvik skog väst AB</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45583-2024</t>
        </is>
      </c>
      <c r="B16806" s="1" t="n">
        <v>45578</v>
      </c>
      <c r="C16806" s="1" t="n">
        <v>45736</v>
      </c>
      <c r="D16806" t="inlineStr">
        <is>
          <t>VÄRMLANDS LÄN</t>
        </is>
      </c>
      <c r="E16806" t="inlineStr">
        <is>
          <t>ARVIKA</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45510-2024</t>
        </is>
      </c>
      <c r="B16807" s="1" t="n">
        <v>45578</v>
      </c>
      <c r="C16807" s="1" t="n">
        <v>45736</v>
      </c>
      <c r="D16807" t="inlineStr">
        <is>
          <t>VÄRMLANDS LÄN</t>
        </is>
      </c>
      <c r="E16807" t="inlineStr">
        <is>
          <t>STORFORS</t>
        </is>
      </c>
      <c r="G16807" t="n">
        <v>7.3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45518-2024</t>
        </is>
      </c>
      <c r="B16808" s="1" t="n">
        <v>45578</v>
      </c>
      <c r="C16808" s="1" t="n">
        <v>45736</v>
      </c>
      <c r="D16808" t="inlineStr">
        <is>
          <t>VÄRMLANDS LÄN</t>
        </is>
      </c>
      <c r="E16808" t="inlineStr">
        <is>
          <t>FILIPSTAD</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45516-2024</t>
        </is>
      </c>
      <c r="B16809" s="1" t="n">
        <v>45578</v>
      </c>
      <c r="C16809" s="1" t="n">
        <v>45736</v>
      </c>
      <c r="D16809" t="inlineStr">
        <is>
          <t>VÄRMLANDS LÄN</t>
        </is>
      </c>
      <c r="E16809" t="inlineStr">
        <is>
          <t>FILIPSTAD</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45520-2024</t>
        </is>
      </c>
      <c r="B16810" s="1" t="n">
        <v>45578</v>
      </c>
      <c r="C16810" s="1" t="n">
        <v>45736</v>
      </c>
      <c r="D16810" t="inlineStr">
        <is>
          <t>VÄRMLANDS LÄN</t>
        </is>
      </c>
      <c r="E16810" t="inlineStr">
        <is>
          <t>FILIPSTAD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45556-2024</t>
        </is>
      </c>
      <c r="B16811" s="1" t="n">
        <v>45579</v>
      </c>
      <c r="C16811" s="1" t="n">
        <v>45736</v>
      </c>
      <c r="D16811" t="inlineStr">
        <is>
          <t>VÄRMLANDS LÄN</t>
        </is>
      </c>
      <c r="E16811" t="inlineStr">
        <is>
          <t>EDA</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45560-2024</t>
        </is>
      </c>
      <c r="B16812" s="1" t="n">
        <v>45579</v>
      </c>
      <c r="C16812" s="1" t="n">
        <v>45736</v>
      </c>
      <c r="D16812" t="inlineStr">
        <is>
          <t>VÄRMLANDS LÄN</t>
        </is>
      </c>
      <c r="E16812" t="inlineStr">
        <is>
          <t>EDA</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45747-2024</t>
        </is>
      </c>
      <c r="B16813" s="1" t="n">
        <v>45579</v>
      </c>
      <c r="C16813" s="1" t="n">
        <v>45736</v>
      </c>
      <c r="D16813" t="inlineStr">
        <is>
          <t>VÄRMLANDS LÄN</t>
        </is>
      </c>
      <c r="E16813" t="inlineStr">
        <is>
          <t>EDA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45752-2024</t>
        </is>
      </c>
      <c r="B16814" s="1" t="n">
        <v>45579</v>
      </c>
      <c r="C16814" s="1" t="n">
        <v>45736</v>
      </c>
      <c r="D16814" t="inlineStr">
        <is>
          <t>VÄRMLANDS LÄN</t>
        </is>
      </c>
      <c r="E16814" t="inlineStr">
        <is>
          <t>SUNNE</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45756-2024</t>
        </is>
      </c>
      <c r="B16815" s="1" t="n">
        <v>45579</v>
      </c>
      <c r="C16815" s="1" t="n">
        <v>45736</v>
      </c>
      <c r="D16815" t="inlineStr">
        <is>
          <t>VÄRMLANDS LÄN</t>
        </is>
      </c>
      <c r="E16815" t="inlineStr">
        <is>
          <t>ARVIKA</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45672-2024</t>
        </is>
      </c>
      <c r="B16816" s="1" t="n">
        <v>45579</v>
      </c>
      <c r="C16816" s="1" t="n">
        <v>45736</v>
      </c>
      <c r="D16816" t="inlineStr">
        <is>
          <t>VÄRMLANDS LÄN</t>
        </is>
      </c>
      <c r="E16816" t="inlineStr">
        <is>
          <t>KIL</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45668-2024</t>
        </is>
      </c>
      <c r="B16817" s="1" t="n">
        <v>45579</v>
      </c>
      <c r="C16817" s="1" t="n">
        <v>45736</v>
      </c>
      <c r="D16817" t="inlineStr">
        <is>
          <t>VÄRMLANDS LÄN</t>
        </is>
      </c>
      <c r="E16817" t="inlineStr">
        <is>
          <t>EDA</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45669-2024</t>
        </is>
      </c>
      <c r="B16818" s="1" t="n">
        <v>45579</v>
      </c>
      <c r="C16818" s="1" t="n">
        <v>45736</v>
      </c>
      <c r="D16818" t="inlineStr">
        <is>
          <t>VÄRMLANDS LÄN</t>
        </is>
      </c>
      <c r="E16818" t="inlineStr">
        <is>
          <t>TORSBY</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45789-2024</t>
        </is>
      </c>
      <c r="B16819" s="1" t="n">
        <v>45579</v>
      </c>
      <c r="C16819" s="1" t="n">
        <v>45736</v>
      </c>
      <c r="D16819" t="inlineStr">
        <is>
          <t>VÄRMLANDS LÄN</t>
        </is>
      </c>
      <c r="E16819" t="inlineStr">
        <is>
          <t>ARVIKA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45695-2024</t>
        </is>
      </c>
      <c r="B16820" s="1" t="n">
        <v>45579</v>
      </c>
      <c r="C16820" s="1" t="n">
        <v>45736</v>
      </c>
      <c r="D16820" t="inlineStr">
        <is>
          <t>VÄRMLANDS LÄN</t>
        </is>
      </c>
      <c r="E16820" t="inlineStr">
        <is>
          <t>ARVIKA</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45635-2024</t>
        </is>
      </c>
      <c r="B16821" s="1" t="n">
        <v>45579</v>
      </c>
      <c r="C16821" s="1" t="n">
        <v>45736</v>
      </c>
      <c r="D16821" t="inlineStr">
        <is>
          <t>VÄRMLANDS LÄN</t>
        </is>
      </c>
      <c r="E16821" t="inlineStr">
        <is>
          <t>ÅRJÄNG</t>
        </is>
      </c>
      <c r="G16821" t="n">
        <v>9.1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45670-2024</t>
        </is>
      </c>
      <c r="B16822" s="1" t="n">
        <v>45579</v>
      </c>
      <c r="C16822" s="1" t="n">
        <v>45736</v>
      </c>
      <c r="D16822" t="inlineStr">
        <is>
          <t>VÄRMLANDS LÄN</t>
        </is>
      </c>
      <c r="E16822" t="inlineStr">
        <is>
          <t>EDA</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45650-2024</t>
        </is>
      </c>
      <c r="B16823" s="1" t="n">
        <v>45579</v>
      </c>
      <c r="C16823" s="1" t="n">
        <v>45736</v>
      </c>
      <c r="D16823" t="inlineStr">
        <is>
          <t>VÄRMLANDS LÄN</t>
        </is>
      </c>
      <c r="E16823" t="inlineStr">
        <is>
          <t>ARVIKA</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45592-2024</t>
        </is>
      </c>
      <c r="B16824" s="1" t="n">
        <v>45579</v>
      </c>
      <c r="C16824" s="1" t="n">
        <v>45736</v>
      </c>
      <c r="D16824" t="inlineStr">
        <is>
          <t>VÄRMLANDS LÄN</t>
        </is>
      </c>
      <c r="E16824" t="inlineStr">
        <is>
          <t>FILIPSTAD</t>
        </is>
      </c>
      <c r="F16824" t="inlineStr">
        <is>
          <t>Kyrkan</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45548-2024</t>
        </is>
      </c>
      <c r="B16825" s="1" t="n">
        <v>45579</v>
      </c>
      <c r="C16825" s="1" t="n">
        <v>45736</v>
      </c>
      <c r="D16825" t="inlineStr">
        <is>
          <t>VÄRMLANDS LÄN</t>
        </is>
      </c>
      <c r="E16825" t="inlineStr">
        <is>
          <t>TORSBY</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45827-2024</t>
        </is>
      </c>
      <c r="B16826" s="1" t="n">
        <v>45579</v>
      </c>
      <c r="C16826" s="1" t="n">
        <v>45736</v>
      </c>
      <c r="D16826" t="inlineStr">
        <is>
          <t>VÄRMLANDS LÄN</t>
        </is>
      </c>
      <c r="E16826" t="inlineStr">
        <is>
          <t>ÅRJÄNG</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45805-2024</t>
        </is>
      </c>
      <c r="B16827" s="1" t="n">
        <v>45579</v>
      </c>
      <c r="C16827" s="1" t="n">
        <v>45736</v>
      </c>
      <c r="D16827" t="inlineStr">
        <is>
          <t>VÄRMLANDS LÄN</t>
        </is>
      </c>
      <c r="E16827" t="inlineStr">
        <is>
          <t>ARVIKA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45542-2024</t>
        </is>
      </c>
      <c r="B16828" s="1" t="n">
        <v>45579</v>
      </c>
      <c r="C16828" s="1" t="n">
        <v>45736</v>
      </c>
      <c r="D16828" t="inlineStr">
        <is>
          <t>VÄRMLANDS LÄN</t>
        </is>
      </c>
      <c r="E16828" t="inlineStr">
        <is>
          <t>SUNNE</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45820-2024</t>
        </is>
      </c>
      <c r="B16829" s="1" t="n">
        <v>45579</v>
      </c>
      <c r="C16829" s="1" t="n">
        <v>45736</v>
      </c>
      <c r="D16829" t="inlineStr">
        <is>
          <t>VÄRMLANDS LÄN</t>
        </is>
      </c>
      <c r="E16829" t="inlineStr">
        <is>
          <t>KRISTINEHAMN</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45812-2024</t>
        </is>
      </c>
      <c r="B16830" s="1" t="n">
        <v>45579</v>
      </c>
      <c r="C16830" s="1" t="n">
        <v>45736</v>
      </c>
      <c r="D16830" t="inlineStr">
        <is>
          <t>VÄRMLANDS LÄN</t>
        </is>
      </c>
      <c r="E16830" t="inlineStr">
        <is>
          <t>TORSBY</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45751-2024</t>
        </is>
      </c>
      <c r="B16831" s="1" t="n">
        <v>45579</v>
      </c>
      <c r="C16831" s="1" t="n">
        <v>45736</v>
      </c>
      <c r="D16831" t="inlineStr">
        <is>
          <t>VÄRMLANDS LÄN</t>
        </is>
      </c>
      <c r="E16831" t="inlineStr">
        <is>
          <t>ARVIKA</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45726-2024</t>
        </is>
      </c>
      <c r="B16832" s="1" t="n">
        <v>45579</v>
      </c>
      <c r="C16832" s="1" t="n">
        <v>45736</v>
      </c>
      <c r="D16832" t="inlineStr">
        <is>
          <t>VÄRMLANDS LÄN</t>
        </is>
      </c>
      <c r="E16832" t="inlineStr">
        <is>
          <t>SUNNE</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45769-2024</t>
        </is>
      </c>
      <c r="B16833" s="1" t="n">
        <v>45579</v>
      </c>
      <c r="C16833" s="1" t="n">
        <v>45736</v>
      </c>
      <c r="D16833" t="inlineStr">
        <is>
          <t>VÄRMLANDS LÄN</t>
        </is>
      </c>
      <c r="E16833" t="inlineStr">
        <is>
          <t>KARLSTAD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45651-2024</t>
        </is>
      </c>
      <c r="B16834" s="1" t="n">
        <v>45579</v>
      </c>
      <c r="C16834" s="1" t="n">
        <v>45736</v>
      </c>
      <c r="D16834" t="inlineStr">
        <is>
          <t>VÄRMLANDS LÄN</t>
        </is>
      </c>
      <c r="E16834" t="inlineStr">
        <is>
          <t>ÅRJÄNG</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45849-2024</t>
        </is>
      </c>
      <c r="B16835" s="1" t="n">
        <v>45580</v>
      </c>
      <c r="C16835" s="1" t="n">
        <v>45736</v>
      </c>
      <c r="D16835" t="inlineStr">
        <is>
          <t>VÄRMLANDS LÄN</t>
        </is>
      </c>
      <c r="E16835" t="inlineStr">
        <is>
          <t>TORSBY</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45891-2024</t>
        </is>
      </c>
      <c r="B16836" s="1" t="n">
        <v>45580</v>
      </c>
      <c r="C16836" s="1" t="n">
        <v>45736</v>
      </c>
      <c r="D16836" t="inlineStr">
        <is>
          <t>VÄRMLANDS LÄN</t>
        </is>
      </c>
      <c r="E16836" t="inlineStr">
        <is>
          <t>ARVIKA</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45971-2024</t>
        </is>
      </c>
      <c r="B16837" s="1" t="n">
        <v>45580</v>
      </c>
      <c r="C16837" s="1" t="n">
        <v>45736</v>
      </c>
      <c r="D16837" t="inlineStr">
        <is>
          <t>VÄRMLANDS LÄN</t>
        </is>
      </c>
      <c r="E16837" t="inlineStr">
        <is>
          <t>ARVIKA</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45992-2024</t>
        </is>
      </c>
      <c r="B16838" s="1" t="n">
        <v>45580</v>
      </c>
      <c r="C16838" s="1" t="n">
        <v>45736</v>
      </c>
      <c r="D16838" t="inlineStr">
        <is>
          <t>VÄRMLANDS LÄN</t>
        </is>
      </c>
      <c r="E16838" t="inlineStr">
        <is>
          <t>ARVIKA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45876-2024</t>
        </is>
      </c>
      <c r="B16839" s="1" t="n">
        <v>45580</v>
      </c>
      <c r="C16839" s="1" t="n">
        <v>45736</v>
      </c>
      <c r="D16839" t="inlineStr">
        <is>
          <t>VÄRMLANDS LÄN</t>
        </is>
      </c>
      <c r="E16839" t="inlineStr">
        <is>
          <t>ÅRJÄNG</t>
        </is>
      </c>
      <c r="G16839" t="n">
        <v>6.3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45889-2024</t>
        </is>
      </c>
      <c r="B16840" s="1" t="n">
        <v>45580</v>
      </c>
      <c r="C16840" s="1" t="n">
        <v>45736</v>
      </c>
      <c r="D16840" t="inlineStr">
        <is>
          <t>VÄRMLANDS LÄN</t>
        </is>
      </c>
      <c r="E16840" t="inlineStr">
        <is>
          <t>ARVIKA</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45897-2024</t>
        </is>
      </c>
      <c r="B16841" s="1" t="n">
        <v>45580</v>
      </c>
      <c r="C16841" s="1" t="n">
        <v>45736</v>
      </c>
      <c r="D16841" t="inlineStr">
        <is>
          <t>VÄRMLANDS LÄN</t>
        </is>
      </c>
      <c r="E16841" t="inlineStr">
        <is>
          <t>ARVIKA</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45929-2024</t>
        </is>
      </c>
      <c r="B16842" s="1" t="n">
        <v>45580</v>
      </c>
      <c r="C16842" s="1" t="n">
        <v>45736</v>
      </c>
      <c r="D16842" t="inlineStr">
        <is>
          <t>VÄRMLANDS LÄN</t>
        </is>
      </c>
      <c r="E16842" t="inlineStr">
        <is>
          <t>ÅRJÄNG</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45985-2024</t>
        </is>
      </c>
      <c r="B16843" s="1" t="n">
        <v>45580</v>
      </c>
      <c r="C16843" s="1" t="n">
        <v>45736</v>
      </c>
      <c r="D16843" t="inlineStr">
        <is>
          <t>VÄRMLANDS LÄN</t>
        </is>
      </c>
      <c r="E16843" t="inlineStr">
        <is>
          <t>EDA</t>
        </is>
      </c>
      <c r="G16843" t="n">
        <v>6.2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45892-2024</t>
        </is>
      </c>
      <c r="B16844" s="1" t="n">
        <v>45580</v>
      </c>
      <c r="C16844" s="1" t="n">
        <v>45736</v>
      </c>
      <c r="D16844" t="inlineStr">
        <is>
          <t>VÄRMLANDS LÄN</t>
        </is>
      </c>
      <c r="E16844" t="inlineStr">
        <is>
          <t>ARVIKA</t>
        </is>
      </c>
      <c r="G16844" t="n">
        <v>9.199999999999999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45904-2024</t>
        </is>
      </c>
      <c r="B16845" s="1" t="n">
        <v>45580</v>
      </c>
      <c r="C16845" s="1" t="n">
        <v>45736</v>
      </c>
      <c r="D16845" t="inlineStr">
        <is>
          <t>VÄRMLANDS LÄN</t>
        </is>
      </c>
      <c r="E16845" t="inlineStr">
        <is>
          <t>STORFORS</t>
        </is>
      </c>
      <c r="G16845" t="n">
        <v>5.9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45873-2024</t>
        </is>
      </c>
      <c r="B16846" s="1" t="n">
        <v>45580</v>
      </c>
      <c r="C16846" s="1" t="n">
        <v>45736</v>
      </c>
      <c r="D16846" t="inlineStr">
        <is>
          <t>VÄRMLANDS LÄN</t>
        </is>
      </c>
      <c r="E16846" t="inlineStr">
        <is>
          <t>EDA</t>
        </is>
      </c>
      <c r="G16846" t="n">
        <v>4.7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45894-2024</t>
        </is>
      </c>
      <c r="B16847" s="1" t="n">
        <v>45580</v>
      </c>
      <c r="C16847" s="1" t="n">
        <v>45736</v>
      </c>
      <c r="D16847" t="inlineStr">
        <is>
          <t>VÄRMLANDS LÄN</t>
        </is>
      </c>
      <c r="E16847" t="inlineStr">
        <is>
          <t>ARVIKA</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45962-2024</t>
        </is>
      </c>
      <c r="B16848" s="1" t="n">
        <v>45580</v>
      </c>
      <c r="C16848" s="1" t="n">
        <v>45736</v>
      </c>
      <c r="D16848" t="inlineStr">
        <is>
          <t>VÄRMLANDS LÄN</t>
        </is>
      </c>
      <c r="E16848" t="inlineStr">
        <is>
          <t>ARVIKA</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46098-2024</t>
        </is>
      </c>
      <c r="B16849" s="1" t="n">
        <v>45581</v>
      </c>
      <c r="C16849" s="1" t="n">
        <v>45736</v>
      </c>
      <c r="D16849" t="inlineStr">
        <is>
          <t>VÄRMLANDS LÄN</t>
        </is>
      </c>
      <c r="E16849" t="inlineStr">
        <is>
          <t>KARLSTAD</t>
        </is>
      </c>
      <c r="F16849" t="inlineStr">
        <is>
          <t>Bergvik skog väst AB</t>
        </is>
      </c>
      <c r="G16849" t="n">
        <v>8.6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46134-2024</t>
        </is>
      </c>
      <c r="B16850" s="1" t="n">
        <v>45581</v>
      </c>
      <c r="C16850" s="1" t="n">
        <v>45736</v>
      </c>
      <c r="D16850" t="inlineStr">
        <is>
          <t>VÄRMLANDS LÄN</t>
        </is>
      </c>
      <c r="E16850" t="inlineStr">
        <is>
          <t>KRISTINEHAMN</t>
        </is>
      </c>
      <c r="F16850" t="inlineStr">
        <is>
          <t>Sveaskog</t>
        </is>
      </c>
      <c r="G16850" t="n">
        <v>2.9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46138-2024</t>
        </is>
      </c>
      <c r="B16851" s="1" t="n">
        <v>45581</v>
      </c>
      <c r="C16851" s="1" t="n">
        <v>45736</v>
      </c>
      <c r="D16851" t="inlineStr">
        <is>
          <t>VÄRMLANDS LÄN</t>
        </is>
      </c>
      <c r="E16851" t="inlineStr">
        <is>
          <t>KRISTINEHAMN</t>
        </is>
      </c>
      <c r="F16851" t="inlineStr">
        <is>
          <t>Sveaskog</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46149-2024</t>
        </is>
      </c>
      <c r="B16852" s="1" t="n">
        <v>45581</v>
      </c>
      <c r="C16852" s="1" t="n">
        <v>45736</v>
      </c>
      <c r="D16852" t="inlineStr">
        <is>
          <t>VÄRMLANDS LÄN</t>
        </is>
      </c>
      <c r="E16852" t="inlineStr">
        <is>
          <t>ÅRJÄNG</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46173-2024</t>
        </is>
      </c>
      <c r="B16853" s="1" t="n">
        <v>45581</v>
      </c>
      <c r="C16853" s="1" t="n">
        <v>45736</v>
      </c>
      <c r="D16853" t="inlineStr">
        <is>
          <t>VÄRMLANDS LÄN</t>
        </is>
      </c>
      <c r="E16853" t="inlineStr">
        <is>
          <t>KARLSTAD</t>
        </is>
      </c>
      <c r="F16853" t="inlineStr">
        <is>
          <t>Bergvik skog väst AB</t>
        </is>
      </c>
      <c r="G16853" t="n">
        <v>3.6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46239-2024</t>
        </is>
      </c>
      <c r="B16854" s="1" t="n">
        <v>45581</v>
      </c>
      <c r="C16854" s="1" t="n">
        <v>45736</v>
      </c>
      <c r="D16854" t="inlineStr">
        <is>
          <t>VÄRMLANDS LÄN</t>
        </is>
      </c>
      <c r="E16854" t="inlineStr">
        <is>
          <t>TORSBY</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46109-2024</t>
        </is>
      </c>
      <c r="B16855" s="1" t="n">
        <v>45581</v>
      </c>
      <c r="C16855" s="1" t="n">
        <v>45736</v>
      </c>
      <c r="D16855" t="inlineStr">
        <is>
          <t>VÄRMLANDS LÄN</t>
        </is>
      </c>
      <c r="E16855" t="inlineStr">
        <is>
          <t>KARLSTAD</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46117-2024</t>
        </is>
      </c>
      <c r="B16856" s="1" t="n">
        <v>45581</v>
      </c>
      <c r="C16856" s="1" t="n">
        <v>45736</v>
      </c>
      <c r="D16856" t="inlineStr">
        <is>
          <t>VÄRMLANDS LÄN</t>
        </is>
      </c>
      <c r="E16856" t="inlineStr">
        <is>
          <t>HAGFORS</t>
        </is>
      </c>
      <c r="F16856" t="inlineStr">
        <is>
          <t>Bergvik skog väst AB</t>
        </is>
      </c>
      <c r="G16856" t="n">
        <v>4.7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46133-2024</t>
        </is>
      </c>
      <c r="B16857" s="1" t="n">
        <v>45581</v>
      </c>
      <c r="C16857" s="1" t="n">
        <v>45736</v>
      </c>
      <c r="D16857" t="inlineStr">
        <is>
          <t>VÄRMLANDS LÄN</t>
        </is>
      </c>
      <c r="E16857" t="inlineStr">
        <is>
          <t>KRISTINEHAMN</t>
        </is>
      </c>
      <c r="F16857" t="inlineStr">
        <is>
          <t>Sveaskog</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46137-2024</t>
        </is>
      </c>
      <c r="B16858" s="1" t="n">
        <v>45581</v>
      </c>
      <c r="C16858" s="1" t="n">
        <v>45736</v>
      </c>
      <c r="D16858" t="inlineStr">
        <is>
          <t>VÄRMLANDS LÄN</t>
        </is>
      </c>
      <c r="E16858" t="inlineStr">
        <is>
          <t>KRISTINEHAMN</t>
        </is>
      </c>
      <c r="F16858" t="inlineStr">
        <is>
          <t>Sveaskog</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46152-2024</t>
        </is>
      </c>
      <c r="B16859" s="1" t="n">
        <v>45581</v>
      </c>
      <c r="C16859" s="1" t="n">
        <v>45736</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46176-2024</t>
        </is>
      </c>
      <c r="B16860" s="1" t="n">
        <v>45581</v>
      </c>
      <c r="C16860" s="1" t="n">
        <v>45736</v>
      </c>
      <c r="D16860" t="inlineStr">
        <is>
          <t>VÄRMLANDS LÄN</t>
        </is>
      </c>
      <c r="E16860" t="inlineStr">
        <is>
          <t>KARLSTAD</t>
        </is>
      </c>
      <c r="F16860" t="inlineStr">
        <is>
          <t>Bergvik skog väst AB</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46196-2024</t>
        </is>
      </c>
      <c r="B16861" s="1" t="n">
        <v>45581</v>
      </c>
      <c r="C16861" s="1" t="n">
        <v>45736</v>
      </c>
      <c r="D16861" t="inlineStr">
        <is>
          <t>VÄRMLANDS LÄN</t>
        </is>
      </c>
      <c r="E16861" t="inlineStr">
        <is>
          <t>HAGFORS</t>
        </is>
      </c>
      <c r="F16861" t="inlineStr">
        <is>
          <t>Bergvik skog väst AB</t>
        </is>
      </c>
      <c r="G16861" t="n">
        <v>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46318-2024</t>
        </is>
      </c>
      <c r="B16862" s="1" t="n">
        <v>45581</v>
      </c>
      <c r="C16862" s="1" t="n">
        <v>45736</v>
      </c>
      <c r="D16862" t="inlineStr">
        <is>
          <t>VÄRMLANDS LÄN</t>
        </is>
      </c>
      <c r="E16862" t="inlineStr">
        <is>
          <t>ÅRJÄNG</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46190-2024</t>
        </is>
      </c>
      <c r="B16863" s="1" t="n">
        <v>45581</v>
      </c>
      <c r="C16863" s="1" t="n">
        <v>45736</v>
      </c>
      <c r="D16863" t="inlineStr">
        <is>
          <t>VÄRMLANDS LÄN</t>
        </is>
      </c>
      <c r="E16863" t="inlineStr">
        <is>
          <t>HAGFORS</t>
        </is>
      </c>
      <c r="F16863" t="inlineStr">
        <is>
          <t>Bergvik skog väst AB</t>
        </is>
      </c>
      <c r="G16863" t="n">
        <v>4.8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46174-2024</t>
        </is>
      </c>
      <c r="B16864" s="1" t="n">
        <v>45581</v>
      </c>
      <c r="C16864" s="1" t="n">
        <v>45736</v>
      </c>
      <c r="D16864" t="inlineStr">
        <is>
          <t>VÄRMLANDS LÄN</t>
        </is>
      </c>
      <c r="E16864" t="inlineStr">
        <is>
          <t>KARLSTAD</t>
        </is>
      </c>
      <c r="F16864" t="inlineStr">
        <is>
          <t>Bergvik skog väst AB</t>
        </is>
      </c>
      <c r="G16864" t="n">
        <v>5.5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46175-2024</t>
        </is>
      </c>
      <c r="B16865" s="1" t="n">
        <v>45581</v>
      </c>
      <c r="C16865" s="1" t="n">
        <v>45736</v>
      </c>
      <c r="D16865" t="inlineStr">
        <is>
          <t>VÄRMLANDS LÄN</t>
        </is>
      </c>
      <c r="E16865" t="inlineStr">
        <is>
          <t>ÅRJÄNG</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46166-2024</t>
        </is>
      </c>
      <c r="B16866" s="1" t="n">
        <v>45581</v>
      </c>
      <c r="C16866" s="1" t="n">
        <v>45736</v>
      </c>
      <c r="D16866" t="inlineStr">
        <is>
          <t>VÄRMLANDS LÄN</t>
        </is>
      </c>
      <c r="E16866" t="inlineStr">
        <is>
          <t>TORSBY</t>
        </is>
      </c>
      <c r="G16866" t="n">
        <v>9.5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46139-2024</t>
        </is>
      </c>
      <c r="B16867" s="1" t="n">
        <v>45581</v>
      </c>
      <c r="C16867" s="1" t="n">
        <v>45736</v>
      </c>
      <c r="D16867" t="inlineStr">
        <is>
          <t>VÄRMLANDS LÄN</t>
        </is>
      </c>
      <c r="E16867" t="inlineStr">
        <is>
          <t>KRISTINEHAMN</t>
        </is>
      </c>
      <c r="F16867" t="inlineStr">
        <is>
          <t>Sveaskog</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46319-2024</t>
        </is>
      </c>
      <c r="B16868" s="1" t="n">
        <v>45581</v>
      </c>
      <c r="C16868" s="1" t="n">
        <v>45736</v>
      </c>
      <c r="D16868" t="inlineStr">
        <is>
          <t>VÄRMLANDS LÄN</t>
        </is>
      </c>
      <c r="E16868" t="inlineStr">
        <is>
          <t>ÅRJÄNG</t>
        </is>
      </c>
      <c r="G16868" t="n">
        <v>5.5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46315-2024</t>
        </is>
      </c>
      <c r="B16869" s="1" t="n">
        <v>45581</v>
      </c>
      <c r="C16869" s="1" t="n">
        <v>45736</v>
      </c>
      <c r="D16869" t="inlineStr">
        <is>
          <t>VÄRMLANDS LÄN</t>
        </is>
      </c>
      <c r="E16869" t="inlineStr">
        <is>
          <t>ÅRJÄNG</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46241-2024</t>
        </is>
      </c>
      <c r="B16870" s="1" t="n">
        <v>45581</v>
      </c>
      <c r="C16870" s="1" t="n">
        <v>45736</v>
      </c>
      <c r="D16870" t="inlineStr">
        <is>
          <t>VÄRMLANDS LÄN</t>
        </is>
      </c>
      <c r="E16870" t="inlineStr">
        <is>
          <t>FILIPSTAD</t>
        </is>
      </c>
      <c r="F16870" t="inlineStr">
        <is>
          <t>Bergvik skog väst AB</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46233-2024</t>
        </is>
      </c>
      <c r="B16871" s="1" t="n">
        <v>45581</v>
      </c>
      <c r="C16871" s="1" t="n">
        <v>45736</v>
      </c>
      <c r="D16871" t="inlineStr">
        <is>
          <t>VÄRMLANDS LÄN</t>
        </is>
      </c>
      <c r="E16871" t="inlineStr">
        <is>
          <t>ARVIKA</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46177-2024</t>
        </is>
      </c>
      <c r="B16872" s="1" t="n">
        <v>45581</v>
      </c>
      <c r="C16872" s="1" t="n">
        <v>45736</v>
      </c>
      <c r="D16872" t="inlineStr">
        <is>
          <t>VÄRMLANDS LÄN</t>
        </is>
      </c>
      <c r="E16872" t="inlineStr">
        <is>
          <t>SÄFFLE</t>
        </is>
      </c>
      <c r="G16872" t="n">
        <v>4.9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46317-2024</t>
        </is>
      </c>
      <c r="B16873" s="1" t="n">
        <v>45581</v>
      </c>
      <c r="C16873" s="1" t="n">
        <v>45736</v>
      </c>
      <c r="D16873" t="inlineStr">
        <is>
          <t>VÄRMLANDS LÄN</t>
        </is>
      </c>
      <c r="E16873" t="inlineStr">
        <is>
          <t>ÅRJÄNG</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46492-2024</t>
        </is>
      </c>
      <c r="B16874" s="1" t="n">
        <v>45582</v>
      </c>
      <c r="C16874" s="1" t="n">
        <v>45736</v>
      </c>
      <c r="D16874" t="inlineStr">
        <is>
          <t>VÄRMLANDS LÄN</t>
        </is>
      </c>
      <c r="E16874" t="inlineStr">
        <is>
          <t>ARVIKA</t>
        </is>
      </c>
      <c r="F16874" t="inlineStr">
        <is>
          <t>Bergvik skog väst AB</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46426-2024</t>
        </is>
      </c>
      <c r="B16875" s="1" t="n">
        <v>45582</v>
      </c>
      <c r="C16875" s="1" t="n">
        <v>45736</v>
      </c>
      <c r="D16875" t="inlineStr">
        <is>
          <t>VÄRMLANDS LÄN</t>
        </is>
      </c>
      <c r="E16875" t="inlineStr">
        <is>
          <t>HAGFORS</t>
        </is>
      </c>
      <c r="F16875" t="inlineStr">
        <is>
          <t>Bergvik skog väst AB</t>
        </is>
      </c>
      <c r="G16875" t="n">
        <v>15.8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46526-2024</t>
        </is>
      </c>
      <c r="B16876" s="1" t="n">
        <v>45582</v>
      </c>
      <c r="C16876" s="1" t="n">
        <v>45736</v>
      </c>
      <c r="D16876" t="inlineStr">
        <is>
          <t>VÄRMLANDS LÄN</t>
        </is>
      </c>
      <c r="E16876" t="inlineStr">
        <is>
          <t>SÄFFLE</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46405-2024</t>
        </is>
      </c>
      <c r="B16877" s="1" t="n">
        <v>45582</v>
      </c>
      <c r="C16877" s="1" t="n">
        <v>45736</v>
      </c>
      <c r="D16877" t="inlineStr">
        <is>
          <t>VÄRMLANDS LÄN</t>
        </is>
      </c>
      <c r="E16877" t="inlineStr">
        <is>
          <t>ARVIKA</t>
        </is>
      </c>
      <c r="F16877" t="inlineStr">
        <is>
          <t>Bergvik skog väst AB</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46381-2024</t>
        </is>
      </c>
      <c r="B16878" s="1" t="n">
        <v>45582</v>
      </c>
      <c r="C16878" s="1" t="n">
        <v>45736</v>
      </c>
      <c r="D16878" t="inlineStr">
        <is>
          <t>VÄRMLANDS LÄN</t>
        </is>
      </c>
      <c r="E16878" t="inlineStr">
        <is>
          <t>SUNNE</t>
        </is>
      </c>
      <c r="F16878" t="inlineStr">
        <is>
          <t>Bergvik skog väst AB</t>
        </is>
      </c>
      <c r="G16878" t="n">
        <v>3.7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46369-2024</t>
        </is>
      </c>
      <c r="B16879" s="1" t="n">
        <v>45582</v>
      </c>
      <c r="C16879" s="1" t="n">
        <v>45736</v>
      </c>
      <c r="D16879" t="inlineStr">
        <is>
          <t>VÄRMLANDS LÄN</t>
        </is>
      </c>
      <c r="E16879" t="inlineStr">
        <is>
          <t>ARVIKA</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46416-2024</t>
        </is>
      </c>
      <c r="B16880" s="1" t="n">
        <v>45582</v>
      </c>
      <c r="C16880" s="1" t="n">
        <v>45736</v>
      </c>
      <c r="D16880" t="inlineStr">
        <is>
          <t>VÄRMLANDS LÄN</t>
        </is>
      </c>
      <c r="E16880" t="inlineStr">
        <is>
          <t>ARVIKA</t>
        </is>
      </c>
      <c r="F16880" t="inlineStr">
        <is>
          <t>Bergvik skog väst AB</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46425-2024</t>
        </is>
      </c>
      <c r="B16881" s="1" t="n">
        <v>45582</v>
      </c>
      <c r="C16881" s="1" t="n">
        <v>45736</v>
      </c>
      <c r="D16881" t="inlineStr">
        <is>
          <t>VÄRMLANDS LÄN</t>
        </is>
      </c>
      <c r="E16881" t="inlineStr">
        <is>
          <t>HAGFORS</t>
        </is>
      </c>
      <c r="F16881" t="inlineStr">
        <is>
          <t>Bergvik skog väst AB</t>
        </is>
      </c>
      <c r="G16881" t="n">
        <v>15.8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46471-2024</t>
        </is>
      </c>
      <c r="B16882" s="1" t="n">
        <v>45582</v>
      </c>
      <c r="C16882" s="1" t="n">
        <v>45736</v>
      </c>
      <c r="D16882" t="inlineStr">
        <is>
          <t>VÄRMLANDS LÄN</t>
        </is>
      </c>
      <c r="E16882" t="inlineStr">
        <is>
          <t>TORSBY</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46479-2024</t>
        </is>
      </c>
      <c r="B16883" s="1" t="n">
        <v>45582</v>
      </c>
      <c r="C16883" s="1" t="n">
        <v>45736</v>
      </c>
      <c r="D16883" t="inlineStr">
        <is>
          <t>VÄRMLANDS LÄN</t>
        </is>
      </c>
      <c r="E16883" t="inlineStr">
        <is>
          <t>ARVIKA</t>
        </is>
      </c>
      <c r="G16883" t="n">
        <v>7.5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46495-2024</t>
        </is>
      </c>
      <c r="B16884" s="1" t="n">
        <v>45582</v>
      </c>
      <c r="C16884" s="1" t="n">
        <v>45736</v>
      </c>
      <c r="D16884" t="inlineStr">
        <is>
          <t>VÄRMLANDS LÄN</t>
        </is>
      </c>
      <c r="E16884" t="inlineStr">
        <is>
          <t>KARLSTAD</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46503-2024</t>
        </is>
      </c>
      <c r="B16885" s="1" t="n">
        <v>45582</v>
      </c>
      <c r="C16885" s="1" t="n">
        <v>45736</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46535-2024</t>
        </is>
      </c>
      <c r="B16886" s="1" t="n">
        <v>45582</v>
      </c>
      <c r="C16886" s="1" t="n">
        <v>45736</v>
      </c>
      <c r="D16886" t="inlineStr">
        <is>
          <t>VÄRMLANDS LÄN</t>
        </is>
      </c>
      <c r="E16886" t="inlineStr">
        <is>
          <t>EDA</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46398-2024</t>
        </is>
      </c>
      <c r="B16887" s="1" t="n">
        <v>45582</v>
      </c>
      <c r="C16887" s="1" t="n">
        <v>45736</v>
      </c>
      <c r="D16887" t="inlineStr">
        <is>
          <t>VÄRMLANDS LÄN</t>
        </is>
      </c>
      <c r="E16887" t="inlineStr">
        <is>
          <t>ÅRJÄNG</t>
        </is>
      </c>
      <c r="G16887" t="n">
        <v>5.7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46575-2024</t>
        </is>
      </c>
      <c r="B16888" s="1" t="n">
        <v>45582</v>
      </c>
      <c r="C16888" s="1" t="n">
        <v>45736</v>
      </c>
      <c r="D16888" t="inlineStr">
        <is>
          <t>VÄRMLANDS LÄN</t>
        </is>
      </c>
      <c r="E16888" t="inlineStr">
        <is>
          <t>SÄFFLE</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46460-2024</t>
        </is>
      </c>
      <c r="B16889" s="1" t="n">
        <v>45582</v>
      </c>
      <c r="C16889" s="1" t="n">
        <v>45736</v>
      </c>
      <c r="D16889" t="inlineStr">
        <is>
          <t>VÄRMLANDS LÄN</t>
        </is>
      </c>
      <c r="E16889" t="inlineStr">
        <is>
          <t>ARVIKA</t>
        </is>
      </c>
      <c r="F16889" t="inlineStr">
        <is>
          <t>Bergvik skog väst AB</t>
        </is>
      </c>
      <c r="G16889" t="n">
        <v>2.3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46456-2024</t>
        </is>
      </c>
      <c r="B16890" s="1" t="n">
        <v>45582</v>
      </c>
      <c r="C16890" s="1" t="n">
        <v>45736</v>
      </c>
      <c r="D16890" t="inlineStr">
        <is>
          <t>VÄRMLANDS LÄN</t>
        </is>
      </c>
      <c r="E16890" t="inlineStr">
        <is>
          <t>TORSBY</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46343-2024</t>
        </is>
      </c>
      <c r="B16891" s="1" t="n">
        <v>45582</v>
      </c>
      <c r="C16891" s="1" t="n">
        <v>45736</v>
      </c>
      <c r="D16891" t="inlineStr">
        <is>
          <t>VÄRMLANDS LÄN</t>
        </is>
      </c>
      <c r="E16891" t="inlineStr">
        <is>
          <t>TORSBY</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46335-2024</t>
        </is>
      </c>
      <c r="B16892" s="1" t="n">
        <v>45582</v>
      </c>
      <c r="C16892" s="1" t="n">
        <v>45736</v>
      </c>
      <c r="D16892" t="inlineStr">
        <is>
          <t>VÄRMLANDS LÄN</t>
        </is>
      </c>
      <c r="E16892" t="inlineStr">
        <is>
          <t>KARLSTAD</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46445-2024</t>
        </is>
      </c>
      <c r="B16893" s="1" t="n">
        <v>45582</v>
      </c>
      <c r="C16893" s="1" t="n">
        <v>45736</v>
      </c>
      <c r="D16893" t="inlineStr">
        <is>
          <t>VÄRMLANDS LÄN</t>
        </is>
      </c>
      <c r="E16893" t="inlineStr">
        <is>
          <t>KIL</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46473-2024</t>
        </is>
      </c>
      <c r="B16894" s="1" t="n">
        <v>45582</v>
      </c>
      <c r="C16894" s="1" t="n">
        <v>45736</v>
      </c>
      <c r="D16894" t="inlineStr">
        <is>
          <t>VÄRMLANDS LÄN</t>
        </is>
      </c>
      <c r="E16894" t="inlineStr">
        <is>
          <t>ÅRJÄNG</t>
        </is>
      </c>
      <c r="G16894" t="n">
        <v>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46336-2024</t>
        </is>
      </c>
      <c r="B16895" s="1" t="n">
        <v>45582</v>
      </c>
      <c r="C16895" s="1" t="n">
        <v>45736</v>
      </c>
      <c r="D16895" t="inlineStr">
        <is>
          <t>VÄRMLANDS LÄN</t>
        </is>
      </c>
      <c r="E16895" t="inlineStr">
        <is>
          <t>KARLSTAD</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46609-2024</t>
        </is>
      </c>
      <c r="B16896" s="1" t="n">
        <v>45582</v>
      </c>
      <c r="C16896" s="1" t="n">
        <v>45736</v>
      </c>
      <c r="D16896" t="inlineStr">
        <is>
          <t>VÄRMLANDS LÄN</t>
        </is>
      </c>
      <c r="E16896" t="inlineStr">
        <is>
          <t>ÅRJÄNG</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46792-2024</t>
        </is>
      </c>
      <c r="B16897" s="1" t="n">
        <v>45583</v>
      </c>
      <c r="C16897" s="1" t="n">
        <v>45736</v>
      </c>
      <c r="D16897" t="inlineStr">
        <is>
          <t>VÄRMLANDS LÄN</t>
        </is>
      </c>
      <c r="E16897" t="inlineStr">
        <is>
          <t>SUNNE</t>
        </is>
      </c>
      <c r="F16897" t="inlineStr">
        <is>
          <t>Kommuner</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46680-2024</t>
        </is>
      </c>
      <c r="B16898" s="1" t="n">
        <v>45583</v>
      </c>
      <c r="C16898" s="1" t="n">
        <v>45736</v>
      </c>
      <c r="D16898" t="inlineStr">
        <is>
          <t>VÄRMLANDS LÄN</t>
        </is>
      </c>
      <c r="E16898" t="inlineStr">
        <is>
          <t>FILIPSTAD</t>
        </is>
      </c>
      <c r="F16898" t="inlineStr">
        <is>
          <t>Bergvik skog väst AB</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46804-2024</t>
        </is>
      </c>
      <c r="B16899" s="1" t="n">
        <v>45583</v>
      </c>
      <c r="C16899" s="1" t="n">
        <v>45736</v>
      </c>
      <c r="D16899" t="inlineStr">
        <is>
          <t>VÄRMLANDS LÄN</t>
        </is>
      </c>
      <c r="E16899" t="inlineStr">
        <is>
          <t>SUNNE</t>
        </is>
      </c>
      <c r="F16899" t="inlineStr">
        <is>
          <t>Kommuner</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46914-2024</t>
        </is>
      </c>
      <c r="B16900" s="1" t="n">
        <v>45583</v>
      </c>
      <c r="C16900" s="1" t="n">
        <v>45736</v>
      </c>
      <c r="D16900" t="inlineStr">
        <is>
          <t>VÄRMLANDS LÄN</t>
        </is>
      </c>
      <c r="E16900" t="inlineStr">
        <is>
          <t>TORSBY</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46898-2024</t>
        </is>
      </c>
      <c r="B16901" s="1" t="n">
        <v>45583</v>
      </c>
      <c r="C16901" s="1" t="n">
        <v>45736</v>
      </c>
      <c r="D16901" t="inlineStr">
        <is>
          <t>VÄRMLANDS LÄN</t>
        </is>
      </c>
      <c r="E16901" t="inlineStr">
        <is>
          <t>KARLSTAD</t>
        </is>
      </c>
      <c r="F16901" t="inlineStr">
        <is>
          <t>Kommuner</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46842-2024</t>
        </is>
      </c>
      <c r="B16902" s="1" t="n">
        <v>45583</v>
      </c>
      <c r="C16902" s="1" t="n">
        <v>45736</v>
      </c>
      <c r="D16902" t="inlineStr">
        <is>
          <t>VÄRMLANDS LÄN</t>
        </is>
      </c>
      <c r="E16902" t="inlineStr">
        <is>
          <t>ARVIKA</t>
        </is>
      </c>
      <c r="F16902" t="inlineStr">
        <is>
          <t>Bergvik skog väst AB</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46703-2024</t>
        </is>
      </c>
      <c r="B16903" s="1" t="n">
        <v>45583</v>
      </c>
      <c r="C16903" s="1" t="n">
        <v>45736</v>
      </c>
      <c r="D16903" t="inlineStr">
        <is>
          <t>VÄRMLANDS LÄN</t>
        </is>
      </c>
      <c r="E16903" t="inlineStr">
        <is>
          <t>EDA</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46715-2024</t>
        </is>
      </c>
      <c r="B16904" s="1" t="n">
        <v>45583</v>
      </c>
      <c r="C16904" s="1" t="n">
        <v>45736</v>
      </c>
      <c r="D16904" t="inlineStr">
        <is>
          <t>VÄRMLANDS LÄN</t>
        </is>
      </c>
      <c r="E16904" t="inlineStr">
        <is>
          <t>ARVIKA</t>
        </is>
      </c>
      <c r="F16904" t="inlineStr">
        <is>
          <t>Bergvik skog väst AB</t>
        </is>
      </c>
      <c r="G16904" t="n">
        <v>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46761-2024</t>
        </is>
      </c>
      <c r="B16905" s="1" t="n">
        <v>45583</v>
      </c>
      <c r="C16905" s="1" t="n">
        <v>45736</v>
      </c>
      <c r="D16905" t="inlineStr">
        <is>
          <t>VÄRMLANDS LÄN</t>
        </is>
      </c>
      <c r="E16905" t="inlineStr">
        <is>
          <t>EDA</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46790-2024</t>
        </is>
      </c>
      <c r="B16906" s="1" t="n">
        <v>45583</v>
      </c>
      <c r="C16906" s="1" t="n">
        <v>45736</v>
      </c>
      <c r="D16906" t="inlineStr">
        <is>
          <t>VÄRMLANDS LÄN</t>
        </is>
      </c>
      <c r="E16906" t="inlineStr">
        <is>
          <t>SUNNE</t>
        </is>
      </c>
      <c r="F16906" t="inlineStr">
        <is>
          <t>Kommuner</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46750-2024</t>
        </is>
      </c>
      <c r="B16907" s="1" t="n">
        <v>45583</v>
      </c>
      <c r="C16907" s="1" t="n">
        <v>45736</v>
      </c>
      <c r="D16907" t="inlineStr">
        <is>
          <t>VÄRMLANDS LÄN</t>
        </is>
      </c>
      <c r="E16907" t="inlineStr">
        <is>
          <t>ARVIKA</t>
        </is>
      </c>
      <c r="F16907" t="inlineStr">
        <is>
          <t>Bergvik skog väst AB</t>
        </is>
      </c>
      <c r="G16907" t="n">
        <v>4.9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46681-2024</t>
        </is>
      </c>
      <c r="B16908" s="1" t="n">
        <v>45583</v>
      </c>
      <c r="C16908" s="1" t="n">
        <v>45736</v>
      </c>
      <c r="D16908" t="inlineStr">
        <is>
          <t>VÄRMLANDS LÄN</t>
        </is>
      </c>
      <c r="E16908" t="inlineStr">
        <is>
          <t>ARVIKA</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46673-2024</t>
        </is>
      </c>
      <c r="B16909" s="1" t="n">
        <v>45583</v>
      </c>
      <c r="C16909" s="1" t="n">
        <v>45736</v>
      </c>
      <c r="D16909" t="inlineStr">
        <is>
          <t>VÄRMLANDS LÄN</t>
        </is>
      </c>
      <c r="E16909" t="inlineStr">
        <is>
          <t>ARVIKA</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46829-2024</t>
        </is>
      </c>
      <c r="B16910" s="1" t="n">
        <v>45583</v>
      </c>
      <c r="C16910" s="1" t="n">
        <v>45736</v>
      </c>
      <c r="D16910" t="inlineStr">
        <is>
          <t>VÄRMLANDS LÄN</t>
        </is>
      </c>
      <c r="E16910" t="inlineStr">
        <is>
          <t>ÅRJÄNG</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46698-2024</t>
        </is>
      </c>
      <c r="B16911" s="1" t="n">
        <v>45583</v>
      </c>
      <c r="C16911" s="1" t="n">
        <v>45736</v>
      </c>
      <c r="D16911" t="inlineStr">
        <is>
          <t>VÄRMLANDS LÄN</t>
        </is>
      </c>
      <c r="E16911" t="inlineStr">
        <is>
          <t>TORSBY</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46855-2024</t>
        </is>
      </c>
      <c r="B16912" s="1" t="n">
        <v>45583</v>
      </c>
      <c r="C16912" s="1" t="n">
        <v>45736</v>
      </c>
      <c r="D16912" t="inlineStr">
        <is>
          <t>VÄRMLANDS LÄN</t>
        </is>
      </c>
      <c r="E16912" t="inlineStr">
        <is>
          <t>SUNNE</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46859-2024</t>
        </is>
      </c>
      <c r="B16913" s="1" t="n">
        <v>45583</v>
      </c>
      <c r="C16913" s="1" t="n">
        <v>45736</v>
      </c>
      <c r="D16913" t="inlineStr">
        <is>
          <t>VÄRMLANDS LÄN</t>
        </is>
      </c>
      <c r="E16913" t="inlineStr">
        <is>
          <t>SÄFFLE</t>
        </is>
      </c>
      <c r="G16913" t="n">
        <v>8.300000000000001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46909-2024</t>
        </is>
      </c>
      <c r="B16914" s="1" t="n">
        <v>45583</v>
      </c>
      <c r="C16914" s="1" t="n">
        <v>45736</v>
      </c>
      <c r="D16914" t="inlineStr">
        <is>
          <t>VÄRMLANDS LÄN</t>
        </is>
      </c>
      <c r="E16914" t="inlineStr">
        <is>
          <t>TORSBY</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46917-2024</t>
        </is>
      </c>
      <c r="B16915" s="1" t="n">
        <v>45583</v>
      </c>
      <c r="C16915" s="1" t="n">
        <v>45736</v>
      </c>
      <c r="D16915" t="inlineStr">
        <is>
          <t>VÄRMLANDS LÄN</t>
        </is>
      </c>
      <c r="E16915" t="inlineStr">
        <is>
          <t>TORSBY</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46876-2024</t>
        </is>
      </c>
      <c r="B16916" s="1" t="n">
        <v>45583</v>
      </c>
      <c r="C16916" s="1" t="n">
        <v>45736</v>
      </c>
      <c r="D16916" t="inlineStr">
        <is>
          <t>VÄRMLANDS LÄN</t>
        </is>
      </c>
      <c r="E16916" t="inlineStr">
        <is>
          <t>SUNNE</t>
        </is>
      </c>
      <c r="F16916" t="inlineStr">
        <is>
          <t>Kommuner</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46880-2024</t>
        </is>
      </c>
      <c r="B16917" s="1" t="n">
        <v>45583</v>
      </c>
      <c r="C16917" s="1" t="n">
        <v>45736</v>
      </c>
      <c r="D16917" t="inlineStr">
        <is>
          <t>VÄRMLANDS LÄN</t>
        </is>
      </c>
      <c r="E16917" t="inlineStr">
        <is>
          <t>SUNNE</t>
        </is>
      </c>
      <c r="F16917" t="inlineStr">
        <is>
          <t>Kommuner</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46912-2024</t>
        </is>
      </c>
      <c r="B16918" s="1" t="n">
        <v>45583</v>
      </c>
      <c r="C16918" s="1" t="n">
        <v>45736</v>
      </c>
      <c r="D16918" t="inlineStr">
        <is>
          <t>VÄRMLANDS LÄN</t>
        </is>
      </c>
      <c r="E16918" t="inlineStr">
        <is>
          <t>TORSBY</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46662-2024</t>
        </is>
      </c>
      <c r="B16919" s="1" t="n">
        <v>45583</v>
      </c>
      <c r="C16919" s="1" t="n">
        <v>45736</v>
      </c>
      <c r="D16919" t="inlineStr">
        <is>
          <t>VÄRMLANDS LÄN</t>
        </is>
      </c>
      <c r="E16919" t="inlineStr">
        <is>
          <t>ARVIKA</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46646-2024</t>
        </is>
      </c>
      <c r="B16920" s="1" t="n">
        <v>45583</v>
      </c>
      <c r="C16920" s="1" t="n">
        <v>45736</v>
      </c>
      <c r="D16920" t="inlineStr">
        <is>
          <t>VÄRMLANDS LÄN</t>
        </is>
      </c>
      <c r="E16920" t="inlineStr">
        <is>
          <t>EDA</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46915-2024</t>
        </is>
      </c>
      <c r="B16921" s="1" t="n">
        <v>45583</v>
      </c>
      <c r="C16921" s="1" t="n">
        <v>45736</v>
      </c>
      <c r="D16921" t="inlineStr">
        <is>
          <t>VÄRMLANDS LÄN</t>
        </is>
      </c>
      <c r="E16921" t="inlineStr">
        <is>
          <t>TORSBY</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46950-2024</t>
        </is>
      </c>
      <c r="B16922" s="1" t="n">
        <v>45585</v>
      </c>
      <c r="C16922" s="1" t="n">
        <v>45736</v>
      </c>
      <c r="D16922" t="inlineStr">
        <is>
          <t>VÄRMLANDS LÄN</t>
        </is>
      </c>
      <c r="E16922" t="inlineStr">
        <is>
          <t>SUNNE</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47278-2024</t>
        </is>
      </c>
      <c r="B16923" s="1" t="n">
        <v>45586</v>
      </c>
      <c r="C16923" s="1" t="n">
        <v>45736</v>
      </c>
      <c r="D16923" t="inlineStr">
        <is>
          <t>VÄRMLANDS LÄN</t>
        </is>
      </c>
      <c r="E16923" t="inlineStr">
        <is>
          <t>SUNNE</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46996-2024</t>
        </is>
      </c>
      <c r="B16924" s="1" t="n">
        <v>45586</v>
      </c>
      <c r="C16924" s="1" t="n">
        <v>45736</v>
      </c>
      <c r="D16924" t="inlineStr">
        <is>
          <t>VÄRMLANDS LÄN</t>
        </is>
      </c>
      <c r="E16924" t="inlineStr">
        <is>
          <t>FILIPSTAD</t>
        </is>
      </c>
      <c r="F16924" t="inlineStr">
        <is>
          <t>Bergvik skog väst AB</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47000-2024</t>
        </is>
      </c>
      <c r="B16925" s="1" t="n">
        <v>45586</v>
      </c>
      <c r="C16925" s="1" t="n">
        <v>45736</v>
      </c>
      <c r="D16925" t="inlineStr">
        <is>
          <t>VÄRMLANDS LÄN</t>
        </is>
      </c>
      <c r="E16925" t="inlineStr">
        <is>
          <t>FILIPSTAD</t>
        </is>
      </c>
      <c r="F16925" t="inlineStr">
        <is>
          <t>Bergvik skog väst AB</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47004-2024</t>
        </is>
      </c>
      <c r="B16926" s="1" t="n">
        <v>45586</v>
      </c>
      <c r="C16926" s="1" t="n">
        <v>45736</v>
      </c>
      <c r="D16926" t="inlineStr">
        <is>
          <t>VÄRMLANDS LÄN</t>
        </is>
      </c>
      <c r="E16926" t="inlineStr">
        <is>
          <t>FILIPSTAD</t>
        </is>
      </c>
      <c r="F16926" t="inlineStr">
        <is>
          <t>Bergvik skog väst AB</t>
        </is>
      </c>
      <c r="G16926" t="n">
        <v>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47082-2024</t>
        </is>
      </c>
      <c r="B16927" s="1" t="n">
        <v>45586</v>
      </c>
      <c r="C16927" s="1" t="n">
        <v>45736</v>
      </c>
      <c r="D16927" t="inlineStr">
        <is>
          <t>VÄRMLANDS LÄN</t>
        </is>
      </c>
      <c r="E16927" t="inlineStr">
        <is>
          <t>HAGFORS</t>
        </is>
      </c>
      <c r="G16927" t="n">
        <v>23.1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47102-2024</t>
        </is>
      </c>
      <c r="B16928" s="1" t="n">
        <v>45586</v>
      </c>
      <c r="C16928" s="1" t="n">
        <v>45736</v>
      </c>
      <c r="D16928" t="inlineStr">
        <is>
          <t>VÄRMLANDS LÄN</t>
        </is>
      </c>
      <c r="E16928" t="inlineStr">
        <is>
          <t>HAGFORS</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47193-2024</t>
        </is>
      </c>
      <c r="B16929" s="1" t="n">
        <v>45586</v>
      </c>
      <c r="C16929" s="1" t="n">
        <v>45736</v>
      </c>
      <c r="D16929" t="inlineStr">
        <is>
          <t>VÄRMLANDS LÄN</t>
        </is>
      </c>
      <c r="E16929" t="inlineStr">
        <is>
          <t>ARVIKA</t>
        </is>
      </c>
      <c r="F16929" t="inlineStr">
        <is>
          <t>Bergvik skog väst AB</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47096-2024</t>
        </is>
      </c>
      <c r="B16930" s="1" t="n">
        <v>45586</v>
      </c>
      <c r="C16930" s="1" t="n">
        <v>45736</v>
      </c>
      <c r="D16930" t="inlineStr">
        <is>
          <t>VÄRMLANDS LÄN</t>
        </is>
      </c>
      <c r="E16930" t="inlineStr">
        <is>
          <t>ÅRJÄNG</t>
        </is>
      </c>
      <c r="G16930" t="n">
        <v>12.8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47092-2024</t>
        </is>
      </c>
      <c r="B16931" s="1" t="n">
        <v>45586</v>
      </c>
      <c r="C16931" s="1" t="n">
        <v>45736</v>
      </c>
      <c r="D16931" t="inlineStr">
        <is>
          <t>VÄRMLANDS LÄN</t>
        </is>
      </c>
      <c r="E16931" t="inlineStr">
        <is>
          <t>SUNNE</t>
        </is>
      </c>
      <c r="F16931" t="inlineStr">
        <is>
          <t>Kommuner</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47277-2024</t>
        </is>
      </c>
      <c r="B16932" s="1" t="n">
        <v>45586</v>
      </c>
      <c r="C16932" s="1" t="n">
        <v>45736</v>
      </c>
      <c r="D16932" t="inlineStr">
        <is>
          <t>VÄRMLANDS LÄN</t>
        </is>
      </c>
      <c r="E16932" t="inlineStr">
        <is>
          <t>SUNNE</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47273-2024</t>
        </is>
      </c>
      <c r="B16933" s="1" t="n">
        <v>45586</v>
      </c>
      <c r="C16933" s="1" t="n">
        <v>45736</v>
      </c>
      <c r="D16933" t="inlineStr">
        <is>
          <t>VÄRMLANDS LÄN</t>
        </is>
      </c>
      <c r="E16933" t="inlineStr">
        <is>
          <t>SUNNE</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47261-2024</t>
        </is>
      </c>
      <c r="B16934" s="1" t="n">
        <v>45586</v>
      </c>
      <c r="C16934" s="1" t="n">
        <v>45736</v>
      </c>
      <c r="D16934" t="inlineStr">
        <is>
          <t>VÄRMLANDS LÄN</t>
        </is>
      </c>
      <c r="E16934" t="inlineStr">
        <is>
          <t>FILIPSTAD</t>
        </is>
      </c>
      <c r="F16934" t="inlineStr">
        <is>
          <t>Bergvik skog väst AB</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47188-2024</t>
        </is>
      </c>
      <c r="B16935" s="1" t="n">
        <v>45586</v>
      </c>
      <c r="C16935" s="1" t="n">
        <v>45736</v>
      </c>
      <c r="D16935" t="inlineStr">
        <is>
          <t>VÄRMLANDS LÄN</t>
        </is>
      </c>
      <c r="E16935" t="inlineStr">
        <is>
          <t>ARVIKA</t>
        </is>
      </c>
      <c r="F16935" t="inlineStr">
        <is>
          <t>Bergvik skog väst AB</t>
        </is>
      </c>
      <c r="G16935" t="n">
        <v>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47180-2024</t>
        </is>
      </c>
      <c r="B16936" s="1" t="n">
        <v>45586</v>
      </c>
      <c r="C16936" s="1" t="n">
        <v>45736</v>
      </c>
      <c r="D16936" t="inlineStr">
        <is>
          <t>VÄRMLANDS LÄN</t>
        </is>
      </c>
      <c r="E16936" t="inlineStr">
        <is>
          <t>ARVIKA</t>
        </is>
      </c>
      <c r="F16936" t="inlineStr">
        <is>
          <t>Bergvik skog väst AB</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47156-2024</t>
        </is>
      </c>
      <c r="B16937" s="1" t="n">
        <v>45586</v>
      </c>
      <c r="C16937" s="1" t="n">
        <v>45736</v>
      </c>
      <c r="D16937" t="inlineStr">
        <is>
          <t>VÄRMLANDS LÄN</t>
        </is>
      </c>
      <c r="E16937" t="inlineStr">
        <is>
          <t>HAGFORS</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47107-2024</t>
        </is>
      </c>
      <c r="B16938" s="1" t="n">
        <v>45586</v>
      </c>
      <c r="C16938" s="1" t="n">
        <v>45736</v>
      </c>
      <c r="D16938" t="inlineStr">
        <is>
          <t>VÄRMLANDS LÄN</t>
        </is>
      </c>
      <c r="E16938" t="inlineStr">
        <is>
          <t>SUNNE</t>
        </is>
      </c>
      <c r="F16938" t="inlineStr">
        <is>
          <t>Kommuner</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47005-2024</t>
        </is>
      </c>
      <c r="B16939" s="1" t="n">
        <v>45586</v>
      </c>
      <c r="C16939" s="1" t="n">
        <v>45736</v>
      </c>
      <c r="D16939" t="inlineStr">
        <is>
          <t>VÄRMLANDS LÄN</t>
        </is>
      </c>
      <c r="E16939" t="inlineStr">
        <is>
          <t>TORSBY</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47001-2024</t>
        </is>
      </c>
      <c r="B16940" s="1" t="n">
        <v>45586</v>
      </c>
      <c r="C16940" s="1" t="n">
        <v>45736</v>
      </c>
      <c r="D16940" t="inlineStr">
        <is>
          <t>VÄRMLANDS LÄN</t>
        </is>
      </c>
      <c r="E16940" t="inlineStr">
        <is>
          <t>STORFORS</t>
        </is>
      </c>
      <c r="F16940" t="inlineStr">
        <is>
          <t>Naturvårdsverket</t>
        </is>
      </c>
      <c r="G16940" t="n">
        <v>17.1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46997-2024</t>
        </is>
      </c>
      <c r="B16941" s="1" t="n">
        <v>45586</v>
      </c>
      <c r="C16941" s="1" t="n">
        <v>45736</v>
      </c>
      <c r="D16941" t="inlineStr">
        <is>
          <t>VÄRMLANDS LÄN</t>
        </is>
      </c>
      <c r="E16941" t="inlineStr">
        <is>
          <t>STORFORS</t>
        </is>
      </c>
      <c r="F16941" t="inlineStr">
        <is>
          <t>Naturvårdsverket</t>
        </is>
      </c>
      <c r="G16941" t="n">
        <v>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46999-2024</t>
        </is>
      </c>
      <c r="B16942" s="1" t="n">
        <v>45586</v>
      </c>
      <c r="C16942" s="1" t="n">
        <v>45736</v>
      </c>
      <c r="D16942" t="inlineStr">
        <is>
          <t>VÄRMLANDS LÄN</t>
        </is>
      </c>
      <c r="E16942" t="inlineStr">
        <is>
          <t>STORFORS</t>
        </is>
      </c>
      <c r="F16942" t="inlineStr">
        <is>
          <t>Naturvårdsverket</t>
        </is>
      </c>
      <c r="G16942" t="n">
        <v>11.3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47003-2024</t>
        </is>
      </c>
      <c r="B16943" s="1" t="n">
        <v>45586</v>
      </c>
      <c r="C16943" s="1" t="n">
        <v>45736</v>
      </c>
      <c r="D16943" t="inlineStr">
        <is>
          <t>VÄRMLANDS LÄN</t>
        </is>
      </c>
      <c r="E16943" t="inlineStr">
        <is>
          <t>STORFORS</t>
        </is>
      </c>
      <c r="F16943" t="inlineStr">
        <is>
          <t>Naturvårdsverket</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47021-2024</t>
        </is>
      </c>
      <c r="B16944" s="1" t="n">
        <v>45586</v>
      </c>
      <c r="C16944" s="1" t="n">
        <v>45736</v>
      </c>
      <c r="D16944" t="inlineStr">
        <is>
          <t>VÄRMLANDS LÄN</t>
        </is>
      </c>
      <c r="E16944" t="inlineStr">
        <is>
          <t>ARVIKA</t>
        </is>
      </c>
      <c r="F16944" t="inlineStr">
        <is>
          <t>Bergvik skog väst AB</t>
        </is>
      </c>
      <c r="G16944" t="n">
        <v>4.9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47037-2024</t>
        </is>
      </c>
      <c r="B16945" s="1" t="n">
        <v>45586</v>
      </c>
      <c r="C16945" s="1" t="n">
        <v>45736</v>
      </c>
      <c r="D16945" t="inlineStr">
        <is>
          <t>VÄRMLANDS LÄN</t>
        </is>
      </c>
      <c r="E16945" t="inlineStr">
        <is>
          <t>SÄFFLE</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47041-2024</t>
        </is>
      </c>
      <c r="B16946" s="1" t="n">
        <v>45586</v>
      </c>
      <c r="C16946" s="1" t="n">
        <v>45736</v>
      </c>
      <c r="D16946" t="inlineStr">
        <is>
          <t>VÄRMLANDS LÄN</t>
        </is>
      </c>
      <c r="E16946" t="inlineStr">
        <is>
          <t>ARVIKA</t>
        </is>
      </c>
      <c r="F16946" t="inlineStr">
        <is>
          <t>Bergvik skog väst AB</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47065-2024</t>
        </is>
      </c>
      <c r="B16947" s="1" t="n">
        <v>45586</v>
      </c>
      <c r="C16947" s="1" t="n">
        <v>45736</v>
      </c>
      <c r="D16947" t="inlineStr">
        <is>
          <t>VÄRMLANDS LÄN</t>
        </is>
      </c>
      <c r="E16947" t="inlineStr">
        <is>
          <t>ÅRJÄNG</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47046-2024</t>
        </is>
      </c>
      <c r="B16948" s="1" t="n">
        <v>45586</v>
      </c>
      <c r="C16948" s="1" t="n">
        <v>45736</v>
      </c>
      <c r="D16948" t="inlineStr">
        <is>
          <t>VÄRMLANDS LÄN</t>
        </is>
      </c>
      <c r="E16948" t="inlineStr">
        <is>
          <t>ARVIKA</t>
        </is>
      </c>
      <c r="F16948" t="inlineStr">
        <is>
          <t>Bergvik skog väst AB</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47028-2024</t>
        </is>
      </c>
      <c r="B16949" s="1" t="n">
        <v>45586</v>
      </c>
      <c r="C16949" s="1" t="n">
        <v>45736</v>
      </c>
      <c r="D16949" t="inlineStr">
        <is>
          <t>VÄRMLANDS LÄN</t>
        </is>
      </c>
      <c r="E16949" t="inlineStr">
        <is>
          <t>ÅRJÄNG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47020-2024</t>
        </is>
      </c>
      <c r="B16950" s="1" t="n">
        <v>45586</v>
      </c>
      <c r="C16950" s="1" t="n">
        <v>45736</v>
      </c>
      <c r="D16950" t="inlineStr">
        <is>
          <t>VÄRMLANDS LÄN</t>
        </is>
      </c>
      <c r="E16950" t="inlineStr">
        <is>
          <t>ARVIKA</t>
        </is>
      </c>
      <c r="F16950" t="inlineStr">
        <is>
          <t>Bergvik skog väst AB</t>
        </is>
      </c>
      <c r="G16950" t="n">
        <v>4.2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47006-2024</t>
        </is>
      </c>
      <c r="B16951" s="1" t="n">
        <v>45586</v>
      </c>
      <c r="C16951" s="1" t="n">
        <v>45736</v>
      </c>
      <c r="D16951" t="inlineStr">
        <is>
          <t>VÄRMLANDS LÄN</t>
        </is>
      </c>
      <c r="E16951" t="inlineStr">
        <is>
          <t>TORSBY</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47002-2024</t>
        </is>
      </c>
      <c r="B16952" s="1" t="n">
        <v>45586</v>
      </c>
      <c r="C16952" s="1" t="n">
        <v>45736</v>
      </c>
      <c r="D16952" t="inlineStr">
        <is>
          <t>VÄRMLANDS LÄN</t>
        </is>
      </c>
      <c r="E16952" t="inlineStr">
        <is>
          <t>FILIPSTAD</t>
        </is>
      </c>
      <c r="F16952" t="inlineStr">
        <is>
          <t>Bergvik skog väst AB</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46998-2024</t>
        </is>
      </c>
      <c r="B16953" s="1" t="n">
        <v>45586</v>
      </c>
      <c r="C16953" s="1" t="n">
        <v>45736</v>
      </c>
      <c r="D16953" t="inlineStr">
        <is>
          <t>VÄRMLANDS LÄN</t>
        </is>
      </c>
      <c r="E16953" t="inlineStr">
        <is>
          <t>KIL</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46957-2024</t>
        </is>
      </c>
      <c r="B16954" s="1" t="n">
        <v>45586</v>
      </c>
      <c r="C16954" s="1" t="n">
        <v>45736</v>
      </c>
      <c r="D16954" t="inlineStr">
        <is>
          <t>VÄRMLANDS LÄN</t>
        </is>
      </c>
      <c r="E16954" t="inlineStr">
        <is>
          <t>ÅRJÄNG</t>
        </is>
      </c>
      <c r="G16954" t="n">
        <v>3.1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47227-2024</t>
        </is>
      </c>
      <c r="B16955" s="1" t="n">
        <v>45586</v>
      </c>
      <c r="C16955" s="1" t="n">
        <v>45736</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47097-2024</t>
        </is>
      </c>
      <c r="B16956" s="1" t="n">
        <v>45586</v>
      </c>
      <c r="C16956" s="1" t="n">
        <v>45736</v>
      </c>
      <c r="D16956" t="inlineStr">
        <is>
          <t>VÄRMLANDS LÄN</t>
        </is>
      </c>
      <c r="E16956" t="inlineStr">
        <is>
          <t>SUNNE</t>
        </is>
      </c>
      <c r="F16956" t="inlineStr">
        <is>
          <t>Kommuner</t>
        </is>
      </c>
      <c r="G16956" t="n">
        <v>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47117-2024</t>
        </is>
      </c>
      <c r="B16957" s="1" t="n">
        <v>45586</v>
      </c>
      <c r="C16957" s="1" t="n">
        <v>45736</v>
      </c>
      <c r="D16957" t="inlineStr">
        <is>
          <t>VÄRMLANDS LÄN</t>
        </is>
      </c>
      <c r="E16957" t="inlineStr">
        <is>
          <t>SUNNE</t>
        </is>
      </c>
      <c r="F16957" t="inlineStr">
        <is>
          <t>Kommuner</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47121-2024</t>
        </is>
      </c>
      <c r="B16958" s="1" t="n">
        <v>45586</v>
      </c>
      <c r="C16958" s="1" t="n">
        <v>45736</v>
      </c>
      <c r="D16958" t="inlineStr">
        <is>
          <t>VÄRMLANDS LÄN</t>
        </is>
      </c>
      <c r="E16958" t="inlineStr">
        <is>
          <t>ÅRJÄNG</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47145-2024</t>
        </is>
      </c>
      <c r="B16959" s="1" t="n">
        <v>45586</v>
      </c>
      <c r="C16959" s="1" t="n">
        <v>45736</v>
      </c>
      <c r="D16959" t="inlineStr">
        <is>
          <t>VÄRMLANDS LÄN</t>
        </is>
      </c>
      <c r="E16959" t="inlineStr">
        <is>
          <t>EDA</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47162-2024</t>
        </is>
      </c>
      <c r="B16960" s="1" t="n">
        <v>45586</v>
      </c>
      <c r="C16960" s="1" t="n">
        <v>45736</v>
      </c>
      <c r="D16960" t="inlineStr">
        <is>
          <t>VÄRMLANDS LÄN</t>
        </is>
      </c>
      <c r="E16960" t="inlineStr">
        <is>
          <t>SUNNE</t>
        </is>
      </c>
      <c r="F16960" t="inlineStr">
        <is>
          <t>Kommuner</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47166-2024</t>
        </is>
      </c>
      <c r="B16961" s="1" t="n">
        <v>45586</v>
      </c>
      <c r="C16961" s="1" t="n">
        <v>45736</v>
      </c>
      <c r="D16961" t="inlineStr">
        <is>
          <t>VÄRMLANDS LÄN</t>
        </is>
      </c>
      <c r="E16961" t="inlineStr">
        <is>
          <t>SUNNE</t>
        </is>
      </c>
      <c r="F16961" t="inlineStr">
        <is>
          <t>Kommuner</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47226-2024</t>
        </is>
      </c>
      <c r="B16962" s="1" t="n">
        <v>45586</v>
      </c>
      <c r="C16962" s="1" t="n">
        <v>45736</v>
      </c>
      <c r="D16962" t="inlineStr">
        <is>
          <t>VÄRMLANDS LÄN</t>
        </is>
      </c>
      <c r="E16962" t="inlineStr">
        <is>
          <t>HAGFORS</t>
        </is>
      </c>
      <c r="F16962" t="inlineStr">
        <is>
          <t>Bergvik skog väst AB</t>
        </is>
      </c>
      <c r="G16962" t="n">
        <v>12.3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47263-2024</t>
        </is>
      </c>
      <c r="B16963" s="1" t="n">
        <v>45586</v>
      </c>
      <c r="C16963" s="1" t="n">
        <v>45736</v>
      </c>
      <c r="D16963" t="inlineStr">
        <is>
          <t>VÄRMLANDS LÄN</t>
        </is>
      </c>
      <c r="E16963" t="inlineStr">
        <is>
          <t>FILIPSTAD</t>
        </is>
      </c>
      <c r="F16963" t="inlineStr">
        <is>
          <t>Bergvik skog väst AB</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47578-2024</t>
        </is>
      </c>
      <c r="B16964" s="1" t="n">
        <v>45587</v>
      </c>
      <c r="C16964" s="1" t="n">
        <v>45736</v>
      </c>
      <c r="D16964" t="inlineStr">
        <is>
          <t>VÄRMLANDS LÄN</t>
        </is>
      </c>
      <c r="E16964" t="inlineStr">
        <is>
          <t>ARVIKA</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47553-2024</t>
        </is>
      </c>
      <c r="B16965" s="1" t="n">
        <v>45587</v>
      </c>
      <c r="C16965" s="1" t="n">
        <v>45736</v>
      </c>
      <c r="D16965" t="inlineStr">
        <is>
          <t>VÄRMLANDS LÄN</t>
        </is>
      </c>
      <c r="E16965" t="inlineStr">
        <is>
          <t>TORSBY</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47540-2024</t>
        </is>
      </c>
      <c r="B16966" s="1" t="n">
        <v>45587</v>
      </c>
      <c r="C16966" s="1" t="n">
        <v>45736</v>
      </c>
      <c r="D16966" t="inlineStr">
        <is>
          <t>VÄRMLANDS LÄN</t>
        </is>
      </c>
      <c r="E16966" t="inlineStr">
        <is>
          <t>ARVIKA</t>
        </is>
      </c>
      <c r="F16966" t="inlineStr">
        <is>
          <t>Bergvik skog väst AB</t>
        </is>
      </c>
      <c r="G16966" t="n">
        <v>3.9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47533-2024</t>
        </is>
      </c>
      <c r="B16967" s="1" t="n">
        <v>45587</v>
      </c>
      <c r="C16967" s="1" t="n">
        <v>45736</v>
      </c>
      <c r="D16967" t="inlineStr">
        <is>
          <t>VÄRMLANDS LÄN</t>
        </is>
      </c>
      <c r="E16967" t="inlineStr">
        <is>
          <t>ARVIKA</t>
        </is>
      </c>
      <c r="F16967" t="inlineStr">
        <is>
          <t>Bergvik skog väst AB</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47498-2024</t>
        </is>
      </c>
      <c r="B16968" s="1" t="n">
        <v>45587</v>
      </c>
      <c r="C16968" s="1" t="n">
        <v>45736</v>
      </c>
      <c r="D16968" t="inlineStr">
        <is>
          <t>VÄRMLANDS LÄN</t>
        </is>
      </c>
      <c r="E16968" t="inlineStr">
        <is>
          <t>ARVIKA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47473-2024</t>
        </is>
      </c>
      <c r="B16969" s="1" t="n">
        <v>45587</v>
      </c>
      <c r="C16969" s="1" t="n">
        <v>45736</v>
      </c>
      <c r="D16969" t="inlineStr">
        <is>
          <t>VÄRMLANDS LÄN</t>
        </is>
      </c>
      <c r="E16969" t="inlineStr">
        <is>
          <t>ARVIKA</t>
        </is>
      </c>
      <c r="F16969" t="inlineStr">
        <is>
          <t>Bergvik skog väst AB</t>
        </is>
      </c>
      <c r="G16969" t="n">
        <v>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47465-2024</t>
        </is>
      </c>
      <c r="B16970" s="1" t="n">
        <v>45587</v>
      </c>
      <c r="C16970" s="1" t="n">
        <v>45736</v>
      </c>
      <c r="D16970" t="inlineStr">
        <is>
          <t>VÄRMLANDS LÄN</t>
        </is>
      </c>
      <c r="E16970" t="inlineStr">
        <is>
          <t>TORSBY</t>
        </is>
      </c>
      <c r="F16970" t="inlineStr">
        <is>
          <t>Övriga Aktiebolag</t>
        </is>
      </c>
      <c r="G16970" t="n">
        <v>4.6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47461-2024</t>
        </is>
      </c>
      <c r="B16971" s="1" t="n">
        <v>45587</v>
      </c>
      <c r="C16971" s="1" t="n">
        <v>45736</v>
      </c>
      <c r="D16971" t="inlineStr">
        <is>
          <t>VÄRMLANDS LÄN</t>
        </is>
      </c>
      <c r="E16971" t="inlineStr">
        <is>
          <t>ARVIKA</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47489-2024</t>
        </is>
      </c>
      <c r="B16972" s="1" t="n">
        <v>45587</v>
      </c>
      <c r="C16972" s="1" t="n">
        <v>45736</v>
      </c>
      <c r="D16972" t="inlineStr">
        <is>
          <t>VÄRMLANDS LÄN</t>
        </is>
      </c>
      <c r="E16972" t="inlineStr">
        <is>
          <t>ARVIKA</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47442-2024</t>
        </is>
      </c>
      <c r="B16973" s="1" t="n">
        <v>45587</v>
      </c>
      <c r="C16973" s="1" t="n">
        <v>45736</v>
      </c>
      <c r="D16973" t="inlineStr">
        <is>
          <t>VÄRMLANDS LÄN</t>
        </is>
      </c>
      <c r="E16973" t="inlineStr">
        <is>
          <t>FILIPSTAD</t>
        </is>
      </c>
      <c r="F16973" t="inlineStr">
        <is>
          <t>Bergvik skog väst AB</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47399-2024</t>
        </is>
      </c>
      <c r="B16974" s="1" t="n">
        <v>45587</v>
      </c>
      <c r="C16974" s="1" t="n">
        <v>45736</v>
      </c>
      <c r="D16974" t="inlineStr">
        <is>
          <t>VÄRMLANDS LÄN</t>
        </is>
      </c>
      <c r="E16974" t="inlineStr">
        <is>
          <t>ARVIKA</t>
        </is>
      </c>
      <c r="F16974" t="inlineStr">
        <is>
          <t>Bergvik skog väst AB</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47316-2024</t>
        </is>
      </c>
      <c r="B16975" s="1" t="n">
        <v>45587</v>
      </c>
      <c r="C16975" s="1" t="n">
        <v>45736</v>
      </c>
      <c r="D16975" t="inlineStr">
        <is>
          <t>VÄRMLANDS LÄN</t>
        </is>
      </c>
      <c r="E16975" t="inlineStr">
        <is>
          <t>TORSBY</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47365-2024</t>
        </is>
      </c>
      <c r="B16976" s="1" t="n">
        <v>45587</v>
      </c>
      <c r="C16976" s="1" t="n">
        <v>45736</v>
      </c>
      <c r="D16976" t="inlineStr">
        <is>
          <t>VÄRMLANDS LÄN</t>
        </is>
      </c>
      <c r="E16976" t="inlineStr">
        <is>
          <t>ÅRJÄNG</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47476-2024</t>
        </is>
      </c>
      <c r="B16977" s="1" t="n">
        <v>45587</v>
      </c>
      <c r="C16977" s="1" t="n">
        <v>45736</v>
      </c>
      <c r="D16977" t="inlineStr">
        <is>
          <t>VÄRMLANDS LÄN</t>
        </is>
      </c>
      <c r="E16977" t="inlineStr">
        <is>
          <t>HAGFORS</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47463-2024</t>
        </is>
      </c>
      <c r="B16978" s="1" t="n">
        <v>45587</v>
      </c>
      <c r="C16978" s="1" t="n">
        <v>45736</v>
      </c>
      <c r="D16978" t="inlineStr">
        <is>
          <t>VÄRMLANDS LÄN</t>
        </is>
      </c>
      <c r="E16978" t="inlineStr">
        <is>
          <t>HAGFORS</t>
        </is>
      </c>
      <c r="G16978" t="n">
        <v>8.699999999999999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47443-2024</t>
        </is>
      </c>
      <c r="B16979" s="1" t="n">
        <v>45587</v>
      </c>
      <c r="C16979" s="1" t="n">
        <v>45736</v>
      </c>
      <c r="D16979" t="inlineStr">
        <is>
          <t>VÄRMLANDS LÄN</t>
        </is>
      </c>
      <c r="E16979" t="inlineStr">
        <is>
          <t>HAGFORS</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47439-2024</t>
        </is>
      </c>
      <c r="B16980" s="1" t="n">
        <v>45587</v>
      </c>
      <c r="C16980" s="1" t="n">
        <v>45736</v>
      </c>
      <c r="D16980" t="inlineStr">
        <is>
          <t>VÄRMLANDS LÄN</t>
        </is>
      </c>
      <c r="E16980" t="inlineStr">
        <is>
          <t>FILIPSTAD</t>
        </is>
      </c>
      <c r="F16980" t="inlineStr">
        <is>
          <t>Bergvik skog väst AB</t>
        </is>
      </c>
      <c r="G16980" t="n">
        <v>23.3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47435-2024</t>
        </is>
      </c>
      <c r="B16981" s="1" t="n">
        <v>45587</v>
      </c>
      <c r="C16981" s="1" t="n">
        <v>45736</v>
      </c>
      <c r="D16981" t="inlineStr">
        <is>
          <t>VÄRMLANDS LÄN</t>
        </is>
      </c>
      <c r="E16981" t="inlineStr">
        <is>
          <t>HAGFORS</t>
        </is>
      </c>
      <c r="F16981" t="inlineStr">
        <is>
          <t>Bergvik skog väst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47418-2024</t>
        </is>
      </c>
      <c r="B16982" s="1" t="n">
        <v>45587</v>
      </c>
      <c r="C16982" s="1" t="n">
        <v>45736</v>
      </c>
      <c r="D16982" t="inlineStr">
        <is>
          <t>VÄRMLANDS LÄN</t>
        </is>
      </c>
      <c r="E16982" t="inlineStr">
        <is>
          <t>HAGFORS</t>
        </is>
      </c>
      <c r="F16982" t="inlineStr">
        <is>
          <t>Bergvik skog väst AB</t>
        </is>
      </c>
      <c r="G16982" t="n">
        <v>4.4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47409-2024</t>
        </is>
      </c>
      <c r="B16983" s="1" t="n">
        <v>45587</v>
      </c>
      <c r="C16983" s="1" t="n">
        <v>45736</v>
      </c>
      <c r="D16983" t="inlineStr">
        <is>
          <t>VÄRMLANDS LÄN</t>
        </is>
      </c>
      <c r="E16983" t="inlineStr">
        <is>
          <t>HAGFORS</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47506-2024</t>
        </is>
      </c>
      <c r="B16984" s="1" t="n">
        <v>45587</v>
      </c>
      <c r="C16984" s="1" t="n">
        <v>45736</v>
      </c>
      <c r="D16984" t="inlineStr">
        <is>
          <t>VÄRMLANDS LÄN</t>
        </is>
      </c>
      <c r="E16984" t="inlineStr">
        <is>
          <t>HAGFORS</t>
        </is>
      </c>
      <c r="F16984" t="inlineStr">
        <is>
          <t>Bergvik skog väst AB</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47510-2024</t>
        </is>
      </c>
      <c r="B16985" s="1" t="n">
        <v>45587</v>
      </c>
      <c r="C16985" s="1" t="n">
        <v>45736</v>
      </c>
      <c r="D16985" t="inlineStr">
        <is>
          <t>VÄRMLANDS LÄN</t>
        </is>
      </c>
      <c r="E16985" t="inlineStr">
        <is>
          <t>HAGFORS</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47295-2024</t>
        </is>
      </c>
      <c r="B16986" s="1" t="n">
        <v>45587</v>
      </c>
      <c r="C16986" s="1" t="n">
        <v>45736</v>
      </c>
      <c r="D16986" t="inlineStr">
        <is>
          <t>VÄRMLANDS LÄN</t>
        </is>
      </c>
      <c r="E16986" t="inlineStr">
        <is>
          <t>EDA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47534-2024</t>
        </is>
      </c>
      <c r="B16987" s="1" t="n">
        <v>45587</v>
      </c>
      <c r="C16987" s="1" t="n">
        <v>45736</v>
      </c>
      <c r="D16987" t="inlineStr">
        <is>
          <t>VÄRMLANDS LÄN</t>
        </is>
      </c>
      <c r="E16987" t="inlineStr">
        <is>
          <t>ARVIKA</t>
        </is>
      </c>
      <c r="F16987" t="inlineStr">
        <is>
          <t>Bergvik skog väst AB</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47538-2024</t>
        </is>
      </c>
      <c r="B16988" s="1" t="n">
        <v>45587</v>
      </c>
      <c r="C16988" s="1" t="n">
        <v>45736</v>
      </c>
      <c r="D16988" t="inlineStr">
        <is>
          <t>VÄRMLANDS LÄN</t>
        </is>
      </c>
      <c r="E16988" t="inlineStr">
        <is>
          <t>ARVIKA</t>
        </is>
      </c>
      <c r="F16988" t="inlineStr">
        <is>
          <t>Bergvik skog väst AB</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47561-2024</t>
        </is>
      </c>
      <c r="B16989" s="1" t="n">
        <v>45587</v>
      </c>
      <c r="C16989" s="1" t="n">
        <v>45736</v>
      </c>
      <c r="D16989" t="inlineStr">
        <is>
          <t>VÄRMLANDS LÄN</t>
        </is>
      </c>
      <c r="E16989" t="inlineStr">
        <is>
          <t>ARVIKA</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47452-2024</t>
        </is>
      </c>
      <c r="B16990" s="1" t="n">
        <v>45587</v>
      </c>
      <c r="C16990" s="1" t="n">
        <v>45736</v>
      </c>
      <c r="D16990" t="inlineStr">
        <is>
          <t>VÄRMLANDS LÄN</t>
        </is>
      </c>
      <c r="E16990" t="inlineStr">
        <is>
          <t>TORSBY</t>
        </is>
      </c>
      <c r="F16990" t="inlineStr">
        <is>
          <t>Övriga Aktiebolag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47436-2024</t>
        </is>
      </c>
      <c r="B16991" s="1" t="n">
        <v>45587</v>
      </c>
      <c r="C16991" s="1" t="n">
        <v>45736</v>
      </c>
      <c r="D16991" t="inlineStr">
        <is>
          <t>VÄRMLANDS LÄN</t>
        </is>
      </c>
      <c r="E16991" t="inlineStr">
        <is>
          <t>FILIPSTAD</t>
        </is>
      </c>
      <c r="F16991" t="inlineStr">
        <is>
          <t>Bergvik skog väst AB</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47432-2024</t>
        </is>
      </c>
      <c r="B16992" s="1" t="n">
        <v>45587</v>
      </c>
      <c r="C16992" s="1" t="n">
        <v>45736</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47425-2024</t>
        </is>
      </c>
      <c r="B16993" s="1" t="n">
        <v>45587</v>
      </c>
      <c r="C16993" s="1" t="n">
        <v>45736</v>
      </c>
      <c r="D16993" t="inlineStr">
        <is>
          <t>VÄRMLANDS LÄN</t>
        </is>
      </c>
      <c r="E16993" t="inlineStr">
        <is>
          <t>HAGFORS</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47410-2024</t>
        </is>
      </c>
      <c r="B16994" s="1" t="n">
        <v>45587</v>
      </c>
      <c r="C16994" s="1" t="n">
        <v>45736</v>
      </c>
      <c r="D16994" t="inlineStr">
        <is>
          <t>VÄRMLANDS LÄN</t>
        </is>
      </c>
      <c r="E16994" t="inlineStr">
        <is>
          <t>HAGFORS</t>
        </is>
      </c>
      <c r="F16994" t="inlineStr">
        <is>
          <t>Bergvik skog väst AB</t>
        </is>
      </c>
      <c r="G16994" t="n">
        <v>4.4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47625-2024</t>
        </is>
      </c>
      <c r="B16995" s="1" t="n">
        <v>45588</v>
      </c>
      <c r="C16995" s="1" t="n">
        <v>45736</v>
      </c>
      <c r="D16995" t="inlineStr">
        <is>
          <t>VÄRMLANDS LÄN</t>
        </is>
      </c>
      <c r="E16995" t="inlineStr">
        <is>
          <t>MUNKFORS</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47728-2024</t>
        </is>
      </c>
      <c r="B16996" s="1" t="n">
        <v>45588</v>
      </c>
      <c r="C16996" s="1" t="n">
        <v>45736</v>
      </c>
      <c r="D16996" t="inlineStr">
        <is>
          <t>VÄRMLANDS LÄN</t>
        </is>
      </c>
      <c r="E16996" t="inlineStr">
        <is>
          <t>STORFORS</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47732-2024</t>
        </is>
      </c>
      <c r="B16997" s="1" t="n">
        <v>45588</v>
      </c>
      <c r="C16997" s="1" t="n">
        <v>45736</v>
      </c>
      <c r="D16997" t="inlineStr">
        <is>
          <t>VÄRMLANDS LÄN</t>
        </is>
      </c>
      <c r="E16997" t="inlineStr">
        <is>
          <t>STORFORS</t>
        </is>
      </c>
      <c r="G16997" t="n">
        <v>3.3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47736-2024</t>
        </is>
      </c>
      <c r="B16998" s="1" t="n">
        <v>45588</v>
      </c>
      <c r="C16998" s="1" t="n">
        <v>45736</v>
      </c>
      <c r="D16998" t="inlineStr">
        <is>
          <t>VÄRMLANDS LÄN</t>
        </is>
      </c>
      <c r="E16998" t="inlineStr">
        <is>
          <t>STORFORS</t>
        </is>
      </c>
      <c r="G16998" t="n">
        <v>7.1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47672-2024</t>
        </is>
      </c>
      <c r="B16999" s="1" t="n">
        <v>45588</v>
      </c>
      <c r="C16999" s="1" t="n">
        <v>45736</v>
      </c>
      <c r="D16999" t="inlineStr">
        <is>
          <t>VÄRMLANDS LÄN</t>
        </is>
      </c>
      <c r="E16999" t="inlineStr">
        <is>
          <t>ARVIKA</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47713-2024</t>
        </is>
      </c>
      <c r="B17000" s="1" t="n">
        <v>45588</v>
      </c>
      <c r="C17000" s="1" t="n">
        <v>45736</v>
      </c>
      <c r="D17000" t="inlineStr">
        <is>
          <t>VÄRMLANDS LÄN</t>
        </is>
      </c>
      <c r="E17000" t="inlineStr">
        <is>
          <t>STORFORS</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47750-2024</t>
        </is>
      </c>
      <c r="B17001" s="1" t="n">
        <v>45588</v>
      </c>
      <c r="C17001" s="1" t="n">
        <v>45736</v>
      </c>
      <c r="D17001" t="inlineStr">
        <is>
          <t>VÄRMLANDS LÄN</t>
        </is>
      </c>
      <c r="E17001" t="inlineStr">
        <is>
          <t>EDA</t>
        </is>
      </c>
      <c r="G17001" t="n">
        <v>6.3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47755-2024</t>
        </is>
      </c>
      <c r="B17002" s="1" t="n">
        <v>45588</v>
      </c>
      <c r="C17002" s="1" t="n">
        <v>45736</v>
      </c>
      <c r="D17002" t="inlineStr">
        <is>
          <t>VÄRMLANDS LÄN</t>
        </is>
      </c>
      <c r="E17002" t="inlineStr">
        <is>
          <t>TORSBY</t>
        </is>
      </c>
      <c r="F17002" t="inlineStr">
        <is>
          <t>Bergvik skog väst AB</t>
        </is>
      </c>
      <c r="G17002" t="n">
        <v>6.1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47759-2024</t>
        </is>
      </c>
      <c r="B17003" s="1" t="n">
        <v>45588</v>
      </c>
      <c r="C17003" s="1" t="n">
        <v>45736</v>
      </c>
      <c r="D17003" t="inlineStr">
        <is>
          <t>VÄRMLANDS LÄN</t>
        </is>
      </c>
      <c r="E17003" t="inlineStr">
        <is>
          <t>EDA</t>
        </is>
      </c>
      <c r="G17003" t="n">
        <v>3.7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47651-2024</t>
        </is>
      </c>
      <c r="B17004" s="1" t="n">
        <v>45588</v>
      </c>
      <c r="C17004" s="1" t="n">
        <v>45736</v>
      </c>
      <c r="D17004" t="inlineStr">
        <is>
          <t>VÄRMLANDS LÄN</t>
        </is>
      </c>
      <c r="E17004" t="inlineStr">
        <is>
          <t>TORSBY</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47623-2024</t>
        </is>
      </c>
      <c r="B17005" s="1" t="n">
        <v>45588</v>
      </c>
      <c r="C17005" s="1" t="n">
        <v>45736</v>
      </c>
      <c r="D17005" t="inlineStr">
        <is>
          <t>VÄRMLANDS LÄN</t>
        </is>
      </c>
      <c r="E17005" t="inlineStr">
        <is>
          <t>ÅRJÄNG</t>
        </is>
      </c>
      <c r="F17005" t="inlineStr">
        <is>
          <t>Kommuner</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47619-2024</t>
        </is>
      </c>
      <c r="B17006" s="1" t="n">
        <v>45588</v>
      </c>
      <c r="C17006" s="1" t="n">
        <v>45736</v>
      </c>
      <c r="D17006" t="inlineStr">
        <is>
          <t>VÄRMLANDS LÄN</t>
        </is>
      </c>
      <c r="E17006" t="inlineStr">
        <is>
          <t>TORSBY</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47803-2024</t>
        </is>
      </c>
      <c r="B17007" s="1" t="n">
        <v>45588</v>
      </c>
      <c r="C17007" s="1" t="n">
        <v>45736</v>
      </c>
      <c r="D17007" t="inlineStr">
        <is>
          <t>VÄRMLANDS LÄN</t>
        </is>
      </c>
      <c r="E17007" t="inlineStr">
        <is>
          <t>EDA</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47835-2024</t>
        </is>
      </c>
      <c r="B17008" s="1" t="n">
        <v>45588</v>
      </c>
      <c r="C17008" s="1" t="n">
        <v>45736</v>
      </c>
      <c r="D17008" t="inlineStr">
        <is>
          <t>VÄRMLANDS LÄN</t>
        </is>
      </c>
      <c r="E17008" t="inlineStr">
        <is>
          <t>TORSBY</t>
        </is>
      </c>
      <c r="F17008" t="inlineStr">
        <is>
          <t>Bergvik skog väst AB</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47839-2024</t>
        </is>
      </c>
      <c r="B17009" s="1" t="n">
        <v>45588</v>
      </c>
      <c r="C17009" s="1" t="n">
        <v>45736</v>
      </c>
      <c r="D17009" t="inlineStr">
        <is>
          <t>VÄRMLANDS LÄN</t>
        </is>
      </c>
      <c r="E17009" t="inlineStr">
        <is>
          <t>TORSBY</t>
        </is>
      </c>
      <c r="F17009" t="inlineStr">
        <is>
          <t>Bergvik skog väst AB</t>
        </is>
      </c>
      <c r="G17009" t="n">
        <v>9.5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47863-2024</t>
        </is>
      </c>
      <c r="B17010" s="1" t="n">
        <v>45588</v>
      </c>
      <c r="C17010" s="1" t="n">
        <v>45736</v>
      </c>
      <c r="D17010" t="inlineStr">
        <is>
          <t>VÄRMLANDS LÄN</t>
        </is>
      </c>
      <c r="E17010" t="inlineStr">
        <is>
          <t>TORSBY</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47890-2024</t>
        </is>
      </c>
      <c r="B17011" s="1" t="n">
        <v>45588</v>
      </c>
      <c r="C17011" s="1" t="n">
        <v>45736</v>
      </c>
      <c r="D17011" t="inlineStr">
        <is>
          <t>VÄRMLANDS LÄN</t>
        </is>
      </c>
      <c r="E17011" t="inlineStr">
        <is>
          <t>FILIPSTAD</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47828-2024</t>
        </is>
      </c>
      <c r="B17012" s="1" t="n">
        <v>45588</v>
      </c>
      <c r="C17012" s="1" t="n">
        <v>45736</v>
      </c>
      <c r="D17012" t="inlineStr">
        <is>
          <t>VÄRMLANDS LÄN</t>
        </is>
      </c>
      <c r="E17012" t="inlineStr">
        <is>
          <t>EDA</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47694-2024</t>
        </is>
      </c>
      <c r="B17013" s="1" t="n">
        <v>45588</v>
      </c>
      <c r="C17013" s="1" t="n">
        <v>45736</v>
      </c>
      <c r="D17013" t="inlineStr">
        <is>
          <t>VÄRMLANDS LÄN</t>
        </is>
      </c>
      <c r="E17013" t="inlineStr">
        <is>
          <t>HAGFORS</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48185-2024</t>
        </is>
      </c>
      <c r="B17014" s="1" t="n">
        <v>45589</v>
      </c>
      <c r="C17014" s="1" t="n">
        <v>45736</v>
      </c>
      <c r="D17014" t="inlineStr">
        <is>
          <t>VÄRMLANDS LÄN</t>
        </is>
      </c>
      <c r="E17014" t="inlineStr">
        <is>
          <t>TORSBY</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48047-2024</t>
        </is>
      </c>
      <c r="B17015" s="1" t="n">
        <v>45589</v>
      </c>
      <c r="C17015" s="1" t="n">
        <v>45736</v>
      </c>
      <c r="D17015" t="inlineStr">
        <is>
          <t>VÄRMLANDS LÄN</t>
        </is>
      </c>
      <c r="E17015" t="inlineStr">
        <is>
          <t>ARVIKA</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48067-2024</t>
        </is>
      </c>
      <c r="B17016" s="1" t="n">
        <v>45589</v>
      </c>
      <c r="C17016" s="1" t="n">
        <v>45736</v>
      </c>
      <c r="D17016" t="inlineStr">
        <is>
          <t>VÄRMLANDS LÄN</t>
        </is>
      </c>
      <c r="E17016" t="inlineStr">
        <is>
          <t>EDA</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48068-2024</t>
        </is>
      </c>
      <c r="B17017" s="1" t="n">
        <v>45589</v>
      </c>
      <c r="C17017" s="1" t="n">
        <v>45736</v>
      </c>
      <c r="D17017" t="inlineStr">
        <is>
          <t>VÄRMLANDS LÄN</t>
        </is>
      </c>
      <c r="E17017" t="inlineStr">
        <is>
          <t>HAGFORS</t>
        </is>
      </c>
      <c r="F17017" t="inlineStr">
        <is>
          <t>Bergvik skog väst AB</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48052-2024</t>
        </is>
      </c>
      <c r="B17018" s="1" t="n">
        <v>45589</v>
      </c>
      <c r="C17018" s="1" t="n">
        <v>45736</v>
      </c>
      <c r="D17018" t="inlineStr">
        <is>
          <t>VÄRMLANDS LÄN</t>
        </is>
      </c>
      <c r="E17018" t="inlineStr">
        <is>
          <t>ARVIKA</t>
        </is>
      </c>
      <c r="G17018" t="n">
        <v>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47945-2024</t>
        </is>
      </c>
      <c r="B17019" s="1" t="n">
        <v>45589</v>
      </c>
      <c r="C17019" s="1" t="n">
        <v>45736</v>
      </c>
      <c r="D17019" t="inlineStr">
        <is>
          <t>VÄRMLANDS LÄN</t>
        </is>
      </c>
      <c r="E17019" t="inlineStr">
        <is>
          <t>ARVIKA</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47961-2024</t>
        </is>
      </c>
      <c r="B17020" s="1" t="n">
        <v>45589</v>
      </c>
      <c r="C17020" s="1" t="n">
        <v>45736</v>
      </c>
      <c r="D17020" t="inlineStr">
        <is>
          <t>VÄRMLANDS LÄN</t>
        </is>
      </c>
      <c r="E17020" t="inlineStr">
        <is>
          <t>HAGFORS</t>
        </is>
      </c>
      <c r="F17020" t="inlineStr">
        <is>
          <t>Bergvik skog väst AB</t>
        </is>
      </c>
      <c r="G17020" t="n">
        <v>18.9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48024-2024</t>
        </is>
      </c>
      <c r="B17021" s="1" t="n">
        <v>45589</v>
      </c>
      <c r="C17021" s="1" t="n">
        <v>45736</v>
      </c>
      <c r="D17021" t="inlineStr">
        <is>
          <t>VÄRMLANDS LÄN</t>
        </is>
      </c>
      <c r="E17021" t="inlineStr">
        <is>
          <t>HAGFORS</t>
        </is>
      </c>
      <c r="F17021" t="inlineStr">
        <is>
          <t>Bergvik skog väst AB</t>
        </is>
      </c>
      <c r="G17021" t="n">
        <v>4.9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47992-2024</t>
        </is>
      </c>
      <c r="B17022" s="1" t="n">
        <v>45589</v>
      </c>
      <c r="C17022" s="1" t="n">
        <v>45736</v>
      </c>
      <c r="D17022" t="inlineStr">
        <is>
          <t>VÄRMLANDS LÄN</t>
        </is>
      </c>
      <c r="E17022" t="inlineStr">
        <is>
          <t>SÄFFLE</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48160-2024</t>
        </is>
      </c>
      <c r="B17023" s="1" t="n">
        <v>45589</v>
      </c>
      <c r="C17023" s="1" t="n">
        <v>45736</v>
      </c>
      <c r="D17023" t="inlineStr">
        <is>
          <t>VÄRMLANDS LÄN</t>
        </is>
      </c>
      <c r="E17023" t="inlineStr">
        <is>
          <t>TORSBY</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48276-2024</t>
        </is>
      </c>
      <c r="B17024" s="1" t="n">
        <v>45590</v>
      </c>
      <c r="C17024" s="1" t="n">
        <v>45736</v>
      </c>
      <c r="D17024" t="inlineStr">
        <is>
          <t>VÄRMLANDS LÄN</t>
        </is>
      </c>
      <c r="E17024" t="inlineStr">
        <is>
          <t>HAGFORS</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48404-2024</t>
        </is>
      </c>
      <c r="B17025" s="1" t="n">
        <v>45590</v>
      </c>
      <c r="C17025" s="1" t="n">
        <v>45736</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48408-2024</t>
        </is>
      </c>
      <c r="B17026" s="1" t="n">
        <v>45590</v>
      </c>
      <c r="C17026" s="1" t="n">
        <v>45736</v>
      </c>
      <c r="D17026" t="inlineStr">
        <is>
          <t>VÄRMLANDS LÄN</t>
        </is>
      </c>
      <c r="E17026" t="inlineStr">
        <is>
          <t>FILIPSTAD</t>
        </is>
      </c>
      <c r="F17026" t="inlineStr">
        <is>
          <t>Bergvik skog väst AB</t>
        </is>
      </c>
      <c r="G17026" t="n">
        <v>29.4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48412-2024</t>
        </is>
      </c>
      <c r="B17027" s="1" t="n">
        <v>45590</v>
      </c>
      <c r="C17027" s="1" t="n">
        <v>45736</v>
      </c>
      <c r="D17027" t="inlineStr">
        <is>
          <t>VÄRMLANDS LÄN</t>
        </is>
      </c>
      <c r="E17027" t="inlineStr">
        <is>
          <t>SUNNE</t>
        </is>
      </c>
      <c r="F17027" t="inlineStr">
        <is>
          <t>Bergvik skog väst AB</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48424-2024</t>
        </is>
      </c>
      <c r="B17028" s="1" t="n">
        <v>45590</v>
      </c>
      <c r="C17028" s="1" t="n">
        <v>45736</v>
      </c>
      <c r="D17028" t="inlineStr">
        <is>
          <t>VÄRMLANDS LÄN</t>
        </is>
      </c>
      <c r="E17028" t="inlineStr">
        <is>
          <t>SUNNE</t>
        </is>
      </c>
      <c r="F17028" t="inlineStr">
        <is>
          <t>Bergvik skog väst AB</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48393-2024</t>
        </is>
      </c>
      <c r="B17029" s="1" t="n">
        <v>45590</v>
      </c>
      <c r="C17029" s="1" t="n">
        <v>45736</v>
      </c>
      <c r="D17029" t="inlineStr">
        <is>
          <t>VÄRMLANDS LÄN</t>
        </is>
      </c>
      <c r="E17029" t="inlineStr">
        <is>
          <t>EDA</t>
        </is>
      </c>
      <c r="G17029" t="n">
        <v>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48305-2024</t>
        </is>
      </c>
      <c r="B17030" s="1" t="n">
        <v>45590</v>
      </c>
      <c r="C17030" s="1" t="n">
        <v>45736</v>
      </c>
      <c r="D17030" t="inlineStr">
        <is>
          <t>VÄRMLANDS LÄN</t>
        </is>
      </c>
      <c r="E17030" t="inlineStr">
        <is>
          <t>TORSBY</t>
        </is>
      </c>
      <c r="F17030" t="inlineStr">
        <is>
          <t>Bergvik skog väst AB</t>
        </is>
      </c>
      <c r="G17030" t="n">
        <v>5.9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48451-2024</t>
        </is>
      </c>
      <c r="B17031" s="1" t="n">
        <v>45590</v>
      </c>
      <c r="C17031" s="1" t="n">
        <v>45736</v>
      </c>
      <c r="D17031" t="inlineStr">
        <is>
          <t>VÄRMLANDS LÄN</t>
        </is>
      </c>
      <c r="E17031" t="inlineStr">
        <is>
          <t>ARVIKA</t>
        </is>
      </c>
      <c r="F17031" t="inlineStr">
        <is>
          <t>Bergvik skog väst AB</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48437-2024</t>
        </is>
      </c>
      <c r="B17032" s="1" t="n">
        <v>45590</v>
      </c>
      <c r="C17032" s="1" t="n">
        <v>45736</v>
      </c>
      <c r="D17032" t="inlineStr">
        <is>
          <t>VÄRMLANDS LÄN</t>
        </is>
      </c>
      <c r="E17032" t="inlineStr">
        <is>
          <t>SUNNE</t>
        </is>
      </c>
      <c r="F17032" t="inlineStr">
        <is>
          <t>Bergvik skog väst AB</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48449-2024</t>
        </is>
      </c>
      <c r="B17033" s="1" t="n">
        <v>45590</v>
      </c>
      <c r="C17033" s="1" t="n">
        <v>45736</v>
      </c>
      <c r="D17033" t="inlineStr">
        <is>
          <t>VÄRMLANDS LÄN</t>
        </is>
      </c>
      <c r="E17033" t="inlineStr">
        <is>
          <t>ARVIKA</t>
        </is>
      </c>
      <c r="F17033" t="inlineStr">
        <is>
          <t>Bergvik skog väst AB</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48253-2024</t>
        </is>
      </c>
      <c r="B17034" s="1" t="n">
        <v>45590</v>
      </c>
      <c r="C17034" s="1" t="n">
        <v>45736</v>
      </c>
      <c r="D17034" t="inlineStr">
        <is>
          <t>VÄRMLANDS LÄN</t>
        </is>
      </c>
      <c r="E17034" t="inlineStr">
        <is>
          <t>TORSBY</t>
        </is>
      </c>
      <c r="F17034" t="inlineStr">
        <is>
          <t>Bergvik skog väst AB</t>
        </is>
      </c>
      <c r="G17034" t="n">
        <v>20.7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48406-2024</t>
        </is>
      </c>
      <c r="B17035" s="1" t="n">
        <v>45590</v>
      </c>
      <c r="C17035" s="1" t="n">
        <v>45736</v>
      </c>
      <c r="D17035" t="inlineStr">
        <is>
          <t>VÄRMLANDS LÄN</t>
        </is>
      </c>
      <c r="E17035" t="inlineStr">
        <is>
          <t>EDA</t>
        </is>
      </c>
      <c r="G17035" t="n">
        <v>3.4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48188-2024</t>
        </is>
      </c>
      <c r="B17036" s="1" t="n">
        <v>45590</v>
      </c>
      <c r="C17036" s="1" t="n">
        <v>45736</v>
      </c>
      <c r="D17036" t="inlineStr">
        <is>
          <t>VÄRMLANDS LÄN</t>
        </is>
      </c>
      <c r="E17036" t="inlineStr">
        <is>
          <t>ARVIKA</t>
        </is>
      </c>
      <c r="F17036" t="inlineStr">
        <is>
          <t>Kommuner</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48327-2024</t>
        </is>
      </c>
      <c r="B17037" s="1" t="n">
        <v>45590</v>
      </c>
      <c r="C17037" s="1" t="n">
        <v>45736</v>
      </c>
      <c r="D17037" t="inlineStr">
        <is>
          <t>VÄRMLANDS LÄN</t>
        </is>
      </c>
      <c r="E17037" t="inlineStr">
        <is>
          <t>KARLSTAD</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48436-2024</t>
        </is>
      </c>
      <c r="B17038" s="1" t="n">
        <v>45590</v>
      </c>
      <c r="C17038" s="1" t="n">
        <v>45736</v>
      </c>
      <c r="D17038" t="inlineStr">
        <is>
          <t>VÄRMLANDS LÄN</t>
        </is>
      </c>
      <c r="E17038" t="inlineStr">
        <is>
          <t>SUNNE</t>
        </is>
      </c>
      <c r="F17038" t="inlineStr">
        <is>
          <t>Bergvik skog väst AB</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48259-2024</t>
        </is>
      </c>
      <c r="B17039" s="1" t="n">
        <v>45590</v>
      </c>
      <c r="C17039" s="1" t="n">
        <v>45736</v>
      </c>
      <c r="D17039" t="inlineStr">
        <is>
          <t>VÄRMLANDS LÄN</t>
        </is>
      </c>
      <c r="E17039" t="inlineStr">
        <is>
          <t>KRISTINEHAMN</t>
        </is>
      </c>
      <c r="G17039" t="n">
        <v>10.8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48478-2024</t>
        </is>
      </c>
      <c r="B17040" s="1" t="n">
        <v>45591</v>
      </c>
      <c r="C17040" s="1" t="n">
        <v>45736</v>
      </c>
      <c r="D17040" t="inlineStr">
        <is>
          <t>VÄRMLANDS LÄN</t>
        </is>
      </c>
      <c r="E17040" t="inlineStr">
        <is>
          <t>SUNNE</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48479-2024</t>
        </is>
      </c>
      <c r="B17041" s="1" t="n">
        <v>45591</v>
      </c>
      <c r="C17041" s="1" t="n">
        <v>45736</v>
      </c>
      <c r="D17041" t="inlineStr">
        <is>
          <t>VÄRMLANDS LÄN</t>
        </is>
      </c>
      <c r="E17041" t="inlineStr">
        <is>
          <t>SUNNE</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48477-2024</t>
        </is>
      </c>
      <c r="B17042" s="1" t="n">
        <v>45591</v>
      </c>
      <c r="C17042" s="1" t="n">
        <v>45736</v>
      </c>
      <c r="D17042" t="inlineStr">
        <is>
          <t>VÄRMLANDS LÄN</t>
        </is>
      </c>
      <c r="E17042" t="inlineStr">
        <is>
          <t>KARLSTAD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48587-2024</t>
        </is>
      </c>
      <c r="B17043" s="1" t="n">
        <v>45593</v>
      </c>
      <c r="C17043" s="1" t="n">
        <v>45736</v>
      </c>
      <c r="D17043" t="inlineStr">
        <is>
          <t>VÄRMLANDS LÄN</t>
        </is>
      </c>
      <c r="E17043" t="inlineStr">
        <is>
          <t>SUNNE</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48591-2024</t>
        </is>
      </c>
      <c r="B17044" s="1" t="n">
        <v>45593</v>
      </c>
      <c r="C17044" s="1" t="n">
        <v>45736</v>
      </c>
      <c r="D17044" t="inlineStr">
        <is>
          <t>VÄRMLANDS LÄN</t>
        </is>
      </c>
      <c r="E17044" t="inlineStr">
        <is>
          <t>STORFORS</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48607-2024</t>
        </is>
      </c>
      <c r="B17045" s="1" t="n">
        <v>45593</v>
      </c>
      <c r="C17045" s="1" t="n">
        <v>45736</v>
      </c>
      <c r="D17045" t="inlineStr">
        <is>
          <t>VÄRMLANDS LÄN</t>
        </is>
      </c>
      <c r="E17045" t="inlineStr">
        <is>
          <t>ARVIKA</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48615-2024</t>
        </is>
      </c>
      <c r="B17046" s="1" t="n">
        <v>45593</v>
      </c>
      <c r="C17046" s="1" t="n">
        <v>45736</v>
      </c>
      <c r="D17046" t="inlineStr">
        <is>
          <t>VÄRMLANDS LÄN</t>
        </is>
      </c>
      <c r="E17046" t="inlineStr">
        <is>
          <t>KRISTINEHAMN</t>
        </is>
      </c>
      <c r="G17046" t="n">
        <v>13.6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48596-2024</t>
        </is>
      </c>
      <c r="B17047" s="1" t="n">
        <v>45593</v>
      </c>
      <c r="C17047" s="1" t="n">
        <v>45736</v>
      </c>
      <c r="D17047" t="inlineStr">
        <is>
          <t>VÄRMLANDS LÄN</t>
        </is>
      </c>
      <c r="E17047" t="inlineStr">
        <is>
          <t>ÅRJÄNG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48601-2024</t>
        </is>
      </c>
      <c r="B17048" s="1" t="n">
        <v>45593</v>
      </c>
      <c r="C17048" s="1" t="n">
        <v>45736</v>
      </c>
      <c r="D17048" t="inlineStr">
        <is>
          <t>VÄRMLANDS LÄN</t>
        </is>
      </c>
      <c r="E17048" t="inlineStr">
        <is>
          <t>ARVIKA</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48621-2024</t>
        </is>
      </c>
      <c r="B17049" s="1" t="n">
        <v>45593</v>
      </c>
      <c r="C17049" s="1" t="n">
        <v>45736</v>
      </c>
      <c r="D17049" t="inlineStr">
        <is>
          <t>VÄRMLANDS LÄN</t>
        </is>
      </c>
      <c r="E17049" t="inlineStr">
        <is>
          <t>SUNNE</t>
        </is>
      </c>
      <c r="F17049" t="inlineStr">
        <is>
          <t>Bergvik skog väst AB</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48629-2024</t>
        </is>
      </c>
      <c r="B17050" s="1" t="n">
        <v>45593</v>
      </c>
      <c r="C17050" s="1" t="n">
        <v>45736</v>
      </c>
      <c r="D17050" t="inlineStr">
        <is>
          <t>VÄRMLANDS LÄN</t>
        </is>
      </c>
      <c r="E17050" t="inlineStr">
        <is>
          <t>TORSBY</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48637-2024</t>
        </is>
      </c>
      <c r="B17051" s="1" t="n">
        <v>45593</v>
      </c>
      <c r="C17051" s="1" t="n">
        <v>45736</v>
      </c>
      <c r="D17051" t="inlineStr">
        <is>
          <t>VÄRMLANDS LÄN</t>
        </is>
      </c>
      <c r="E17051" t="inlineStr">
        <is>
          <t>ARVIKA</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48641-2024</t>
        </is>
      </c>
      <c r="B17052" s="1" t="n">
        <v>45593</v>
      </c>
      <c r="C17052" s="1" t="n">
        <v>45736</v>
      </c>
      <c r="D17052" t="inlineStr">
        <is>
          <t>VÄRMLANDS LÄN</t>
        </is>
      </c>
      <c r="E17052" t="inlineStr">
        <is>
          <t>FORSHAGA</t>
        </is>
      </c>
      <c r="G17052" t="n">
        <v>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48540-2024</t>
        </is>
      </c>
      <c r="B17053" s="1" t="n">
        <v>45593</v>
      </c>
      <c r="C17053" s="1" t="n">
        <v>45736</v>
      </c>
      <c r="D17053" t="inlineStr">
        <is>
          <t>VÄRMLANDS LÄN</t>
        </is>
      </c>
      <c r="E17053" t="inlineStr">
        <is>
          <t>TORSBY</t>
        </is>
      </c>
      <c r="G17053" t="n">
        <v>16.5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48536-2024</t>
        </is>
      </c>
      <c r="B17054" s="1" t="n">
        <v>45593</v>
      </c>
      <c r="C17054" s="1" t="n">
        <v>45736</v>
      </c>
      <c r="D17054" t="inlineStr">
        <is>
          <t>VÄRMLANDS LÄN</t>
        </is>
      </c>
      <c r="E17054" t="inlineStr">
        <is>
          <t>FILIPSTAD</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48721-2024</t>
        </is>
      </c>
      <c r="B17055" s="1" t="n">
        <v>45593</v>
      </c>
      <c r="C17055" s="1" t="n">
        <v>45736</v>
      </c>
      <c r="D17055" t="inlineStr">
        <is>
          <t>VÄRMLANDS LÄN</t>
        </is>
      </c>
      <c r="E17055" t="inlineStr">
        <is>
          <t>TORSBY</t>
        </is>
      </c>
      <c r="F17055" t="inlineStr">
        <is>
          <t>Bergvik skog väst AB</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48729-2024</t>
        </is>
      </c>
      <c r="B17056" s="1" t="n">
        <v>45593</v>
      </c>
      <c r="C17056" s="1" t="n">
        <v>45736</v>
      </c>
      <c r="D17056" t="inlineStr">
        <is>
          <t>VÄRMLANDS LÄN</t>
        </is>
      </c>
      <c r="E17056" t="inlineStr">
        <is>
          <t>SUNNE</t>
        </is>
      </c>
      <c r="F17056" t="inlineStr">
        <is>
          <t>Kommuner</t>
        </is>
      </c>
      <c r="G17056" t="n">
        <v>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48821-2024</t>
        </is>
      </c>
      <c r="B17057" s="1" t="n">
        <v>45593</v>
      </c>
      <c r="C17057" s="1" t="n">
        <v>45736</v>
      </c>
      <c r="D17057" t="inlineStr">
        <is>
          <t>VÄRMLANDS LÄN</t>
        </is>
      </c>
      <c r="E17057" t="inlineStr">
        <is>
          <t>SÄFFLE</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48541-2024</t>
        </is>
      </c>
      <c r="B17058" s="1" t="n">
        <v>45593</v>
      </c>
      <c r="C17058" s="1" t="n">
        <v>45736</v>
      </c>
      <c r="D17058" t="inlineStr">
        <is>
          <t>VÄRMLANDS LÄN</t>
        </is>
      </c>
      <c r="E17058" t="inlineStr">
        <is>
          <t>HAGFORS</t>
        </is>
      </c>
      <c r="F17058" t="inlineStr">
        <is>
          <t>Bergvik skog väst AB</t>
        </is>
      </c>
      <c r="G17058" t="n">
        <v>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48573-2024</t>
        </is>
      </c>
      <c r="B17059" s="1" t="n">
        <v>45593</v>
      </c>
      <c r="C17059" s="1" t="n">
        <v>45736</v>
      </c>
      <c r="D17059" t="inlineStr">
        <is>
          <t>VÄRMLANDS LÄN</t>
        </is>
      </c>
      <c r="E17059" t="inlineStr">
        <is>
          <t>KRISTINEHAMN</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48590-2024</t>
        </is>
      </c>
      <c r="B17060" s="1" t="n">
        <v>45593</v>
      </c>
      <c r="C17060" s="1" t="n">
        <v>45736</v>
      </c>
      <c r="D17060" t="inlineStr">
        <is>
          <t>VÄRMLANDS LÄN</t>
        </is>
      </c>
      <c r="E17060" t="inlineStr">
        <is>
          <t>FORSHAGA</t>
        </is>
      </c>
      <c r="F17060" t="inlineStr">
        <is>
          <t>Bergvik skog väst AB</t>
        </is>
      </c>
      <c r="G17060" t="n">
        <v>7.9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48630-2024</t>
        </is>
      </c>
      <c r="B17061" s="1" t="n">
        <v>45593</v>
      </c>
      <c r="C17061" s="1" t="n">
        <v>45736</v>
      </c>
      <c r="D17061" t="inlineStr">
        <is>
          <t>VÄRMLANDS LÄN</t>
        </is>
      </c>
      <c r="E17061" t="inlineStr">
        <is>
          <t>FORSHAGA</t>
        </is>
      </c>
      <c r="G17061" t="n">
        <v>7.5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48702-2024</t>
        </is>
      </c>
      <c r="B17062" s="1" t="n">
        <v>45593</v>
      </c>
      <c r="C17062" s="1" t="n">
        <v>45736</v>
      </c>
      <c r="D17062" t="inlineStr">
        <is>
          <t>VÄRMLANDS LÄN</t>
        </is>
      </c>
      <c r="E17062" t="inlineStr">
        <is>
          <t>FILIPSTAD</t>
        </is>
      </c>
      <c r="F17062" t="inlineStr">
        <is>
          <t>Bergvik skog väst AB</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48840-2024</t>
        </is>
      </c>
      <c r="B17063" s="1" t="n">
        <v>45593</v>
      </c>
      <c r="C17063" s="1" t="n">
        <v>45736</v>
      </c>
      <c r="D17063" t="inlineStr">
        <is>
          <t>VÄRMLANDS LÄN</t>
        </is>
      </c>
      <c r="E17063" t="inlineStr">
        <is>
          <t>TORSBY</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48860-2024</t>
        </is>
      </c>
      <c r="B17064" s="1" t="n">
        <v>45593</v>
      </c>
      <c r="C17064" s="1" t="n">
        <v>45736</v>
      </c>
      <c r="D17064" t="inlineStr">
        <is>
          <t>VÄRMLANDS LÄN</t>
        </is>
      </c>
      <c r="E17064" t="inlineStr">
        <is>
          <t>SUNNE</t>
        </is>
      </c>
      <c r="F17064" t="inlineStr">
        <is>
          <t>Kyrkan</t>
        </is>
      </c>
      <c r="G17064" t="n">
        <v>9.300000000000001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48858-2024</t>
        </is>
      </c>
      <c r="B17065" s="1" t="n">
        <v>45593</v>
      </c>
      <c r="C17065" s="1" t="n">
        <v>45736</v>
      </c>
      <c r="D17065" t="inlineStr">
        <is>
          <t>VÄRMLANDS LÄN</t>
        </is>
      </c>
      <c r="E17065" t="inlineStr">
        <is>
          <t>ARVIKA</t>
        </is>
      </c>
      <c r="F17065" t="inlineStr">
        <is>
          <t>Kommuner</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48855-2024</t>
        </is>
      </c>
      <c r="B17066" s="1" t="n">
        <v>45593</v>
      </c>
      <c r="C17066" s="1" t="n">
        <v>45736</v>
      </c>
      <c r="D17066" t="inlineStr">
        <is>
          <t>VÄRMLANDS LÄN</t>
        </is>
      </c>
      <c r="E17066" t="inlineStr">
        <is>
          <t>ARVIKA</t>
        </is>
      </c>
      <c r="F17066" t="inlineStr">
        <is>
          <t>Kommuner</t>
        </is>
      </c>
      <c r="G17066" t="n">
        <v>12.9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48781-2024</t>
        </is>
      </c>
      <c r="B17067" s="1" t="n">
        <v>45593</v>
      </c>
      <c r="C17067" s="1" t="n">
        <v>45736</v>
      </c>
      <c r="D17067" t="inlineStr">
        <is>
          <t>VÄRMLANDS LÄN</t>
        </is>
      </c>
      <c r="E17067" t="inlineStr">
        <is>
          <t>ÅRJÄNG</t>
        </is>
      </c>
      <c r="G17067" t="n">
        <v>8.800000000000001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48861-2024</t>
        </is>
      </c>
      <c r="B17068" s="1" t="n">
        <v>45593</v>
      </c>
      <c r="C17068" s="1" t="n">
        <v>45736</v>
      </c>
      <c r="D17068" t="inlineStr">
        <is>
          <t>VÄRMLANDS LÄN</t>
        </is>
      </c>
      <c r="E17068" t="inlineStr">
        <is>
          <t>SUNNE</t>
        </is>
      </c>
      <c r="F17068" t="inlineStr">
        <is>
          <t>Kyrkan</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48647-2024</t>
        </is>
      </c>
      <c r="B17069" s="1" t="n">
        <v>45593</v>
      </c>
      <c r="C17069" s="1" t="n">
        <v>45736</v>
      </c>
      <c r="D17069" t="inlineStr">
        <is>
          <t>VÄRMLANDS LÄN</t>
        </is>
      </c>
      <c r="E17069" t="inlineStr">
        <is>
          <t>FORSHAGA</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48627-2024</t>
        </is>
      </c>
      <c r="B17070" s="1" t="n">
        <v>45593</v>
      </c>
      <c r="C17070" s="1" t="n">
        <v>45736</v>
      </c>
      <c r="D17070" t="inlineStr">
        <is>
          <t>VÄRMLANDS LÄN</t>
        </is>
      </c>
      <c r="E17070" t="inlineStr">
        <is>
          <t>TORSBY</t>
        </is>
      </c>
      <c r="F17070" t="inlineStr">
        <is>
          <t>Bergvik skog väst AB</t>
        </is>
      </c>
      <c r="G17070" t="n">
        <v>42.6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48558-2024</t>
        </is>
      </c>
      <c r="B17071" s="1" t="n">
        <v>45593</v>
      </c>
      <c r="C17071" s="1" t="n">
        <v>45736</v>
      </c>
      <c r="D17071" t="inlineStr">
        <is>
          <t>VÄRMLANDS LÄN</t>
        </is>
      </c>
      <c r="E17071" t="inlineStr">
        <is>
          <t>TORSBY</t>
        </is>
      </c>
      <c r="F17071" t="inlineStr">
        <is>
          <t>Bergvik skog väst AB</t>
        </is>
      </c>
      <c r="G17071" t="n">
        <v>14.2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48542-2024</t>
        </is>
      </c>
      <c r="B17072" s="1" t="n">
        <v>45593</v>
      </c>
      <c r="C17072" s="1" t="n">
        <v>45736</v>
      </c>
      <c r="D17072" t="inlineStr">
        <is>
          <t>VÄRMLANDS LÄN</t>
        </is>
      </c>
      <c r="E17072" t="inlineStr">
        <is>
          <t>FILIPSTAD</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48538-2024</t>
        </is>
      </c>
      <c r="B17073" s="1" t="n">
        <v>45593</v>
      </c>
      <c r="C17073" s="1" t="n">
        <v>45736</v>
      </c>
      <c r="D17073" t="inlineStr">
        <is>
          <t>VÄRMLANDS LÄN</t>
        </is>
      </c>
      <c r="E17073" t="inlineStr">
        <is>
          <t>SUNNE</t>
        </is>
      </c>
      <c r="F17073" t="inlineStr">
        <is>
          <t>Bergvik skog väst AB</t>
        </is>
      </c>
      <c r="G17073" t="n">
        <v>7.3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48535-2024</t>
        </is>
      </c>
      <c r="B17074" s="1" t="n">
        <v>45593</v>
      </c>
      <c r="C17074" s="1" t="n">
        <v>45736</v>
      </c>
      <c r="D17074" t="inlineStr">
        <is>
          <t>VÄRMLANDS LÄN</t>
        </is>
      </c>
      <c r="E17074" t="inlineStr">
        <is>
          <t>SUNNE</t>
        </is>
      </c>
      <c r="F17074" t="inlineStr">
        <is>
          <t>Bergvik skog väst AB</t>
        </is>
      </c>
      <c r="G17074" t="n">
        <v>10</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48527-2024</t>
        </is>
      </c>
      <c r="B17075" s="1" t="n">
        <v>45593</v>
      </c>
      <c r="C17075" s="1" t="n">
        <v>45736</v>
      </c>
      <c r="D17075" t="inlineStr">
        <is>
          <t>VÄRMLANDS LÄN</t>
        </is>
      </c>
      <c r="E17075" t="inlineStr">
        <is>
          <t>FILIPSTAD</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48874-2024</t>
        </is>
      </c>
      <c r="B17076" s="1" t="n">
        <v>45594</v>
      </c>
      <c r="C17076" s="1" t="n">
        <v>45736</v>
      </c>
      <c r="D17076" t="inlineStr">
        <is>
          <t>VÄRMLANDS LÄN</t>
        </is>
      </c>
      <c r="E17076" t="inlineStr">
        <is>
          <t>TORSBY</t>
        </is>
      </c>
      <c r="F17076" t="inlineStr">
        <is>
          <t>Bergvik skog väst AB</t>
        </is>
      </c>
      <c r="G17076" t="n">
        <v>8.300000000000001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48872-2024</t>
        </is>
      </c>
      <c r="B17077" s="1" t="n">
        <v>45594</v>
      </c>
      <c r="C17077" s="1" t="n">
        <v>45736</v>
      </c>
      <c r="D17077" t="inlineStr">
        <is>
          <t>VÄRMLANDS LÄN</t>
        </is>
      </c>
      <c r="E17077" t="inlineStr">
        <is>
          <t>HAGFORS</t>
        </is>
      </c>
      <c r="F17077" t="inlineStr">
        <is>
          <t>Kyrkan</t>
        </is>
      </c>
      <c r="G17077" t="n">
        <v>8.4</v>
      </c>
      <c r="H17077" t="n">
        <v>0</v>
      </c>
      <c r="I17077" t="n">
        <v>0</v>
      </c>
      <c r="J17077" t="n">
        <v>0</v>
      </c>
      <c r="K17077" t="n">
        <v>0</v>
      </c>
      <c r="L17077" t="n">
        <v>0</v>
      </c>
      <c r="M17077" t="n">
        <v>0</v>
      </c>
      <c r="N17077" t="n">
        <v>0</v>
      </c>
      <c r="O17077" t="n">
        <v>0</v>
      </c>
      <c r="P17077" t="n">
        <v>0</v>
      </c>
      <c r="Q17077" t="n">
        <v>0</v>
      </c>
      <c r="R17077" s="2" t="inlineStr"/>
      <c r="U17077">
        <f>HYPERLINK("https://klasma.github.io/Logging_1783/knärot/A 48872-2024 karta knärot.png", "A 48872-2024")</f>
        <v/>
      </c>
      <c r="V17077">
        <f>HYPERLINK("https://klasma.github.io/Logging_1783/klagomål/A 48872-2024 FSC-klagomål.docx", "A 48872-2024")</f>
        <v/>
      </c>
      <c r="W17077">
        <f>HYPERLINK("https://klasma.github.io/Logging_1783/klagomålsmail/A 48872-2024 FSC-klagomål mail.docx", "A 48872-2024")</f>
        <v/>
      </c>
      <c r="X17077">
        <f>HYPERLINK("https://klasma.github.io/Logging_1783/tillsyn/A 48872-2024 tillsynsbegäran.docx", "A 48872-2024")</f>
        <v/>
      </c>
      <c r="Y17077">
        <f>HYPERLINK("https://klasma.github.io/Logging_1783/tillsynsmail/A 48872-2024 tillsynsbegäran mail.docx", "A 48872-2024")</f>
        <v/>
      </c>
    </row>
    <row r="17078" ht="15" customHeight="1">
      <c r="A17078" t="inlineStr">
        <is>
          <t>A 48964-2024</t>
        </is>
      </c>
      <c r="B17078" s="1" t="n">
        <v>45594</v>
      </c>
      <c r="C17078" s="1" t="n">
        <v>45736</v>
      </c>
      <c r="D17078" t="inlineStr">
        <is>
          <t>VÄRMLANDS LÄN</t>
        </is>
      </c>
      <c r="E17078" t="inlineStr">
        <is>
          <t>ÅRJÄNG</t>
        </is>
      </c>
      <c r="G17078" t="n">
        <v>4.9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49057-2024</t>
        </is>
      </c>
      <c r="B17079" s="1" t="n">
        <v>45594</v>
      </c>
      <c r="C17079" s="1" t="n">
        <v>45736</v>
      </c>
      <c r="D17079" t="inlineStr">
        <is>
          <t>VÄRMLANDS LÄN</t>
        </is>
      </c>
      <c r="E17079" t="inlineStr">
        <is>
          <t>ÅRJÄNG</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49150-2024</t>
        </is>
      </c>
      <c r="B17080" s="1" t="n">
        <v>45594</v>
      </c>
      <c r="C17080" s="1" t="n">
        <v>45736</v>
      </c>
      <c r="D17080" t="inlineStr">
        <is>
          <t>VÄRMLANDS LÄN</t>
        </is>
      </c>
      <c r="E17080" t="inlineStr">
        <is>
          <t>SUNNE</t>
        </is>
      </c>
      <c r="G17080" t="n">
        <v>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48963-2024</t>
        </is>
      </c>
      <c r="B17081" s="1" t="n">
        <v>45594</v>
      </c>
      <c r="C17081" s="1" t="n">
        <v>45736</v>
      </c>
      <c r="D17081" t="inlineStr">
        <is>
          <t>VÄRMLANDS LÄN</t>
        </is>
      </c>
      <c r="E17081" t="inlineStr">
        <is>
          <t>TORSBY</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48911-2024</t>
        </is>
      </c>
      <c r="B17082" s="1" t="n">
        <v>45594</v>
      </c>
      <c r="C17082" s="1" t="n">
        <v>45736</v>
      </c>
      <c r="D17082" t="inlineStr">
        <is>
          <t>VÄRMLANDS LÄN</t>
        </is>
      </c>
      <c r="E17082" t="inlineStr">
        <is>
          <t>ÅRJÄNG</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48903-2024</t>
        </is>
      </c>
      <c r="B17083" s="1" t="n">
        <v>45594</v>
      </c>
      <c r="C17083" s="1" t="n">
        <v>45736</v>
      </c>
      <c r="D17083" t="inlineStr">
        <is>
          <t>VÄRMLANDS LÄN</t>
        </is>
      </c>
      <c r="E17083" t="inlineStr">
        <is>
          <t>TORSBY</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49101-2024</t>
        </is>
      </c>
      <c r="B17084" s="1" t="n">
        <v>45594</v>
      </c>
      <c r="C17084" s="1" t="n">
        <v>45736</v>
      </c>
      <c r="D17084" t="inlineStr">
        <is>
          <t>VÄRMLANDS LÄN</t>
        </is>
      </c>
      <c r="E17084" t="inlineStr">
        <is>
          <t>STORFORS</t>
        </is>
      </c>
      <c r="F17084" t="inlineStr">
        <is>
          <t>Kyrkan</t>
        </is>
      </c>
      <c r="G17084" t="n">
        <v>14.1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49133-2024</t>
        </is>
      </c>
      <c r="B17085" s="1" t="n">
        <v>45594</v>
      </c>
      <c r="C17085" s="1" t="n">
        <v>45736</v>
      </c>
      <c r="D17085" t="inlineStr">
        <is>
          <t>VÄRMLANDS LÄN</t>
        </is>
      </c>
      <c r="E17085" t="inlineStr">
        <is>
          <t>ÅRJÄNG</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49149-2024</t>
        </is>
      </c>
      <c r="B17086" s="1" t="n">
        <v>45594</v>
      </c>
      <c r="C17086" s="1" t="n">
        <v>45736</v>
      </c>
      <c r="D17086" t="inlineStr">
        <is>
          <t>VÄRMLANDS LÄN</t>
        </is>
      </c>
      <c r="E17086" t="inlineStr">
        <is>
          <t>SUNNE</t>
        </is>
      </c>
      <c r="G17086" t="n">
        <v>3.8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48957-2024</t>
        </is>
      </c>
      <c r="B17087" s="1" t="n">
        <v>45594</v>
      </c>
      <c r="C17087" s="1" t="n">
        <v>45736</v>
      </c>
      <c r="D17087" t="inlineStr">
        <is>
          <t>VÄRMLANDS LÄN</t>
        </is>
      </c>
      <c r="E17087" t="inlineStr">
        <is>
          <t>HAGFORS</t>
        </is>
      </c>
      <c r="F17087" t="inlineStr">
        <is>
          <t>Bergvik skog väst AB</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49038-2024</t>
        </is>
      </c>
      <c r="B17088" s="1" t="n">
        <v>45594</v>
      </c>
      <c r="C17088" s="1" t="n">
        <v>45736</v>
      </c>
      <c r="D17088" t="inlineStr">
        <is>
          <t>VÄRMLANDS LÄN</t>
        </is>
      </c>
      <c r="E17088" t="inlineStr">
        <is>
          <t>FILIPSTAD</t>
        </is>
      </c>
      <c r="F17088" t="inlineStr">
        <is>
          <t>Bergvik skog väst AB</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49147-2024</t>
        </is>
      </c>
      <c r="B17089" s="1" t="n">
        <v>45594</v>
      </c>
      <c r="C17089" s="1" t="n">
        <v>45736</v>
      </c>
      <c r="D17089" t="inlineStr">
        <is>
          <t>VÄRMLANDS LÄN</t>
        </is>
      </c>
      <c r="E17089" t="inlineStr">
        <is>
          <t>SUNNE</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49163-2024</t>
        </is>
      </c>
      <c r="B17090" s="1" t="n">
        <v>45594</v>
      </c>
      <c r="C17090" s="1" t="n">
        <v>45736</v>
      </c>
      <c r="D17090" t="inlineStr">
        <is>
          <t>VÄRMLANDS LÄN</t>
        </is>
      </c>
      <c r="E17090" t="inlineStr">
        <is>
          <t>TORSBY</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49266-2024</t>
        </is>
      </c>
      <c r="B17091" s="1" t="n">
        <v>45595</v>
      </c>
      <c r="C17091" s="1" t="n">
        <v>45736</v>
      </c>
      <c r="D17091" t="inlineStr">
        <is>
          <t>VÄRMLANDS LÄN</t>
        </is>
      </c>
      <c r="E17091" t="inlineStr">
        <is>
          <t>STORFORS</t>
        </is>
      </c>
      <c r="F17091" t="inlineStr">
        <is>
          <t>Bergvik skog väst AB</t>
        </is>
      </c>
      <c r="G17091" t="n">
        <v>9.9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49195-2024</t>
        </is>
      </c>
      <c r="B17092" s="1" t="n">
        <v>45595</v>
      </c>
      <c r="C17092" s="1" t="n">
        <v>45736</v>
      </c>
      <c r="D17092" t="inlineStr">
        <is>
          <t>VÄRMLANDS LÄN</t>
        </is>
      </c>
      <c r="E17092" t="inlineStr">
        <is>
          <t>TORSBY</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49182-2024</t>
        </is>
      </c>
      <c r="B17093" s="1" t="n">
        <v>45595</v>
      </c>
      <c r="C17093" s="1" t="n">
        <v>45736</v>
      </c>
      <c r="D17093" t="inlineStr">
        <is>
          <t>VÄRMLANDS LÄN</t>
        </is>
      </c>
      <c r="E17093" t="inlineStr">
        <is>
          <t>EDA</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49255-2024</t>
        </is>
      </c>
      <c r="B17094" s="1" t="n">
        <v>45595</v>
      </c>
      <c r="C17094" s="1" t="n">
        <v>45736</v>
      </c>
      <c r="D17094" t="inlineStr">
        <is>
          <t>VÄRMLANDS LÄN</t>
        </is>
      </c>
      <c r="E17094" t="inlineStr">
        <is>
          <t>SÄFFLE</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49259-2024</t>
        </is>
      </c>
      <c r="B17095" s="1" t="n">
        <v>45595</v>
      </c>
      <c r="C17095" s="1" t="n">
        <v>45736</v>
      </c>
      <c r="D17095" t="inlineStr">
        <is>
          <t>VÄRMLANDS LÄN</t>
        </is>
      </c>
      <c r="E17095" t="inlineStr">
        <is>
          <t>SUNNE</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49437-2024</t>
        </is>
      </c>
      <c r="B17096" s="1" t="n">
        <v>45595</v>
      </c>
      <c r="C17096" s="1" t="n">
        <v>45736</v>
      </c>
      <c r="D17096" t="inlineStr">
        <is>
          <t>VÄRMLANDS LÄN</t>
        </is>
      </c>
      <c r="E17096" t="inlineStr">
        <is>
          <t>SUNNE</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49334-2024</t>
        </is>
      </c>
      <c r="B17097" s="1" t="n">
        <v>45595</v>
      </c>
      <c r="C17097" s="1" t="n">
        <v>45736</v>
      </c>
      <c r="D17097" t="inlineStr">
        <is>
          <t>VÄRMLANDS LÄN</t>
        </is>
      </c>
      <c r="E17097" t="inlineStr">
        <is>
          <t>ARVIKA</t>
        </is>
      </c>
      <c r="F17097" t="inlineStr">
        <is>
          <t>Bergvik skog väst AB</t>
        </is>
      </c>
      <c r="G17097" t="n">
        <v>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49306-2024</t>
        </is>
      </c>
      <c r="B17098" s="1" t="n">
        <v>45595</v>
      </c>
      <c r="C17098" s="1" t="n">
        <v>45736</v>
      </c>
      <c r="D17098" t="inlineStr">
        <is>
          <t>VÄRMLANDS LÄN</t>
        </is>
      </c>
      <c r="E17098" t="inlineStr">
        <is>
          <t>STORFORS</t>
        </is>
      </c>
      <c r="F17098" t="inlineStr">
        <is>
          <t>Bergvik skog väst AB</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49363-2024</t>
        </is>
      </c>
      <c r="B17099" s="1" t="n">
        <v>45595</v>
      </c>
      <c r="C17099" s="1" t="n">
        <v>45736</v>
      </c>
      <c r="D17099" t="inlineStr">
        <is>
          <t>VÄRMLANDS LÄN</t>
        </is>
      </c>
      <c r="E17099" t="inlineStr">
        <is>
          <t>FILIPSTAD</t>
        </is>
      </c>
      <c r="F17099" t="inlineStr">
        <is>
          <t>Bergvik skog väst AB</t>
        </is>
      </c>
      <c r="G17099" t="n">
        <v>8.300000000000001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49379-2024</t>
        </is>
      </c>
      <c r="B17100" s="1" t="n">
        <v>45595</v>
      </c>
      <c r="C17100" s="1" t="n">
        <v>45736</v>
      </c>
      <c r="D17100" t="inlineStr">
        <is>
          <t>VÄRMLANDS LÄN</t>
        </is>
      </c>
      <c r="E17100" t="inlineStr">
        <is>
          <t>KRISTINEHAMN</t>
        </is>
      </c>
      <c r="F17100" t="inlineStr">
        <is>
          <t>Kommuner</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49383-2024</t>
        </is>
      </c>
      <c r="B17101" s="1" t="n">
        <v>45595</v>
      </c>
      <c r="C17101" s="1" t="n">
        <v>45736</v>
      </c>
      <c r="D17101" t="inlineStr">
        <is>
          <t>VÄRMLANDS LÄN</t>
        </is>
      </c>
      <c r="E17101" t="inlineStr">
        <is>
          <t>TORSBY</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49344-2024</t>
        </is>
      </c>
      <c r="B17102" s="1" t="n">
        <v>45595</v>
      </c>
      <c r="C17102" s="1" t="n">
        <v>45736</v>
      </c>
      <c r="D17102" t="inlineStr">
        <is>
          <t>VÄRMLANDS LÄN</t>
        </is>
      </c>
      <c r="E17102" t="inlineStr">
        <is>
          <t>STORFORS</t>
        </is>
      </c>
      <c r="F17102" t="inlineStr">
        <is>
          <t>Bergvik skog väst AB</t>
        </is>
      </c>
      <c r="G17102" t="n">
        <v>4.8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49173-2024</t>
        </is>
      </c>
      <c r="B17103" s="1" t="n">
        <v>45595</v>
      </c>
      <c r="C17103" s="1" t="n">
        <v>45736</v>
      </c>
      <c r="D17103" t="inlineStr">
        <is>
          <t>VÄRMLANDS LÄN</t>
        </is>
      </c>
      <c r="E17103" t="inlineStr">
        <is>
          <t>KARLSTAD</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49416-2024</t>
        </is>
      </c>
      <c r="B17104" s="1" t="n">
        <v>45595</v>
      </c>
      <c r="C17104" s="1" t="n">
        <v>45736</v>
      </c>
      <c r="D17104" t="inlineStr">
        <is>
          <t>VÄRMLANDS LÄN</t>
        </is>
      </c>
      <c r="E17104" t="inlineStr">
        <is>
          <t>FORSHAGA</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49428-2024</t>
        </is>
      </c>
      <c r="B17105" s="1" t="n">
        <v>45595</v>
      </c>
      <c r="C17105" s="1" t="n">
        <v>45736</v>
      </c>
      <c r="D17105" t="inlineStr">
        <is>
          <t>VÄRMLANDS LÄN</t>
        </is>
      </c>
      <c r="E17105" t="inlineStr">
        <is>
          <t>SUNNE</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49311-2024</t>
        </is>
      </c>
      <c r="B17106" s="1" t="n">
        <v>45595</v>
      </c>
      <c r="C17106" s="1" t="n">
        <v>45736</v>
      </c>
      <c r="D17106" t="inlineStr">
        <is>
          <t>VÄRMLANDS LÄN</t>
        </is>
      </c>
      <c r="E17106" t="inlineStr">
        <is>
          <t>STORFORS</t>
        </is>
      </c>
      <c r="F17106" t="inlineStr">
        <is>
          <t>Bergvik skog väst AB</t>
        </is>
      </c>
      <c r="G17106" t="n">
        <v>7.8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49298-2024</t>
        </is>
      </c>
      <c r="B17107" s="1" t="n">
        <v>45595</v>
      </c>
      <c r="C17107" s="1" t="n">
        <v>45736</v>
      </c>
      <c r="D17107" t="inlineStr">
        <is>
          <t>VÄRMLANDS LÄN</t>
        </is>
      </c>
      <c r="E17107" t="inlineStr">
        <is>
          <t>TORSBY</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49245-2024</t>
        </is>
      </c>
      <c r="B17108" s="1" t="n">
        <v>45595</v>
      </c>
      <c r="C17108" s="1" t="n">
        <v>45736</v>
      </c>
      <c r="D17108" t="inlineStr">
        <is>
          <t>VÄRMLANDS LÄN</t>
        </is>
      </c>
      <c r="E17108" t="inlineStr">
        <is>
          <t>KRISTINEHAMN</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49717-2024</t>
        </is>
      </c>
      <c r="B17109" s="1" t="n">
        <v>45596</v>
      </c>
      <c r="C17109" s="1" t="n">
        <v>45736</v>
      </c>
      <c r="D17109" t="inlineStr">
        <is>
          <t>VÄRMLANDS LÄN</t>
        </is>
      </c>
      <c r="E17109" t="inlineStr">
        <is>
          <t>EDA</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49644-2024</t>
        </is>
      </c>
      <c r="B17110" s="1" t="n">
        <v>45596</v>
      </c>
      <c r="C17110" s="1" t="n">
        <v>45736</v>
      </c>
      <c r="D17110" t="inlineStr">
        <is>
          <t>VÄRMLANDS LÄN</t>
        </is>
      </c>
      <c r="E17110" t="inlineStr">
        <is>
          <t>KARLSTAD</t>
        </is>
      </c>
      <c r="F17110" t="inlineStr">
        <is>
          <t>Bergvik skog väst AB</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49545-2024</t>
        </is>
      </c>
      <c r="B17111" s="1" t="n">
        <v>45596</v>
      </c>
      <c r="C17111" s="1" t="n">
        <v>45736</v>
      </c>
      <c r="D17111" t="inlineStr">
        <is>
          <t>VÄRMLANDS LÄN</t>
        </is>
      </c>
      <c r="E17111" t="inlineStr">
        <is>
          <t>FILIPSTAD</t>
        </is>
      </c>
      <c r="F17111" t="inlineStr">
        <is>
          <t>Bergvik skog väst AB</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49542-2024</t>
        </is>
      </c>
      <c r="B17112" s="1" t="n">
        <v>45596</v>
      </c>
      <c r="C17112" s="1" t="n">
        <v>45736</v>
      </c>
      <c r="D17112" t="inlineStr">
        <is>
          <t>VÄRMLANDS LÄN</t>
        </is>
      </c>
      <c r="E17112" t="inlineStr">
        <is>
          <t>FILIPSTAD</t>
        </is>
      </c>
      <c r="F17112" t="inlineStr">
        <is>
          <t>Bergvik skog väst AB</t>
        </is>
      </c>
      <c r="G17112" t="n">
        <v>5.6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49483-2024</t>
        </is>
      </c>
      <c r="B17113" s="1" t="n">
        <v>45596</v>
      </c>
      <c r="C17113" s="1" t="n">
        <v>45736</v>
      </c>
      <c r="D17113" t="inlineStr">
        <is>
          <t>VÄRMLANDS LÄN</t>
        </is>
      </c>
      <c r="E17113" t="inlineStr">
        <is>
          <t>KIL</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49624-2024</t>
        </is>
      </c>
      <c r="B17114" s="1" t="n">
        <v>45596</v>
      </c>
      <c r="C17114" s="1" t="n">
        <v>45736</v>
      </c>
      <c r="D17114" t="inlineStr">
        <is>
          <t>VÄRMLANDS LÄN</t>
        </is>
      </c>
      <c r="E17114" t="inlineStr">
        <is>
          <t>EDA</t>
        </is>
      </c>
      <c r="G17114" t="n">
        <v>3.1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49507-2024</t>
        </is>
      </c>
      <c r="B17115" s="1" t="n">
        <v>45596</v>
      </c>
      <c r="C17115" s="1" t="n">
        <v>45736</v>
      </c>
      <c r="D17115" t="inlineStr">
        <is>
          <t>VÄRMLANDS LÄN</t>
        </is>
      </c>
      <c r="E17115" t="inlineStr">
        <is>
          <t>STORFORS</t>
        </is>
      </c>
      <c r="F17115" t="inlineStr">
        <is>
          <t>Naturvårdsverket</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49524-2024</t>
        </is>
      </c>
      <c r="B17116" s="1" t="n">
        <v>45596</v>
      </c>
      <c r="C17116" s="1" t="n">
        <v>45736</v>
      </c>
      <c r="D17116" t="inlineStr">
        <is>
          <t>VÄRMLANDS LÄN</t>
        </is>
      </c>
      <c r="E17116" t="inlineStr">
        <is>
          <t>TORSBY</t>
        </is>
      </c>
      <c r="G17116" t="n">
        <v>4.1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49540-2024</t>
        </is>
      </c>
      <c r="B17117" s="1" t="n">
        <v>45596</v>
      </c>
      <c r="C17117" s="1" t="n">
        <v>45736</v>
      </c>
      <c r="D17117" t="inlineStr">
        <is>
          <t>VÄRMLANDS LÄN</t>
        </is>
      </c>
      <c r="E17117" t="inlineStr">
        <is>
          <t>STORFORS</t>
        </is>
      </c>
      <c r="F17117" t="inlineStr">
        <is>
          <t>Naturvårdsverket</t>
        </is>
      </c>
      <c r="G17117" t="n">
        <v>5.2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49548-2024</t>
        </is>
      </c>
      <c r="B17118" s="1" t="n">
        <v>45596</v>
      </c>
      <c r="C17118" s="1" t="n">
        <v>45736</v>
      </c>
      <c r="D17118" t="inlineStr">
        <is>
          <t>VÄRMLANDS LÄN</t>
        </is>
      </c>
      <c r="E17118" t="inlineStr">
        <is>
          <t>STORFORS</t>
        </is>
      </c>
      <c r="F17118" t="inlineStr">
        <is>
          <t>Naturvårdsverket</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49301-2024</t>
        </is>
      </c>
      <c r="B17119" s="1" t="n">
        <v>45596</v>
      </c>
      <c r="C17119" s="1" t="n">
        <v>45736</v>
      </c>
      <c r="D17119" t="inlineStr">
        <is>
          <t>VÄRMLANDS LÄN</t>
        </is>
      </c>
      <c r="E17119" t="inlineStr">
        <is>
          <t>SÄFFLE</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49502-2024</t>
        </is>
      </c>
      <c r="B17120" s="1" t="n">
        <v>45596</v>
      </c>
      <c r="C17120" s="1" t="n">
        <v>45736</v>
      </c>
      <c r="D17120" t="inlineStr">
        <is>
          <t>VÄRMLANDS LÄN</t>
        </is>
      </c>
      <c r="E17120" t="inlineStr">
        <is>
          <t>FILIPSTAD</t>
        </is>
      </c>
      <c r="F17120" t="inlineStr">
        <is>
          <t>Bergvik skog väst AB</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49510-2024</t>
        </is>
      </c>
      <c r="B17121" s="1" t="n">
        <v>45596</v>
      </c>
      <c r="C17121" s="1" t="n">
        <v>45736</v>
      </c>
      <c r="D17121" t="inlineStr">
        <is>
          <t>VÄRMLANDS LÄN</t>
        </is>
      </c>
      <c r="E17121" t="inlineStr">
        <is>
          <t>ARVIKA</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49523-2024</t>
        </is>
      </c>
      <c r="B17122" s="1" t="n">
        <v>45596</v>
      </c>
      <c r="C17122" s="1" t="n">
        <v>45736</v>
      </c>
      <c r="D17122" t="inlineStr">
        <is>
          <t>VÄRMLANDS LÄN</t>
        </is>
      </c>
      <c r="E17122" t="inlineStr">
        <is>
          <t>EDA</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49543-2024</t>
        </is>
      </c>
      <c r="B17123" s="1" t="n">
        <v>45596</v>
      </c>
      <c r="C17123" s="1" t="n">
        <v>45736</v>
      </c>
      <c r="D17123" t="inlineStr">
        <is>
          <t>VÄRMLANDS LÄN</t>
        </is>
      </c>
      <c r="E17123" t="inlineStr">
        <is>
          <t>SUNNE</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49588-2024</t>
        </is>
      </c>
      <c r="B17124" s="1" t="n">
        <v>45596</v>
      </c>
      <c r="C17124" s="1" t="n">
        <v>45736</v>
      </c>
      <c r="D17124" t="inlineStr">
        <is>
          <t>VÄRMLANDS LÄN</t>
        </is>
      </c>
      <c r="E17124" t="inlineStr">
        <is>
          <t>ARVIKA</t>
        </is>
      </c>
      <c r="F17124" t="inlineStr">
        <is>
          <t>Bergvik skog väst AB</t>
        </is>
      </c>
      <c r="G17124" t="n">
        <v>16.8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49596-2024</t>
        </is>
      </c>
      <c r="B17125" s="1" t="n">
        <v>45596</v>
      </c>
      <c r="C17125" s="1" t="n">
        <v>45736</v>
      </c>
      <c r="D17125" t="inlineStr">
        <is>
          <t>VÄRMLANDS LÄN</t>
        </is>
      </c>
      <c r="E17125" t="inlineStr">
        <is>
          <t>STORFORS</t>
        </is>
      </c>
      <c r="F17125" t="inlineStr">
        <is>
          <t>Bergvik skog väst AB</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49912-2024</t>
        </is>
      </c>
      <c r="B17126" s="1" t="n">
        <v>45597</v>
      </c>
      <c r="C17126" s="1" t="n">
        <v>45736</v>
      </c>
      <c r="D17126" t="inlineStr">
        <is>
          <t>VÄRMLANDS LÄN</t>
        </is>
      </c>
      <c r="E17126" t="inlineStr">
        <is>
          <t>TORSBY</t>
        </is>
      </c>
      <c r="F17126" t="inlineStr">
        <is>
          <t>Bergvik skog väst AB</t>
        </is>
      </c>
      <c r="G17126" t="n">
        <v>5.3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49794-2024</t>
        </is>
      </c>
      <c r="B17127" s="1" t="n">
        <v>45597</v>
      </c>
      <c r="C17127" s="1" t="n">
        <v>45736</v>
      </c>
      <c r="D17127" t="inlineStr">
        <is>
          <t>VÄRMLANDS LÄN</t>
        </is>
      </c>
      <c r="E17127" t="inlineStr">
        <is>
          <t>FILIPSTAD</t>
        </is>
      </c>
      <c r="F17127" t="inlineStr">
        <is>
          <t>Bergvik skog väst AB</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49767-2024</t>
        </is>
      </c>
      <c r="B17128" s="1" t="n">
        <v>45597</v>
      </c>
      <c r="C17128" s="1" t="n">
        <v>45736</v>
      </c>
      <c r="D17128" t="inlineStr">
        <is>
          <t>VÄRMLANDS LÄN</t>
        </is>
      </c>
      <c r="E17128" t="inlineStr">
        <is>
          <t>HAGFORS</t>
        </is>
      </c>
      <c r="F17128" t="inlineStr">
        <is>
          <t>Bergvik skog väst AB</t>
        </is>
      </c>
      <c r="G17128" t="n">
        <v>6.4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49964-2024</t>
        </is>
      </c>
      <c r="B17129" s="1" t="n">
        <v>45597</v>
      </c>
      <c r="C17129" s="1" t="n">
        <v>45736</v>
      </c>
      <c r="D17129" t="inlineStr">
        <is>
          <t>VÄRMLANDS LÄN</t>
        </is>
      </c>
      <c r="E17129" t="inlineStr">
        <is>
          <t>FILIPSTAD</t>
        </is>
      </c>
      <c r="F17129" t="inlineStr">
        <is>
          <t>Bergvik skog väst AB</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49968-2024</t>
        </is>
      </c>
      <c r="B17130" s="1" t="n">
        <v>45597</v>
      </c>
      <c r="C17130" s="1" t="n">
        <v>45736</v>
      </c>
      <c r="D17130" t="inlineStr">
        <is>
          <t>VÄRMLANDS LÄN</t>
        </is>
      </c>
      <c r="E17130" t="inlineStr">
        <is>
          <t>FILIPSTAD</t>
        </is>
      </c>
      <c r="F17130" t="inlineStr">
        <is>
          <t>Bergvik skog väst AB</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49839-2024</t>
        </is>
      </c>
      <c r="B17131" s="1" t="n">
        <v>45597</v>
      </c>
      <c r="C17131" s="1" t="n">
        <v>45736</v>
      </c>
      <c r="D17131" t="inlineStr">
        <is>
          <t>VÄRMLANDS LÄN</t>
        </is>
      </c>
      <c r="E17131" t="inlineStr">
        <is>
          <t>HAGFORS</t>
        </is>
      </c>
      <c r="F17131" t="inlineStr">
        <is>
          <t>Bergvik skog väst AB</t>
        </is>
      </c>
      <c r="G17131" t="n">
        <v>12.2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49761-2024</t>
        </is>
      </c>
      <c r="B17132" s="1" t="n">
        <v>45597</v>
      </c>
      <c r="C17132" s="1" t="n">
        <v>45736</v>
      </c>
      <c r="D17132" t="inlineStr">
        <is>
          <t>VÄRMLANDS LÄN</t>
        </is>
      </c>
      <c r="E17132" t="inlineStr">
        <is>
          <t>FILIPSTAD</t>
        </is>
      </c>
      <c r="F17132" t="inlineStr">
        <is>
          <t>Bergvik skog väst AB</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49910-2024</t>
        </is>
      </c>
      <c r="B17133" s="1" t="n">
        <v>45597</v>
      </c>
      <c r="C17133" s="1" t="n">
        <v>45736</v>
      </c>
      <c r="D17133" t="inlineStr">
        <is>
          <t>VÄRMLANDS LÄN</t>
        </is>
      </c>
      <c r="E17133" t="inlineStr">
        <is>
          <t>FILIPSTAD</t>
        </is>
      </c>
      <c r="F17133" t="inlineStr">
        <is>
          <t>Bergvik skog väst AB</t>
        </is>
      </c>
      <c r="G17133" t="n">
        <v>11.8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49845-2024</t>
        </is>
      </c>
      <c r="B17134" s="1" t="n">
        <v>45597</v>
      </c>
      <c r="C17134" s="1" t="n">
        <v>45736</v>
      </c>
      <c r="D17134" t="inlineStr">
        <is>
          <t>VÄRMLANDS LÄN</t>
        </is>
      </c>
      <c r="E17134" t="inlineStr">
        <is>
          <t>TORSBY</t>
        </is>
      </c>
      <c r="G17134" t="n">
        <v>0.4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49873-2024</t>
        </is>
      </c>
      <c r="B17135" s="1" t="n">
        <v>45597</v>
      </c>
      <c r="C17135" s="1" t="n">
        <v>45736</v>
      </c>
      <c r="D17135" t="inlineStr">
        <is>
          <t>VÄRMLANDS LÄN</t>
        </is>
      </c>
      <c r="E17135" t="inlineStr">
        <is>
          <t>ARVIKA</t>
        </is>
      </c>
      <c r="F17135" t="inlineStr">
        <is>
          <t>Bergvik skog väst AB</t>
        </is>
      </c>
      <c r="G17135" t="n">
        <v>3.6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49901-2024</t>
        </is>
      </c>
      <c r="B17136" s="1" t="n">
        <v>45597</v>
      </c>
      <c r="C17136" s="1" t="n">
        <v>45736</v>
      </c>
      <c r="D17136" t="inlineStr">
        <is>
          <t>VÄRMLANDS LÄN</t>
        </is>
      </c>
      <c r="E17136" t="inlineStr">
        <is>
          <t>HAGFORS</t>
        </is>
      </c>
      <c r="F17136" t="inlineStr">
        <is>
          <t>Bergvik skog väst AB</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49913-2024</t>
        </is>
      </c>
      <c r="B17137" s="1" t="n">
        <v>45597</v>
      </c>
      <c r="C17137" s="1" t="n">
        <v>45736</v>
      </c>
      <c r="D17137" t="inlineStr">
        <is>
          <t>VÄRMLANDS LÄN</t>
        </is>
      </c>
      <c r="E17137" t="inlineStr">
        <is>
          <t>ARVIKA</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49925-2024</t>
        </is>
      </c>
      <c r="B17138" s="1" t="n">
        <v>45597</v>
      </c>
      <c r="C17138" s="1" t="n">
        <v>45736</v>
      </c>
      <c r="D17138" t="inlineStr">
        <is>
          <t>VÄRMLANDS LÄN</t>
        </is>
      </c>
      <c r="E17138" t="inlineStr">
        <is>
          <t>ARVIKA</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49883-2024</t>
        </is>
      </c>
      <c r="B17139" s="1" t="n">
        <v>45597</v>
      </c>
      <c r="C17139" s="1" t="n">
        <v>45736</v>
      </c>
      <c r="D17139" t="inlineStr">
        <is>
          <t>VÄRMLANDS LÄN</t>
        </is>
      </c>
      <c r="E17139" t="inlineStr">
        <is>
          <t>ARVIKA</t>
        </is>
      </c>
      <c r="F17139" t="inlineStr">
        <is>
          <t>Bergvik skog väst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49827-2024</t>
        </is>
      </c>
      <c r="B17140" s="1" t="n">
        <v>45597</v>
      </c>
      <c r="C17140" s="1" t="n">
        <v>45736</v>
      </c>
      <c r="D17140" t="inlineStr">
        <is>
          <t>VÄRMLANDS LÄN</t>
        </is>
      </c>
      <c r="E17140" t="inlineStr">
        <is>
          <t>FILIPSTAD</t>
        </is>
      </c>
      <c r="F17140" t="inlineStr">
        <is>
          <t>Bergvik skog väst AB</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49785-2024</t>
        </is>
      </c>
      <c r="B17141" s="1" t="n">
        <v>45597</v>
      </c>
      <c r="C17141" s="1" t="n">
        <v>45736</v>
      </c>
      <c r="D17141" t="inlineStr">
        <is>
          <t>VÄRMLANDS LÄN</t>
        </is>
      </c>
      <c r="E17141" t="inlineStr">
        <is>
          <t>ÅRJÄNG</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49780-2024</t>
        </is>
      </c>
      <c r="B17142" s="1" t="n">
        <v>45597</v>
      </c>
      <c r="C17142" s="1" t="n">
        <v>45736</v>
      </c>
      <c r="D17142" t="inlineStr">
        <is>
          <t>VÄRMLANDS LÄN</t>
        </is>
      </c>
      <c r="E17142" t="inlineStr">
        <is>
          <t>ÅRJÄNG</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49795-2024</t>
        </is>
      </c>
      <c r="B17143" s="1" t="n">
        <v>45597</v>
      </c>
      <c r="C17143" s="1" t="n">
        <v>45736</v>
      </c>
      <c r="D17143" t="inlineStr">
        <is>
          <t>VÄRMLANDS LÄN</t>
        </is>
      </c>
      <c r="E17143" t="inlineStr">
        <is>
          <t>ÅRJÄNG</t>
        </is>
      </c>
      <c r="G17143" t="n">
        <v>2.6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49979-2024</t>
        </is>
      </c>
      <c r="B17144" s="1" t="n">
        <v>45597</v>
      </c>
      <c r="C17144" s="1" t="n">
        <v>45736</v>
      </c>
      <c r="D17144" t="inlineStr">
        <is>
          <t>VÄRMLANDS LÄN</t>
        </is>
      </c>
      <c r="E17144" t="inlineStr">
        <is>
          <t>SÄFFLE</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49952-2024</t>
        </is>
      </c>
      <c r="B17145" s="1" t="n">
        <v>45597</v>
      </c>
      <c r="C17145" s="1" t="n">
        <v>45736</v>
      </c>
      <c r="D17145" t="inlineStr">
        <is>
          <t>VÄRMLANDS LÄN</t>
        </is>
      </c>
      <c r="E17145" t="inlineStr">
        <is>
          <t>ARVIKA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49936-2024</t>
        </is>
      </c>
      <c r="B17146" s="1" t="n">
        <v>45597</v>
      </c>
      <c r="C17146" s="1" t="n">
        <v>45736</v>
      </c>
      <c r="D17146" t="inlineStr">
        <is>
          <t>VÄRMLANDS LÄN</t>
        </is>
      </c>
      <c r="E17146" t="inlineStr">
        <is>
          <t>TORSBY</t>
        </is>
      </c>
      <c r="F17146" t="inlineStr">
        <is>
          <t>Bergvik skog väst AB</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49880-2024</t>
        </is>
      </c>
      <c r="B17147" s="1" t="n">
        <v>45597</v>
      </c>
      <c r="C17147" s="1" t="n">
        <v>45736</v>
      </c>
      <c r="D17147" t="inlineStr">
        <is>
          <t>VÄRMLANDS LÄN</t>
        </is>
      </c>
      <c r="E17147" t="inlineStr">
        <is>
          <t>ARVIKA</t>
        </is>
      </c>
      <c r="F17147" t="inlineStr">
        <is>
          <t>Bergvik skog väst AB</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49840-2024</t>
        </is>
      </c>
      <c r="B17148" s="1" t="n">
        <v>45597</v>
      </c>
      <c r="C17148" s="1" t="n">
        <v>45736</v>
      </c>
      <c r="D17148" t="inlineStr">
        <is>
          <t>VÄRMLANDS LÄN</t>
        </is>
      </c>
      <c r="E17148" t="inlineStr">
        <is>
          <t>TORSBY</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50042-2024</t>
        </is>
      </c>
      <c r="B17149" s="1" t="n">
        <v>45597</v>
      </c>
      <c r="C17149" s="1" t="n">
        <v>45736</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50025-2024</t>
        </is>
      </c>
      <c r="B17150" s="1" t="n">
        <v>45599</v>
      </c>
      <c r="C17150" s="1" t="n">
        <v>45736</v>
      </c>
      <c r="D17150" t="inlineStr">
        <is>
          <t>VÄRMLANDS LÄN</t>
        </is>
      </c>
      <c r="E17150" t="inlineStr">
        <is>
          <t>EDA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50055-2024</t>
        </is>
      </c>
      <c r="B17151" s="1" t="n">
        <v>45600</v>
      </c>
      <c r="C17151" s="1" t="n">
        <v>45736</v>
      </c>
      <c r="D17151" t="inlineStr">
        <is>
          <t>VÄRMLANDS LÄN</t>
        </is>
      </c>
      <c r="E17151" t="inlineStr">
        <is>
          <t>FORSHAGA</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50073-2024</t>
        </is>
      </c>
      <c r="B17152" s="1" t="n">
        <v>45600</v>
      </c>
      <c r="C17152" s="1" t="n">
        <v>45736</v>
      </c>
      <c r="D17152" t="inlineStr">
        <is>
          <t>VÄRMLANDS LÄN</t>
        </is>
      </c>
      <c r="E17152" t="inlineStr">
        <is>
          <t>GRUMS</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50092-2024</t>
        </is>
      </c>
      <c r="B17153" s="1" t="n">
        <v>45600</v>
      </c>
      <c r="C17153" s="1" t="n">
        <v>45736</v>
      </c>
      <c r="D17153" t="inlineStr">
        <is>
          <t>VÄRMLANDS LÄN</t>
        </is>
      </c>
      <c r="E17153" t="inlineStr">
        <is>
          <t>FORSHAGA</t>
        </is>
      </c>
      <c r="F17153" t="inlineStr">
        <is>
          <t>Bergvik skog väst AB</t>
        </is>
      </c>
      <c r="G17153" t="n">
        <v>5.4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50112-2024</t>
        </is>
      </c>
      <c r="B17154" s="1" t="n">
        <v>45600</v>
      </c>
      <c r="C17154" s="1" t="n">
        <v>45736</v>
      </c>
      <c r="D17154" t="inlineStr">
        <is>
          <t>VÄRMLANDS LÄN</t>
        </is>
      </c>
      <c r="E17154" t="inlineStr">
        <is>
          <t>ÅRJÄNG</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50116-2024</t>
        </is>
      </c>
      <c r="B17155" s="1" t="n">
        <v>45600</v>
      </c>
      <c r="C17155" s="1" t="n">
        <v>45736</v>
      </c>
      <c r="D17155" t="inlineStr">
        <is>
          <t>VÄRMLANDS LÄN</t>
        </is>
      </c>
      <c r="E17155" t="inlineStr">
        <is>
          <t>ARVIKA</t>
        </is>
      </c>
      <c r="G17155" t="n">
        <v>5.7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50120-2024</t>
        </is>
      </c>
      <c r="B17156" s="1" t="n">
        <v>45600</v>
      </c>
      <c r="C17156" s="1" t="n">
        <v>45736</v>
      </c>
      <c r="D17156" t="inlineStr">
        <is>
          <t>VÄRMLANDS LÄN</t>
        </is>
      </c>
      <c r="E17156" t="inlineStr">
        <is>
          <t>EDA</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50124-2024</t>
        </is>
      </c>
      <c r="B17157" s="1" t="n">
        <v>45600</v>
      </c>
      <c r="C17157" s="1" t="n">
        <v>45736</v>
      </c>
      <c r="D17157" t="inlineStr">
        <is>
          <t>VÄRMLANDS LÄN</t>
        </is>
      </c>
      <c r="E17157" t="inlineStr">
        <is>
          <t>ÅRJÄNG</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50137-2024</t>
        </is>
      </c>
      <c r="B17158" s="1" t="n">
        <v>45600</v>
      </c>
      <c r="C17158" s="1" t="n">
        <v>45736</v>
      </c>
      <c r="D17158" t="inlineStr">
        <is>
          <t>VÄRMLANDS LÄN</t>
        </is>
      </c>
      <c r="E17158" t="inlineStr">
        <is>
          <t>HAGFORS</t>
        </is>
      </c>
      <c r="F17158" t="inlineStr">
        <is>
          <t>Bergvik skog väst AB</t>
        </is>
      </c>
      <c r="G17158" t="n">
        <v>10.4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50224-2024</t>
        </is>
      </c>
      <c r="B17159" s="1" t="n">
        <v>45600</v>
      </c>
      <c r="C17159" s="1" t="n">
        <v>45736</v>
      </c>
      <c r="D17159" t="inlineStr">
        <is>
          <t>VÄRMLANDS LÄN</t>
        </is>
      </c>
      <c r="E17159" t="inlineStr">
        <is>
          <t>KARLSTAD</t>
        </is>
      </c>
      <c r="G17159" t="n">
        <v>5.9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50147-2024</t>
        </is>
      </c>
      <c r="B17160" s="1" t="n">
        <v>45600</v>
      </c>
      <c r="C17160" s="1" t="n">
        <v>45736</v>
      </c>
      <c r="D17160" t="inlineStr">
        <is>
          <t>VÄRMLANDS LÄN</t>
        </is>
      </c>
      <c r="E17160" t="inlineStr">
        <is>
          <t>TORSBY</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50159-2024</t>
        </is>
      </c>
      <c r="B17161" s="1" t="n">
        <v>45600</v>
      </c>
      <c r="C17161" s="1" t="n">
        <v>45736</v>
      </c>
      <c r="D17161" t="inlineStr">
        <is>
          <t>VÄRMLANDS LÄN</t>
        </is>
      </c>
      <c r="E17161" t="inlineStr">
        <is>
          <t>KRISTINEHAMN</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50174-2024</t>
        </is>
      </c>
      <c r="B17162" s="1" t="n">
        <v>45600</v>
      </c>
      <c r="C17162" s="1" t="n">
        <v>45736</v>
      </c>
      <c r="D17162" t="inlineStr">
        <is>
          <t>VÄRMLANDS LÄN</t>
        </is>
      </c>
      <c r="E17162" t="inlineStr">
        <is>
          <t>KRISTINEHAMN</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50301-2024</t>
        </is>
      </c>
      <c r="B17163" s="1" t="n">
        <v>45600</v>
      </c>
      <c r="C17163" s="1" t="n">
        <v>45736</v>
      </c>
      <c r="D17163" t="inlineStr">
        <is>
          <t>VÄRMLANDS LÄN</t>
        </is>
      </c>
      <c r="E17163" t="inlineStr">
        <is>
          <t>ÅRJÄNG</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50337-2024</t>
        </is>
      </c>
      <c r="B17164" s="1" t="n">
        <v>45600</v>
      </c>
      <c r="C17164" s="1" t="n">
        <v>45736</v>
      </c>
      <c r="D17164" t="inlineStr">
        <is>
          <t>VÄRMLANDS LÄN</t>
        </is>
      </c>
      <c r="E17164" t="inlineStr">
        <is>
          <t>ARVIKA</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50291-2024</t>
        </is>
      </c>
      <c r="B17165" s="1" t="n">
        <v>45600</v>
      </c>
      <c r="C17165" s="1" t="n">
        <v>45736</v>
      </c>
      <c r="D17165" t="inlineStr">
        <is>
          <t>VÄRMLANDS LÄN</t>
        </is>
      </c>
      <c r="E17165" t="inlineStr">
        <is>
          <t>ARVIKA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50331-2024</t>
        </is>
      </c>
      <c r="B17166" s="1" t="n">
        <v>45600</v>
      </c>
      <c r="C17166" s="1" t="n">
        <v>45736</v>
      </c>
      <c r="D17166" t="inlineStr">
        <is>
          <t>VÄRMLANDS LÄN</t>
        </is>
      </c>
      <c r="E17166" t="inlineStr">
        <is>
          <t>HAGFORS</t>
        </is>
      </c>
      <c r="F17166" t="inlineStr">
        <is>
          <t>Bergvik skog väst AB</t>
        </is>
      </c>
      <c r="G17166" t="n">
        <v>7.2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50339-2024</t>
        </is>
      </c>
      <c r="B17167" s="1" t="n">
        <v>45600</v>
      </c>
      <c r="C17167" s="1" t="n">
        <v>45736</v>
      </c>
      <c r="D17167" t="inlineStr">
        <is>
          <t>VÄRMLANDS LÄN</t>
        </is>
      </c>
      <c r="E17167" t="inlineStr">
        <is>
          <t>ÅRJÄNG</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50347-2024</t>
        </is>
      </c>
      <c r="B17168" s="1" t="n">
        <v>45600</v>
      </c>
      <c r="C17168" s="1" t="n">
        <v>45736</v>
      </c>
      <c r="D17168" t="inlineStr">
        <is>
          <t>VÄRMLANDS LÄN</t>
        </is>
      </c>
      <c r="E17168" t="inlineStr">
        <is>
          <t>ÅRJÄNG</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50128-2024</t>
        </is>
      </c>
      <c r="B17169" s="1" t="n">
        <v>45600</v>
      </c>
      <c r="C17169" s="1" t="n">
        <v>45736</v>
      </c>
      <c r="D17169" t="inlineStr">
        <is>
          <t>VÄRMLANDS LÄN</t>
        </is>
      </c>
      <c r="E17169" t="inlineStr">
        <is>
          <t>ÅRJÄNG</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50252-2024</t>
        </is>
      </c>
      <c r="B17170" s="1" t="n">
        <v>45600</v>
      </c>
      <c r="C17170" s="1" t="n">
        <v>45736</v>
      </c>
      <c r="D17170" t="inlineStr">
        <is>
          <t>VÄRMLANDS LÄN</t>
        </is>
      </c>
      <c r="E17170" t="inlineStr">
        <is>
          <t>KIL</t>
        </is>
      </c>
      <c r="G17170" t="n">
        <v>4.5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50236-2024</t>
        </is>
      </c>
      <c r="B17171" s="1" t="n">
        <v>45600</v>
      </c>
      <c r="C17171" s="1" t="n">
        <v>45736</v>
      </c>
      <c r="D17171" t="inlineStr">
        <is>
          <t>VÄRMLANDS LÄN</t>
        </is>
      </c>
      <c r="E17171" t="inlineStr">
        <is>
          <t>KARLSTAD</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50367-2024</t>
        </is>
      </c>
      <c r="B17172" s="1" t="n">
        <v>45600</v>
      </c>
      <c r="C17172" s="1" t="n">
        <v>45736</v>
      </c>
      <c r="D17172" t="inlineStr">
        <is>
          <t>VÄRMLANDS LÄN</t>
        </is>
      </c>
      <c r="E17172" t="inlineStr">
        <is>
          <t>FORSHAGA</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50388-2024</t>
        </is>
      </c>
      <c r="B17173" s="1" t="n">
        <v>45600</v>
      </c>
      <c r="C17173" s="1" t="n">
        <v>45736</v>
      </c>
      <c r="D17173" t="inlineStr">
        <is>
          <t>VÄRMLANDS LÄN</t>
        </is>
      </c>
      <c r="E17173" t="inlineStr">
        <is>
          <t>ÅRJÄNG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50235-2024</t>
        </is>
      </c>
      <c r="B17174" s="1" t="n">
        <v>45600</v>
      </c>
      <c r="C17174" s="1" t="n">
        <v>45736</v>
      </c>
      <c r="D17174" t="inlineStr">
        <is>
          <t>VÄRMLANDS LÄN</t>
        </is>
      </c>
      <c r="E17174" t="inlineStr">
        <is>
          <t>TORSBY</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50332-2024</t>
        </is>
      </c>
      <c r="B17175" s="1" t="n">
        <v>45600</v>
      </c>
      <c r="C17175" s="1" t="n">
        <v>45736</v>
      </c>
      <c r="D17175" t="inlineStr">
        <is>
          <t>VÄRMLANDS LÄN</t>
        </is>
      </c>
      <c r="E17175" t="inlineStr">
        <is>
          <t>HAGFORS</t>
        </is>
      </c>
      <c r="F17175" t="inlineStr">
        <is>
          <t>Bergvik skog väst AB</t>
        </is>
      </c>
      <c r="G17175" t="n">
        <v>6.7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50368-2024</t>
        </is>
      </c>
      <c r="B17176" s="1" t="n">
        <v>45600</v>
      </c>
      <c r="C17176" s="1" t="n">
        <v>45736</v>
      </c>
      <c r="D17176" t="inlineStr">
        <is>
          <t>VÄRMLANDS LÄN</t>
        </is>
      </c>
      <c r="E17176" t="inlineStr">
        <is>
          <t>FORSHAGA</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50122-2024</t>
        </is>
      </c>
      <c r="B17177" s="1" t="n">
        <v>45600</v>
      </c>
      <c r="C17177" s="1" t="n">
        <v>45736</v>
      </c>
      <c r="D17177" t="inlineStr">
        <is>
          <t>VÄRMLANDS LÄN</t>
        </is>
      </c>
      <c r="E17177" t="inlineStr">
        <is>
          <t>ÅRJÄNG</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50225-2024</t>
        </is>
      </c>
      <c r="B17178" s="1" t="n">
        <v>45600</v>
      </c>
      <c r="C17178" s="1" t="n">
        <v>45736</v>
      </c>
      <c r="D17178" t="inlineStr">
        <is>
          <t>VÄRMLANDS LÄN</t>
        </is>
      </c>
      <c r="E17178" t="inlineStr">
        <is>
          <t>EDA</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50302-2024</t>
        </is>
      </c>
      <c r="B17179" s="1" t="n">
        <v>45600</v>
      </c>
      <c r="C17179" s="1" t="n">
        <v>45736</v>
      </c>
      <c r="D17179" t="inlineStr">
        <is>
          <t>VÄRMLANDS LÄN</t>
        </is>
      </c>
      <c r="E17179" t="inlineStr">
        <is>
          <t>ÅRJÄNG</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50318-2024</t>
        </is>
      </c>
      <c r="B17180" s="1" t="n">
        <v>45600</v>
      </c>
      <c r="C17180" s="1" t="n">
        <v>45736</v>
      </c>
      <c r="D17180" t="inlineStr">
        <is>
          <t>VÄRMLANDS LÄN</t>
        </is>
      </c>
      <c r="E17180" t="inlineStr">
        <is>
          <t>TORSBY</t>
        </is>
      </c>
      <c r="F17180" t="inlineStr">
        <is>
          <t>Bergvik skog väst AB</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50330-2024</t>
        </is>
      </c>
      <c r="B17181" s="1" t="n">
        <v>45600</v>
      </c>
      <c r="C17181" s="1" t="n">
        <v>45736</v>
      </c>
      <c r="D17181" t="inlineStr">
        <is>
          <t>VÄRMLANDS LÄN</t>
        </is>
      </c>
      <c r="E17181" t="inlineStr">
        <is>
          <t>HAGFORS</t>
        </is>
      </c>
      <c r="F17181" t="inlineStr">
        <is>
          <t>Bergvik skog väst AB</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50399-2024</t>
        </is>
      </c>
      <c r="B17182" s="1" t="n">
        <v>45601</v>
      </c>
      <c r="C17182" s="1" t="n">
        <v>45736</v>
      </c>
      <c r="D17182" t="inlineStr">
        <is>
          <t>VÄRMLANDS LÄN</t>
        </is>
      </c>
      <c r="E17182" t="inlineStr">
        <is>
          <t>HAGFORS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50475-2024</t>
        </is>
      </c>
      <c r="B17183" s="1" t="n">
        <v>45601</v>
      </c>
      <c r="C17183" s="1" t="n">
        <v>45736</v>
      </c>
      <c r="D17183" t="inlineStr">
        <is>
          <t>VÄRMLANDS LÄN</t>
        </is>
      </c>
      <c r="E17183" t="inlineStr">
        <is>
          <t>KARLSTAD</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50509-2024</t>
        </is>
      </c>
      <c r="B17184" s="1" t="n">
        <v>45601</v>
      </c>
      <c r="C17184" s="1" t="n">
        <v>45736</v>
      </c>
      <c r="D17184" t="inlineStr">
        <is>
          <t>VÄRMLANDS LÄN</t>
        </is>
      </c>
      <c r="E17184" t="inlineStr">
        <is>
          <t>ÅRJÄNG</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50568-2024</t>
        </is>
      </c>
      <c r="B17185" s="1" t="n">
        <v>45601</v>
      </c>
      <c r="C17185" s="1" t="n">
        <v>45736</v>
      </c>
      <c r="D17185" t="inlineStr">
        <is>
          <t>VÄRMLANDS LÄN</t>
        </is>
      </c>
      <c r="E17185" t="inlineStr">
        <is>
          <t>TORSBY</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50563-2024</t>
        </is>
      </c>
      <c r="B17186" s="1" t="n">
        <v>45601</v>
      </c>
      <c r="C17186" s="1" t="n">
        <v>45736</v>
      </c>
      <c r="D17186" t="inlineStr">
        <is>
          <t>VÄRMLANDS LÄN</t>
        </is>
      </c>
      <c r="E17186" t="inlineStr">
        <is>
          <t>EDA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50383-2024</t>
        </is>
      </c>
      <c r="B17187" s="1" t="n">
        <v>45601</v>
      </c>
      <c r="C17187" s="1" t="n">
        <v>45736</v>
      </c>
      <c r="D17187" t="inlineStr">
        <is>
          <t>VÄRMLANDS LÄN</t>
        </is>
      </c>
      <c r="E17187" t="inlineStr">
        <is>
          <t>ARVIKA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50619-2024</t>
        </is>
      </c>
      <c r="B17188" s="1" t="n">
        <v>45601</v>
      </c>
      <c r="C17188" s="1" t="n">
        <v>45736</v>
      </c>
      <c r="D17188" t="inlineStr">
        <is>
          <t>VÄRMLANDS LÄN</t>
        </is>
      </c>
      <c r="E17188" t="inlineStr">
        <is>
          <t>SUNNE</t>
        </is>
      </c>
      <c r="F17188" t="inlineStr">
        <is>
          <t>Bergvik skog väst AB</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50478-2024</t>
        </is>
      </c>
      <c r="B17189" s="1" t="n">
        <v>45601</v>
      </c>
      <c r="C17189" s="1" t="n">
        <v>45736</v>
      </c>
      <c r="D17189" t="inlineStr">
        <is>
          <t>VÄRMLANDS LÄN</t>
        </is>
      </c>
      <c r="E17189" t="inlineStr">
        <is>
          <t>KARLSTAD</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50462-2024</t>
        </is>
      </c>
      <c r="B17190" s="1" t="n">
        <v>45601</v>
      </c>
      <c r="C17190" s="1" t="n">
        <v>45736</v>
      </c>
      <c r="D17190" t="inlineStr">
        <is>
          <t>VÄRMLANDS LÄN</t>
        </is>
      </c>
      <c r="E17190" t="inlineStr">
        <is>
          <t>ARVIKA</t>
        </is>
      </c>
      <c r="F17190" t="inlineStr">
        <is>
          <t>Bergvik skog väst AB</t>
        </is>
      </c>
      <c r="G17190" t="n">
        <v>5.3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50386-2024</t>
        </is>
      </c>
      <c r="B17191" s="1" t="n">
        <v>45601</v>
      </c>
      <c r="C17191" s="1" t="n">
        <v>45736</v>
      </c>
      <c r="D17191" t="inlineStr">
        <is>
          <t>VÄRMLANDS LÄN</t>
        </is>
      </c>
      <c r="E17191" t="inlineStr">
        <is>
          <t>TORSBY</t>
        </is>
      </c>
      <c r="F17191" t="inlineStr">
        <is>
          <t>Övriga Aktiebolag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50373-2024</t>
        </is>
      </c>
      <c r="B17192" s="1" t="n">
        <v>45601</v>
      </c>
      <c r="C17192" s="1" t="n">
        <v>45736</v>
      </c>
      <c r="D17192" t="inlineStr">
        <is>
          <t>VÄRMLANDS LÄN</t>
        </is>
      </c>
      <c r="E17192" t="inlineStr">
        <is>
          <t>TORSBY</t>
        </is>
      </c>
      <c r="F17192" t="inlineStr">
        <is>
          <t>Övriga Aktiebolag</t>
        </is>
      </c>
      <c r="G17192" t="n">
        <v>3.3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50679-2024</t>
        </is>
      </c>
      <c r="B17193" s="1" t="n">
        <v>45601</v>
      </c>
      <c r="C17193" s="1" t="n">
        <v>45736</v>
      </c>
      <c r="D17193" t="inlineStr">
        <is>
          <t>VÄRMLANDS LÄN</t>
        </is>
      </c>
      <c r="E17193" t="inlineStr">
        <is>
          <t>ARVIKA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50678-2024</t>
        </is>
      </c>
      <c r="B17194" s="1" t="n">
        <v>45601</v>
      </c>
      <c r="C17194" s="1" t="n">
        <v>45736</v>
      </c>
      <c r="D17194" t="inlineStr">
        <is>
          <t>VÄRMLANDS LÄN</t>
        </is>
      </c>
      <c r="E17194" t="inlineStr">
        <is>
          <t>ARVIKA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50629-2024</t>
        </is>
      </c>
      <c r="B17195" s="1" t="n">
        <v>45601</v>
      </c>
      <c r="C17195" s="1" t="n">
        <v>45736</v>
      </c>
      <c r="D17195" t="inlineStr">
        <is>
          <t>VÄRMLANDS LÄN</t>
        </is>
      </c>
      <c r="E17195" t="inlineStr">
        <is>
          <t>ARVIKA</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50372-2024</t>
        </is>
      </c>
      <c r="B17196" s="1" t="n">
        <v>45601</v>
      </c>
      <c r="C17196" s="1" t="n">
        <v>45736</v>
      </c>
      <c r="D17196" t="inlineStr">
        <is>
          <t>VÄRMLANDS LÄN</t>
        </is>
      </c>
      <c r="E17196" t="inlineStr">
        <is>
          <t>TORSBY</t>
        </is>
      </c>
      <c r="F17196" t="inlineStr">
        <is>
          <t>Övriga Aktiebolag</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50376-2024</t>
        </is>
      </c>
      <c r="B17197" s="1" t="n">
        <v>45601</v>
      </c>
      <c r="C17197" s="1" t="n">
        <v>45736</v>
      </c>
      <c r="D17197" t="inlineStr">
        <is>
          <t>VÄRMLANDS LÄN</t>
        </is>
      </c>
      <c r="E17197" t="inlineStr">
        <is>
          <t>TORSBY</t>
        </is>
      </c>
      <c r="F17197" t="inlineStr">
        <is>
          <t>Övriga Aktiebolag</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50380-2024</t>
        </is>
      </c>
      <c r="B17198" s="1" t="n">
        <v>45601</v>
      </c>
      <c r="C17198" s="1" t="n">
        <v>45736</v>
      </c>
      <c r="D17198" t="inlineStr">
        <is>
          <t>VÄRMLANDS LÄN</t>
        </is>
      </c>
      <c r="E17198" t="inlineStr">
        <is>
          <t>TORSBY</t>
        </is>
      </c>
      <c r="F17198" t="inlineStr">
        <is>
          <t>Bergvik skog väst AB</t>
        </is>
      </c>
      <c r="G17198" t="n">
        <v>7.9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50415-2024</t>
        </is>
      </c>
      <c r="B17199" s="1" t="n">
        <v>45601</v>
      </c>
      <c r="C17199" s="1" t="n">
        <v>45736</v>
      </c>
      <c r="D17199" t="inlineStr">
        <is>
          <t>VÄRMLANDS LÄN</t>
        </is>
      </c>
      <c r="E17199" t="inlineStr">
        <is>
          <t>SÄFFLE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50494-2024</t>
        </is>
      </c>
      <c r="B17200" s="1" t="n">
        <v>45601</v>
      </c>
      <c r="C17200" s="1" t="n">
        <v>45736</v>
      </c>
      <c r="D17200" t="inlineStr">
        <is>
          <t>VÄRMLANDS LÄN</t>
        </is>
      </c>
      <c r="E17200" t="inlineStr">
        <is>
          <t>TORSBY</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50461-2024</t>
        </is>
      </c>
      <c r="B17201" s="1" t="n">
        <v>45601</v>
      </c>
      <c r="C17201" s="1" t="n">
        <v>45736</v>
      </c>
      <c r="D17201" t="inlineStr">
        <is>
          <t>VÄRMLANDS LÄN</t>
        </is>
      </c>
      <c r="E17201" t="inlineStr">
        <is>
          <t>KIL</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50683-2024</t>
        </is>
      </c>
      <c r="B17202" s="1" t="n">
        <v>45602</v>
      </c>
      <c r="C17202" s="1" t="n">
        <v>45736</v>
      </c>
      <c r="D17202" t="inlineStr">
        <is>
          <t>VÄRMLANDS LÄN</t>
        </is>
      </c>
      <c r="E17202" t="inlineStr">
        <is>
          <t>KARLSTAD</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50695-2024</t>
        </is>
      </c>
      <c r="B17203" s="1" t="n">
        <v>45602</v>
      </c>
      <c r="C17203" s="1" t="n">
        <v>45736</v>
      </c>
      <c r="D17203" t="inlineStr">
        <is>
          <t>VÄRMLANDS LÄN</t>
        </is>
      </c>
      <c r="E17203" t="inlineStr">
        <is>
          <t>SUNNE</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50740-2024</t>
        </is>
      </c>
      <c r="B17204" s="1" t="n">
        <v>45602</v>
      </c>
      <c r="C17204" s="1" t="n">
        <v>45736</v>
      </c>
      <c r="D17204" t="inlineStr">
        <is>
          <t>VÄRMLANDS LÄN</t>
        </is>
      </c>
      <c r="E17204" t="inlineStr">
        <is>
          <t>ÅRJÄNG</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50748-2024</t>
        </is>
      </c>
      <c r="B17205" s="1" t="n">
        <v>45602</v>
      </c>
      <c r="C17205" s="1" t="n">
        <v>45736</v>
      </c>
      <c r="D17205" t="inlineStr">
        <is>
          <t>VÄRMLANDS LÄN</t>
        </is>
      </c>
      <c r="E17205" t="inlineStr">
        <is>
          <t>SUNNE</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50768-2024</t>
        </is>
      </c>
      <c r="B17206" s="1" t="n">
        <v>45602</v>
      </c>
      <c r="C17206" s="1" t="n">
        <v>45736</v>
      </c>
      <c r="D17206" t="inlineStr">
        <is>
          <t>VÄRMLANDS LÄN</t>
        </is>
      </c>
      <c r="E17206" t="inlineStr">
        <is>
          <t>SUNNE</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50776-2024</t>
        </is>
      </c>
      <c r="B17207" s="1" t="n">
        <v>45602</v>
      </c>
      <c r="C17207" s="1" t="n">
        <v>45736</v>
      </c>
      <c r="D17207" t="inlineStr">
        <is>
          <t>VÄRMLANDS LÄN</t>
        </is>
      </c>
      <c r="E17207" t="inlineStr">
        <is>
          <t>FILIPSTAD</t>
        </is>
      </c>
      <c r="F17207" t="inlineStr">
        <is>
          <t>Bergvik skog väst AB</t>
        </is>
      </c>
      <c r="G17207" t="n">
        <v>15.5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50815-2024</t>
        </is>
      </c>
      <c r="B17208" s="1" t="n">
        <v>45602</v>
      </c>
      <c r="C17208" s="1" t="n">
        <v>45736</v>
      </c>
      <c r="D17208" t="inlineStr">
        <is>
          <t>VÄRMLANDS LÄN</t>
        </is>
      </c>
      <c r="E17208" t="inlineStr">
        <is>
          <t>SUNNE</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50684-2024</t>
        </is>
      </c>
      <c r="B17209" s="1" t="n">
        <v>45602</v>
      </c>
      <c r="C17209" s="1" t="n">
        <v>45736</v>
      </c>
      <c r="D17209" t="inlineStr">
        <is>
          <t>VÄRMLANDS LÄN</t>
        </is>
      </c>
      <c r="E17209" t="inlineStr">
        <is>
          <t>SUNNE</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50753-2024</t>
        </is>
      </c>
      <c r="B17210" s="1" t="n">
        <v>45602</v>
      </c>
      <c r="C17210" s="1" t="n">
        <v>45736</v>
      </c>
      <c r="D17210" t="inlineStr">
        <is>
          <t>VÄRMLANDS LÄN</t>
        </is>
      </c>
      <c r="E17210" t="inlineStr">
        <is>
          <t>SUNNE</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50825-2024</t>
        </is>
      </c>
      <c r="B17211" s="1" t="n">
        <v>45602</v>
      </c>
      <c r="C17211" s="1" t="n">
        <v>45736</v>
      </c>
      <c r="D17211" t="inlineStr">
        <is>
          <t>VÄRMLANDS LÄN</t>
        </is>
      </c>
      <c r="E17211" t="inlineStr">
        <is>
          <t>SUNNE</t>
        </is>
      </c>
      <c r="G17211" t="n">
        <v>7.3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50832-2024</t>
        </is>
      </c>
      <c r="B17212" s="1" t="n">
        <v>45602</v>
      </c>
      <c r="C17212" s="1" t="n">
        <v>45736</v>
      </c>
      <c r="D17212" t="inlineStr">
        <is>
          <t>VÄRMLANDS LÄN</t>
        </is>
      </c>
      <c r="E17212" t="inlineStr">
        <is>
          <t>TORSBY</t>
        </is>
      </c>
      <c r="F17212" t="inlineStr">
        <is>
          <t>Bergvik skog väst AB</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50837-2024</t>
        </is>
      </c>
      <c r="B17213" s="1" t="n">
        <v>45602</v>
      </c>
      <c r="C17213" s="1" t="n">
        <v>45736</v>
      </c>
      <c r="D17213" t="inlineStr">
        <is>
          <t>VÄRMLANDS LÄN</t>
        </is>
      </c>
      <c r="E17213" t="inlineStr">
        <is>
          <t>SUNNE</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50841-2024</t>
        </is>
      </c>
      <c r="B17214" s="1" t="n">
        <v>45602</v>
      </c>
      <c r="C17214" s="1" t="n">
        <v>45736</v>
      </c>
      <c r="D17214" t="inlineStr">
        <is>
          <t>VÄRMLANDS LÄN</t>
        </is>
      </c>
      <c r="E17214" t="inlineStr">
        <is>
          <t>SUNNE</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50872-2024</t>
        </is>
      </c>
      <c r="B17215" s="1" t="n">
        <v>45602</v>
      </c>
      <c r="C17215" s="1" t="n">
        <v>45736</v>
      </c>
      <c r="D17215" t="inlineStr">
        <is>
          <t>VÄRMLANDS LÄN</t>
        </is>
      </c>
      <c r="E17215" t="inlineStr">
        <is>
          <t>SUNNE</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50936-2024</t>
        </is>
      </c>
      <c r="B17216" s="1" t="n">
        <v>45602</v>
      </c>
      <c r="C17216" s="1" t="n">
        <v>45736</v>
      </c>
      <c r="D17216" t="inlineStr">
        <is>
          <t>VÄRMLANDS LÄN</t>
        </is>
      </c>
      <c r="E17216" t="inlineStr">
        <is>
          <t>ARVIKA</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50948-2024</t>
        </is>
      </c>
      <c r="B17217" s="1" t="n">
        <v>45602</v>
      </c>
      <c r="C17217" s="1" t="n">
        <v>45736</v>
      </c>
      <c r="D17217" t="inlineStr">
        <is>
          <t>VÄRMLANDS LÄN</t>
        </is>
      </c>
      <c r="E17217" t="inlineStr">
        <is>
          <t>HAGFORS</t>
        </is>
      </c>
      <c r="G17217" t="n">
        <v>7.7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51260-2024</t>
        </is>
      </c>
      <c r="B17218" s="1" t="n">
        <v>45602</v>
      </c>
      <c r="C17218" s="1" t="n">
        <v>45736</v>
      </c>
      <c r="D17218" t="inlineStr">
        <is>
          <t>VÄRMLANDS LÄN</t>
        </is>
      </c>
      <c r="E17218" t="inlineStr">
        <is>
          <t>ÅRJÄNG</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50775-2024</t>
        </is>
      </c>
      <c r="B17219" s="1" t="n">
        <v>45602</v>
      </c>
      <c r="C17219" s="1" t="n">
        <v>45736</v>
      </c>
      <c r="D17219" t="inlineStr">
        <is>
          <t>VÄRMLANDS LÄN</t>
        </is>
      </c>
      <c r="E17219" t="inlineStr">
        <is>
          <t>SUNNE</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50786-2024</t>
        </is>
      </c>
      <c r="B17220" s="1" t="n">
        <v>45602</v>
      </c>
      <c r="C17220" s="1" t="n">
        <v>45736</v>
      </c>
      <c r="D17220" t="inlineStr">
        <is>
          <t>VÄRMLANDS LÄN</t>
        </is>
      </c>
      <c r="E17220" t="inlineStr">
        <is>
          <t>FILIPSTAD</t>
        </is>
      </c>
      <c r="F17220" t="inlineStr">
        <is>
          <t>Bergvik skog väst AB</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50819-2024</t>
        </is>
      </c>
      <c r="B17221" s="1" t="n">
        <v>45602</v>
      </c>
      <c r="C17221" s="1" t="n">
        <v>45736</v>
      </c>
      <c r="D17221" t="inlineStr">
        <is>
          <t>VÄRMLANDS LÄN</t>
        </is>
      </c>
      <c r="E17221" t="inlineStr">
        <is>
          <t>SUNNE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50890-2024</t>
        </is>
      </c>
      <c r="B17222" s="1" t="n">
        <v>45602</v>
      </c>
      <c r="C17222" s="1" t="n">
        <v>45736</v>
      </c>
      <c r="D17222" t="inlineStr">
        <is>
          <t>VÄRMLANDS LÄN</t>
        </is>
      </c>
      <c r="E17222" t="inlineStr">
        <is>
          <t>ARVIKA</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50914-2024</t>
        </is>
      </c>
      <c r="B17223" s="1" t="n">
        <v>45602</v>
      </c>
      <c r="C17223" s="1" t="n">
        <v>45736</v>
      </c>
      <c r="D17223" t="inlineStr">
        <is>
          <t>VÄRMLANDS LÄN</t>
        </is>
      </c>
      <c r="E17223" t="inlineStr">
        <is>
          <t>ARVIKA</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50950-2024</t>
        </is>
      </c>
      <c r="B17224" s="1" t="n">
        <v>45602</v>
      </c>
      <c r="C17224" s="1" t="n">
        <v>45736</v>
      </c>
      <c r="D17224" t="inlineStr">
        <is>
          <t>VÄRMLANDS LÄN</t>
        </is>
      </c>
      <c r="E17224" t="inlineStr">
        <is>
          <t>SUNNE</t>
        </is>
      </c>
      <c r="G17224" t="n">
        <v>3.7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51268-2024</t>
        </is>
      </c>
      <c r="B17225" s="1" t="n">
        <v>45602</v>
      </c>
      <c r="C17225" s="1" t="n">
        <v>45736</v>
      </c>
      <c r="D17225" t="inlineStr">
        <is>
          <t>VÄRMLANDS LÄN</t>
        </is>
      </c>
      <c r="E17225" t="inlineStr">
        <is>
          <t>ÅRJÄNG</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50789-2024</t>
        </is>
      </c>
      <c r="B17226" s="1" t="n">
        <v>45602</v>
      </c>
      <c r="C17226" s="1" t="n">
        <v>45736</v>
      </c>
      <c r="D17226" t="inlineStr">
        <is>
          <t>VÄRMLANDS LÄN</t>
        </is>
      </c>
      <c r="E17226" t="inlineStr">
        <is>
          <t>ARVIKA</t>
        </is>
      </c>
      <c r="F17226" t="inlineStr">
        <is>
          <t>Bergvik skog väst AB</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50847-2024</t>
        </is>
      </c>
      <c r="B17227" s="1" t="n">
        <v>45602</v>
      </c>
      <c r="C17227" s="1" t="n">
        <v>45736</v>
      </c>
      <c r="D17227" t="inlineStr">
        <is>
          <t>VÄRMLANDS LÄN</t>
        </is>
      </c>
      <c r="E17227" t="inlineStr">
        <is>
          <t>ARVIKA</t>
        </is>
      </c>
      <c r="F17227" t="inlineStr">
        <is>
          <t>Bergvik skog väst AB</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50937-2024</t>
        </is>
      </c>
      <c r="B17228" s="1" t="n">
        <v>45602</v>
      </c>
      <c r="C17228" s="1" t="n">
        <v>45736</v>
      </c>
      <c r="D17228" t="inlineStr">
        <is>
          <t>VÄRMLANDS LÄN</t>
        </is>
      </c>
      <c r="E17228" t="inlineStr">
        <is>
          <t>ARVIKA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51265-2024</t>
        </is>
      </c>
      <c r="B17229" s="1" t="n">
        <v>45602</v>
      </c>
      <c r="C17229" s="1" t="n">
        <v>45736</v>
      </c>
      <c r="D17229" t="inlineStr">
        <is>
          <t>VÄRMLANDS LÄN</t>
        </is>
      </c>
      <c r="E17229" t="inlineStr">
        <is>
          <t>ÅRJÄNG</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51146-2024</t>
        </is>
      </c>
      <c r="B17230" s="1" t="n">
        <v>45603</v>
      </c>
      <c r="C17230" s="1" t="n">
        <v>45736</v>
      </c>
      <c r="D17230" t="inlineStr">
        <is>
          <t>VÄRMLANDS LÄN</t>
        </is>
      </c>
      <c r="E17230" t="inlineStr">
        <is>
          <t>EDA</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51189-2024</t>
        </is>
      </c>
      <c r="B17231" s="1" t="n">
        <v>45603</v>
      </c>
      <c r="C17231" s="1" t="n">
        <v>45736</v>
      </c>
      <c r="D17231" t="inlineStr">
        <is>
          <t>VÄRMLANDS LÄN</t>
        </is>
      </c>
      <c r="E17231" t="inlineStr">
        <is>
          <t>SÄFFLE</t>
        </is>
      </c>
      <c r="G17231" t="n">
        <v>2.6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51171-2024</t>
        </is>
      </c>
      <c r="B17232" s="1" t="n">
        <v>45603</v>
      </c>
      <c r="C17232" s="1" t="n">
        <v>45736</v>
      </c>
      <c r="D17232" t="inlineStr">
        <is>
          <t>VÄRMLANDS LÄN</t>
        </is>
      </c>
      <c r="E17232" t="inlineStr">
        <is>
          <t>HAGFORS</t>
        </is>
      </c>
      <c r="F17232" t="inlineStr">
        <is>
          <t>Bergvik skog väst AB</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51014-2024</t>
        </is>
      </c>
      <c r="B17233" s="1" t="n">
        <v>45603</v>
      </c>
      <c r="C17233" s="1" t="n">
        <v>45736</v>
      </c>
      <c r="D17233" t="inlineStr">
        <is>
          <t>VÄRMLANDS LÄN</t>
        </is>
      </c>
      <c r="E17233" t="inlineStr">
        <is>
          <t>ARVIKA</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51203-2024</t>
        </is>
      </c>
      <c r="B17234" s="1" t="n">
        <v>45603</v>
      </c>
      <c r="C17234" s="1" t="n">
        <v>45736</v>
      </c>
      <c r="D17234" t="inlineStr">
        <is>
          <t>VÄRMLANDS LÄN</t>
        </is>
      </c>
      <c r="E17234" t="inlineStr">
        <is>
          <t>SÄFFLE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51038-2024</t>
        </is>
      </c>
      <c r="B17235" s="1" t="n">
        <v>45603</v>
      </c>
      <c r="C17235" s="1" t="n">
        <v>45736</v>
      </c>
      <c r="D17235" t="inlineStr">
        <is>
          <t>VÄRMLANDS LÄN</t>
        </is>
      </c>
      <c r="E17235" t="inlineStr">
        <is>
          <t>SUNNE</t>
        </is>
      </c>
      <c r="F17235" t="inlineStr">
        <is>
          <t>Bergvik skog väst AB</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51046-2024</t>
        </is>
      </c>
      <c r="B17236" s="1" t="n">
        <v>45603</v>
      </c>
      <c r="C17236" s="1" t="n">
        <v>45736</v>
      </c>
      <c r="D17236" t="inlineStr">
        <is>
          <t>VÄRMLANDS LÄN</t>
        </is>
      </c>
      <c r="E17236" t="inlineStr">
        <is>
          <t>SUNNE</t>
        </is>
      </c>
      <c r="F17236" t="inlineStr">
        <is>
          <t>Bergvik skog väst AB</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51102-2024</t>
        </is>
      </c>
      <c r="B17237" s="1" t="n">
        <v>45603</v>
      </c>
      <c r="C17237" s="1" t="n">
        <v>45736</v>
      </c>
      <c r="D17237" t="inlineStr">
        <is>
          <t>VÄRMLANDS LÄN</t>
        </is>
      </c>
      <c r="E17237" t="inlineStr">
        <is>
          <t>HAGFORS</t>
        </is>
      </c>
      <c r="F17237" t="inlineStr">
        <is>
          <t>Bergvik skog väst AB</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51139-2024</t>
        </is>
      </c>
      <c r="B17238" s="1" t="n">
        <v>45603</v>
      </c>
      <c r="C17238" s="1" t="n">
        <v>45736</v>
      </c>
      <c r="D17238" t="inlineStr">
        <is>
          <t>VÄRMLANDS LÄN</t>
        </is>
      </c>
      <c r="E17238" t="inlineStr">
        <is>
          <t>KRISTINEHAMN</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51143-2024</t>
        </is>
      </c>
      <c r="B17239" s="1" t="n">
        <v>45603</v>
      </c>
      <c r="C17239" s="1" t="n">
        <v>45736</v>
      </c>
      <c r="D17239" t="inlineStr">
        <is>
          <t>VÄRMLANDS LÄN</t>
        </is>
      </c>
      <c r="E17239" t="inlineStr">
        <is>
          <t>EDA</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50953-2024</t>
        </is>
      </c>
      <c r="B17240" s="1" t="n">
        <v>45603</v>
      </c>
      <c r="C17240" s="1" t="n">
        <v>45736</v>
      </c>
      <c r="D17240" t="inlineStr">
        <is>
          <t>VÄRMLANDS LÄN</t>
        </is>
      </c>
      <c r="E17240" t="inlineStr">
        <is>
          <t>ARVIKA</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50974-2024</t>
        </is>
      </c>
      <c r="B17241" s="1" t="n">
        <v>45603</v>
      </c>
      <c r="C17241" s="1" t="n">
        <v>45736</v>
      </c>
      <c r="D17241" t="inlineStr">
        <is>
          <t>VÄRMLANDS LÄN</t>
        </is>
      </c>
      <c r="E17241" t="inlineStr">
        <is>
          <t>EDA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50990-2024</t>
        </is>
      </c>
      <c r="B17242" s="1" t="n">
        <v>45603</v>
      </c>
      <c r="C17242" s="1" t="n">
        <v>45736</v>
      </c>
      <c r="D17242" t="inlineStr">
        <is>
          <t>VÄRMLANDS LÄN</t>
        </is>
      </c>
      <c r="E17242" t="inlineStr">
        <is>
          <t>EDA</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50994-2024</t>
        </is>
      </c>
      <c r="B17243" s="1" t="n">
        <v>45603</v>
      </c>
      <c r="C17243" s="1" t="n">
        <v>45736</v>
      </c>
      <c r="D17243" t="inlineStr">
        <is>
          <t>VÄRMLANDS LÄN</t>
        </is>
      </c>
      <c r="E17243" t="inlineStr">
        <is>
          <t>EDA</t>
        </is>
      </c>
      <c r="G17243" t="n">
        <v>10</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51031-2024</t>
        </is>
      </c>
      <c r="B17244" s="1" t="n">
        <v>45603</v>
      </c>
      <c r="C17244" s="1" t="n">
        <v>45736</v>
      </c>
      <c r="D17244" t="inlineStr">
        <is>
          <t>VÄRMLANDS LÄN</t>
        </is>
      </c>
      <c r="E17244" t="inlineStr">
        <is>
          <t>KARLSTAD</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51235-2024</t>
        </is>
      </c>
      <c r="B17245" s="1" t="n">
        <v>45603</v>
      </c>
      <c r="C17245" s="1" t="n">
        <v>45736</v>
      </c>
      <c r="D17245" t="inlineStr">
        <is>
          <t>VÄRMLANDS LÄN</t>
        </is>
      </c>
      <c r="E17245" t="inlineStr">
        <is>
          <t>ARVIKA</t>
        </is>
      </c>
      <c r="G17245" t="n">
        <v>9.9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51086-2024</t>
        </is>
      </c>
      <c r="B17246" s="1" t="n">
        <v>45603</v>
      </c>
      <c r="C17246" s="1" t="n">
        <v>45736</v>
      </c>
      <c r="D17246" t="inlineStr">
        <is>
          <t>VÄRMLANDS LÄN</t>
        </is>
      </c>
      <c r="E17246" t="inlineStr">
        <is>
          <t>SUNNE</t>
        </is>
      </c>
      <c r="F17246" t="inlineStr">
        <is>
          <t>Bergvik skog väst AB</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51266-2024</t>
        </is>
      </c>
      <c r="B17247" s="1" t="n">
        <v>45603</v>
      </c>
      <c r="C17247" s="1" t="n">
        <v>45736</v>
      </c>
      <c r="D17247" t="inlineStr">
        <is>
          <t>VÄRMLANDS LÄN</t>
        </is>
      </c>
      <c r="E17247" t="inlineStr">
        <is>
          <t>SÄFFLE</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51271-2024</t>
        </is>
      </c>
      <c r="B17248" s="1" t="n">
        <v>45603</v>
      </c>
      <c r="C17248" s="1" t="n">
        <v>45736</v>
      </c>
      <c r="D17248" t="inlineStr">
        <is>
          <t>VÄRMLANDS LÄN</t>
        </is>
      </c>
      <c r="E17248" t="inlineStr">
        <is>
          <t>TORSBY</t>
        </is>
      </c>
      <c r="F17248" t="inlineStr">
        <is>
          <t>Bergvik skog väst AB</t>
        </is>
      </c>
      <c r="G17248" t="n">
        <v>22.5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51281-2024</t>
        </is>
      </c>
      <c r="B17249" s="1" t="n">
        <v>45603</v>
      </c>
      <c r="C17249" s="1" t="n">
        <v>45736</v>
      </c>
      <c r="D17249" t="inlineStr">
        <is>
          <t>VÄRMLANDS LÄN</t>
        </is>
      </c>
      <c r="E17249" t="inlineStr">
        <is>
          <t>SUNNE</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51205-2024</t>
        </is>
      </c>
      <c r="B17250" s="1" t="n">
        <v>45603</v>
      </c>
      <c r="C17250" s="1" t="n">
        <v>45736</v>
      </c>
      <c r="D17250" t="inlineStr">
        <is>
          <t>VÄRMLANDS LÄN</t>
        </is>
      </c>
      <c r="E17250" t="inlineStr">
        <is>
          <t>FILIPSTAD</t>
        </is>
      </c>
      <c r="F17250" t="inlineStr">
        <is>
          <t>Bergvik skog väst AB</t>
        </is>
      </c>
      <c r="G17250" t="n">
        <v>8.4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51157-2024</t>
        </is>
      </c>
      <c r="B17251" s="1" t="n">
        <v>45603</v>
      </c>
      <c r="C17251" s="1" t="n">
        <v>45736</v>
      </c>
      <c r="D17251" t="inlineStr">
        <is>
          <t>VÄRMLANDS LÄN</t>
        </is>
      </c>
      <c r="E17251" t="inlineStr">
        <is>
          <t>ÅRJÄNG</t>
        </is>
      </c>
      <c r="G17251" t="n">
        <v>6.3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51144-2024</t>
        </is>
      </c>
      <c r="B17252" s="1" t="n">
        <v>45603</v>
      </c>
      <c r="C17252" s="1" t="n">
        <v>45736</v>
      </c>
      <c r="D17252" t="inlineStr">
        <is>
          <t>VÄRMLANDS LÄN</t>
        </is>
      </c>
      <c r="E17252" t="inlineStr">
        <is>
          <t>EDA</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51089-2024</t>
        </is>
      </c>
      <c r="B17253" s="1" t="n">
        <v>45603</v>
      </c>
      <c r="C17253" s="1" t="n">
        <v>45736</v>
      </c>
      <c r="D17253" t="inlineStr">
        <is>
          <t>VÄRMLANDS LÄN</t>
        </is>
      </c>
      <c r="E17253" t="inlineStr">
        <is>
          <t>FILIPSTAD</t>
        </is>
      </c>
      <c r="F17253" t="inlineStr">
        <is>
          <t>Bergvik skog väst AB</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51536-2024</t>
        </is>
      </c>
      <c r="B17254" s="1" t="n">
        <v>45603</v>
      </c>
      <c r="C17254" s="1" t="n">
        <v>45736</v>
      </c>
      <c r="D17254" t="inlineStr">
        <is>
          <t>VÄRMLANDS LÄN</t>
        </is>
      </c>
      <c r="E17254" t="inlineStr">
        <is>
          <t>SÄFFLE</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51009-2024</t>
        </is>
      </c>
      <c r="B17255" s="1" t="n">
        <v>45603</v>
      </c>
      <c r="C17255" s="1" t="n">
        <v>45736</v>
      </c>
      <c r="D17255" t="inlineStr">
        <is>
          <t>VÄRMLANDS LÄN</t>
        </is>
      </c>
      <c r="E17255" t="inlineStr">
        <is>
          <t>SUNNE</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51017-2024</t>
        </is>
      </c>
      <c r="B17256" s="1" t="n">
        <v>45603</v>
      </c>
      <c r="C17256" s="1" t="n">
        <v>45736</v>
      </c>
      <c r="D17256" t="inlineStr">
        <is>
          <t>VÄRMLANDS LÄN</t>
        </is>
      </c>
      <c r="E17256" t="inlineStr">
        <is>
          <t>ARVIKA</t>
        </is>
      </c>
      <c r="G17256" t="n">
        <v>6.1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51033-2024</t>
        </is>
      </c>
      <c r="B17257" s="1" t="n">
        <v>45603</v>
      </c>
      <c r="C17257" s="1" t="n">
        <v>45736</v>
      </c>
      <c r="D17257" t="inlineStr">
        <is>
          <t>VÄRMLANDS LÄN</t>
        </is>
      </c>
      <c r="E17257" t="inlineStr">
        <is>
          <t>EDA</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51162-2024</t>
        </is>
      </c>
      <c r="B17258" s="1" t="n">
        <v>45603</v>
      </c>
      <c r="C17258" s="1" t="n">
        <v>45736</v>
      </c>
      <c r="D17258" t="inlineStr">
        <is>
          <t>VÄRMLANDS LÄN</t>
        </is>
      </c>
      <c r="E17258" t="inlineStr">
        <is>
          <t>FILIPSTAD</t>
        </is>
      </c>
      <c r="F17258" t="inlineStr">
        <is>
          <t>Bergvik skog väst AB</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51299-2024</t>
        </is>
      </c>
      <c r="B17259" s="1" t="n">
        <v>45604</v>
      </c>
      <c r="C17259" s="1" t="n">
        <v>45736</v>
      </c>
      <c r="D17259" t="inlineStr">
        <is>
          <t>VÄRMLANDS LÄN</t>
        </is>
      </c>
      <c r="E17259" t="inlineStr">
        <is>
          <t>ARVIKA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51369-2024</t>
        </is>
      </c>
      <c r="B17260" s="1" t="n">
        <v>45604</v>
      </c>
      <c r="C17260" s="1" t="n">
        <v>45736</v>
      </c>
      <c r="D17260" t="inlineStr">
        <is>
          <t>VÄRMLANDS LÄN</t>
        </is>
      </c>
      <c r="E17260" t="inlineStr">
        <is>
          <t>TORSBY</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51308-2024</t>
        </is>
      </c>
      <c r="B17261" s="1" t="n">
        <v>45604</v>
      </c>
      <c r="C17261" s="1" t="n">
        <v>45736</v>
      </c>
      <c r="D17261" t="inlineStr">
        <is>
          <t>VÄRMLANDS LÄN</t>
        </is>
      </c>
      <c r="E17261" t="inlineStr">
        <is>
          <t>ARVIKA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51316-2024</t>
        </is>
      </c>
      <c r="B17262" s="1" t="n">
        <v>45604</v>
      </c>
      <c r="C17262" s="1" t="n">
        <v>45736</v>
      </c>
      <c r="D17262" t="inlineStr">
        <is>
          <t>VÄRMLANDS LÄN</t>
        </is>
      </c>
      <c r="E17262" t="inlineStr">
        <is>
          <t>ARVIKA</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51331-2024</t>
        </is>
      </c>
      <c r="B17263" s="1" t="n">
        <v>45604</v>
      </c>
      <c r="C17263" s="1" t="n">
        <v>45736</v>
      </c>
      <c r="D17263" t="inlineStr">
        <is>
          <t>VÄRMLANDS LÄN</t>
        </is>
      </c>
      <c r="E17263" t="inlineStr">
        <is>
          <t>SUNNE</t>
        </is>
      </c>
      <c r="F17263" t="inlineStr">
        <is>
          <t>Bergvik skog väst AB</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51349-2024</t>
        </is>
      </c>
      <c r="B17264" s="1" t="n">
        <v>45604</v>
      </c>
      <c r="C17264" s="1" t="n">
        <v>45736</v>
      </c>
      <c r="D17264" t="inlineStr">
        <is>
          <t>VÄRMLANDS LÄN</t>
        </is>
      </c>
      <c r="E17264" t="inlineStr">
        <is>
          <t>KIL</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51454-2024</t>
        </is>
      </c>
      <c r="B17265" s="1" t="n">
        <v>45604</v>
      </c>
      <c r="C17265" s="1" t="n">
        <v>45736</v>
      </c>
      <c r="D17265" t="inlineStr">
        <is>
          <t>VÄRMLANDS LÄN</t>
        </is>
      </c>
      <c r="E17265" t="inlineStr">
        <is>
          <t>SUNNE</t>
        </is>
      </c>
      <c r="F17265" t="inlineStr">
        <is>
          <t>Bergvik skog väst AB</t>
        </is>
      </c>
      <c r="G17265" t="n">
        <v>8.4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51462-2024</t>
        </is>
      </c>
      <c r="B17266" s="1" t="n">
        <v>45604</v>
      </c>
      <c r="C17266" s="1" t="n">
        <v>45736</v>
      </c>
      <c r="D17266" t="inlineStr">
        <is>
          <t>VÄRMLANDS LÄN</t>
        </is>
      </c>
      <c r="E17266" t="inlineStr">
        <is>
          <t>KRISTINEHAMN</t>
        </is>
      </c>
      <c r="G17266" t="n">
        <v>5.5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51502-2024</t>
        </is>
      </c>
      <c r="B17267" s="1" t="n">
        <v>45604</v>
      </c>
      <c r="C17267" s="1" t="n">
        <v>45736</v>
      </c>
      <c r="D17267" t="inlineStr">
        <is>
          <t>VÄRMLANDS LÄN</t>
        </is>
      </c>
      <c r="E17267" t="inlineStr">
        <is>
          <t>FORSHAGA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51532-2024</t>
        </is>
      </c>
      <c r="B17268" s="1" t="n">
        <v>45604</v>
      </c>
      <c r="C17268" s="1" t="n">
        <v>45736</v>
      </c>
      <c r="D17268" t="inlineStr">
        <is>
          <t>VÄRMLANDS LÄN</t>
        </is>
      </c>
      <c r="E17268" t="inlineStr">
        <is>
          <t>FILIPSTAD</t>
        </is>
      </c>
      <c r="F17268" t="inlineStr">
        <is>
          <t>Bergvik skog väst AB</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51534-2024</t>
        </is>
      </c>
      <c r="B17269" s="1" t="n">
        <v>45604</v>
      </c>
      <c r="C17269" s="1" t="n">
        <v>45736</v>
      </c>
      <c r="D17269" t="inlineStr">
        <is>
          <t>VÄRMLANDS LÄN</t>
        </is>
      </c>
      <c r="E17269" t="inlineStr">
        <is>
          <t>FILIPSTAD</t>
        </is>
      </c>
      <c r="F17269" t="inlineStr">
        <is>
          <t>Bergvik skog väst AB</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51549-2024</t>
        </is>
      </c>
      <c r="B17270" s="1" t="n">
        <v>45604</v>
      </c>
      <c r="C17270" s="1" t="n">
        <v>45736</v>
      </c>
      <c r="D17270" t="inlineStr">
        <is>
          <t>VÄRMLANDS LÄN</t>
        </is>
      </c>
      <c r="E17270" t="inlineStr">
        <is>
          <t>ARVIKA</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51596-2024</t>
        </is>
      </c>
      <c r="B17271" s="1" t="n">
        <v>45604</v>
      </c>
      <c r="C17271" s="1" t="n">
        <v>45736</v>
      </c>
      <c r="D17271" t="inlineStr">
        <is>
          <t>VÄRMLANDS LÄN</t>
        </is>
      </c>
      <c r="E17271" t="inlineStr">
        <is>
          <t>ARVIKA</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51469-2024</t>
        </is>
      </c>
      <c r="B17272" s="1" t="n">
        <v>45604</v>
      </c>
      <c r="C17272" s="1" t="n">
        <v>45736</v>
      </c>
      <c r="D17272" t="inlineStr">
        <is>
          <t>VÄRMLANDS LÄN</t>
        </is>
      </c>
      <c r="E17272" t="inlineStr">
        <is>
          <t>TORSBY</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51477-2024</t>
        </is>
      </c>
      <c r="B17273" s="1" t="n">
        <v>45604</v>
      </c>
      <c r="C17273" s="1" t="n">
        <v>45736</v>
      </c>
      <c r="D17273" t="inlineStr">
        <is>
          <t>VÄRMLANDS LÄN</t>
        </is>
      </c>
      <c r="E17273" t="inlineStr">
        <is>
          <t>MUNKFORS</t>
        </is>
      </c>
      <c r="F17273" t="inlineStr">
        <is>
          <t>Bergvik skog väst AB</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51520-2024</t>
        </is>
      </c>
      <c r="B17274" s="1" t="n">
        <v>45604</v>
      </c>
      <c r="C17274" s="1" t="n">
        <v>45736</v>
      </c>
      <c r="D17274" t="inlineStr">
        <is>
          <t>VÄRMLANDS LÄN</t>
        </is>
      </c>
      <c r="E17274" t="inlineStr">
        <is>
          <t>EDA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51524-2024</t>
        </is>
      </c>
      <c r="B17275" s="1" t="n">
        <v>45604</v>
      </c>
      <c r="C17275" s="1" t="n">
        <v>45736</v>
      </c>
      <c r="D17275" t="inlineStr">
        <is>
          <t>VÄRMLANDS LÄN</t>
        </is>
      </c>
      <c r="E17275" t="inlineStr">
        <is>
          <t>FILIPSTAD</t>
        </is>
      </c>
      <c r="F17275" t="inlineStr">
        <is>
          <t>Bergvik skog väst AB</t>
        </is>
      </c>
      <c r="G17275" t="n">
        <v>10.1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51533-2024</t>
        </is>
      </c>
      <c r="B17276" s="1" t="n">
        <v>45604</v>
      </c>
      <c r="C17276" s="1" t="n">
        <v>45736</v>
      </c>
      <c r="D17276" t="inlineStr">
        <is>
          <t>VÄRMLANDS LÄN</t>
        </is>
      </c>
      <c r="E17276" t="inlineStr">
        <is>
          <t>ARVIKA</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51574-2024</t>
        </is>
      </c>
      <c r="B17277" s="1" t="n">
        <v>45604</v>
      </c>
      <c r="C17277" s="1" t="n">
        <v>45736</v>
      </c>
      <c r="D17277" t="inlineStr">
        <is>
          <t>VÄRMLANDS LÄN</t>
        </is>
      </c>
      <c r="E17277" t="inlineStr">
        <is>
          <t>FILIPSTAD</t>
        </is>
      </c>
      <c r="F17277" t="inlineStr">
        <is>
          <t>Bergvik skog väst AB</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51300-2024</t>
        </is>
      </c>
      <c r="B17278" s="1" t="n">
        <v>45604</v>
      </c>
      <c r="C17278" s="1" t="n">
        <v>45736</v>
      </c>
      <c r="D17278" t="inlineStr">
        <is>
          <t>VÄRMLANDS LÄN</t>
        </is>
      </c>
      <c r="E17278" t="inlineStr">
        <is>
          <t>ARVIKA</t>
        </is>
      </c>
      <c r="G17278" t="n">
        <v>5.3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51355-2024</t>
        </is>
      </c>
      <c r="B17279" s="1" t="n">
        <v>45604</v>
      </c>
      <c r="C17279" s="1" t="n">
        <v>45736</v>
      </c>
      <c r="D17279" t="inlineStr">
        <is>
          <t>VÄRMLANDS LÄN</t>
        </is>
      </c>
      <c r="E17279" t="inlineStr">
        <is>
          <t>SUNNE</t>
        </is>
      </c>
      <c r="F17279" t="inlineStr">
        <is>
          <t>Bergvik skog väst AB</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51535-2024</t>
        </is>
      </c>
      <c r="B17280" s="1" t="n">
        <v>45604</v>
      </c>
      <c r="C17280" s="1" t="n">
        <v>45736</v>
      </c>
      <c r="D17280" t="inlineStr">
        <is>
          <t>VÄRMLANDS LÄN</t>
        </is>
      </c>
      <c r="E17280" t="inlineStr">
        <is>
          <t>ARVIKA</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51853-2024</t>
        </is>
      </c>
      <c r="B17281" s="1" t="n">
        <v>45605</v>
      </c>
      <c r="C17281" s="1" t="n">
        <v>45736</v>
      </c>
      <c r="D17281" t="inlineStr">
        <is>
          <t>VÄRMLANDS LÄN</t>
        </is>
      </c>
      <c r="E17281" t="inlineStr">
        <is>
          <t>GRUMS</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51634-2024</t>
        </is>
      </c>
      <c r="B17282" s="1" t="n">
        <v>45605</v>
      </c>
      <c r="C17282" s="1" t="n">
        <v>45736</v>
      </c>
      <c r="D17282" t="inlineStr">
        <is>
          <t>VÄRMLANDS LÄN</t>
        </is>
      </c>
      <c r="E17282" t="inlineStr">
        <is>
          <t>SUNNE</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51661-2024</t>
        </is>
      </c>
      <c r="B17283" s="1" t="n">
        <v>45606</v>
      </c>
      <c r="C17283" s="1" t="n">
        <v>45736</v>
      </c>
      <c r="D17283" t="inlineStr">
        <is>
          <t>VÄRMLANDS LÄN</t>
        </is>
      </c>
      <c r="E17283" t="inlineStr">
        <is>
          <t>TORSBY</t>
        </is>
      </c>
      <c r="G17283" t="n">
        <v>6.9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51662-2024</t>
        </is>
      </c>
      <c r="B17284" s="1" t="n">
        <v>45606</v>
      </c>
      <c r="C17284" s="1" t="n">
        <v>45736</v>
      </c>
      <c r="D17284" t="inlineStr">
        <is>
          <t>VÄRMLANDS LÄN</t>
        </is>
      </c>
      <c r="E17284" t="inlineStr">
        <is>
          <t>TORSBY</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51663-2024</t>
        </is>
      </c>
      <c r="B17285" s="1" t="n">
        <v>45606</v>
      </c>
      <c r="C17285" s="1" t="n">
        <v>45736</v>
      </c>
      <c r="D17285" t="inlineStr">
        <is>
          <t>VÄRMLANDS LÄN</t>
        </is>
      </c>
      <c r="E17285" t="inlineStr">
        <is>
          <t>TORSBY</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51992-2024</t>
        </is>
      </c>
      <c r="B17286" s="1" t="n">
        <v>45606</v>
      </c>
      <c r="C17286" s="1" t="n">
        <v>45736</v>
      </c>
      <c r="D17286" t="inlineStr">
        <is>
          <t>VÄRMLANDS LÄN</t>
        </is>
      </c>
      <c r="E17286" t="inlineStr">
        <is>
          <t>SUNNE</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51660-2024</t>
        </is>
      </c>
      <c r="B17287" s="1" t="n">
        <v>45606</v>
      </c>
      <c r="C17287" s="1" t="n">
        <v>45736</v>
      </c>
      <c r="D17287" t="inlineStr">
        <is>
          <t>VÄRMLANDS LÄN</t>
        </is>
      </c>
      <c r="E17287" t="inlineStr">
        <is>
          <t>TORSBY</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51968-2024</t>
        </is>
      </c>
      <c r="B17288" s="1" t="n">
        <v>45607</v>
      </c>
      <c r="C17288" s="1" t="n">
        <v>45736</v>
      </c>
      <c r="D17288" t="inlineStr">
        <is>
          <t>VÄRMLANDS LÄN</t>
        </is>
      </c>
      <c r="E17288" t="inlineStr">
        <is>
          <t>HAGFORS</t>
        </is>
      </c>
      <c r="F17288" t="inlineStr">
        <is>
          <t>Bergvik skog väst AB</t>
        </is>
      </c>
      <c r="G17288" t="n">
        <v>26.6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51980-2024</t>
        </is>
      </c>
      <c r="B17289" s="1" t="n">
        <v>45607</v>
      </c>
      <c r="C17289" s="1" t="n">
        <v>45736</v>
      </c>
      <c r="D17289" t="inlineStr">
        <is>
          <t>VÄRMLANDS LÄN</t>
        </is>
      </c>
      <c r="E17289" t="inlineStr">
        <is>
          <t>FILIPSTAD</t>
        </is>
      </c>
      <c r="F17289" t="inlineStr">
        <is>
          <t>Bergvik skog väst AB</t>
        </is>
      </c>
      <c r="G17289" t="n">
        <v>4.7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51987-2024</t>
        </is>
      </c>
      <c r="B17290" s="1" t="n">
        <v>45607</v>
      </c>
      <c r="C17290" s="1" t="n">
        <v>45736</v>
      </c>
      <c r="D17290" t="inlineStr">
        <is>
          <t>VÄRMLANDS LÄN</t>
        </is>
      </c>
      <c r="E17290" t="inlineStr">
        <is>
          <t>TORSBY</t>
        </is>
      </c>
      <c r="G17290" t="n">
        <v>17.7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51698-2024</t>
        </is>
      </c>
      <c r="B17291" s="1" t="n">
        <v>45607</v>
      </c>
      <c r="C17291" s="1" t="n">
        <v>45736</v>
      </c>
      <c r="D17291" t="inlineStr">
        <is>
          <t>VÄRMLANDS LÄN</t>
        </is>
      </c>
      <c r="E17291" t="inlineStr">
        <is>
          <t>SUNNE</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52025-2024</t>
        </is>
      </c>
      <c r="B17292" s="1" t="n">
        <v>45607</v>
      </c>
      <c r="C17292" s="1" t="n">
        <v>45736</v>
      </c>
      <c r="D17292" t="inlineStr">
        <is>
          <t>VÄRMLANDS LÄN</t>
        </is>
      </c>
      <c r="E17292" t="inlineStr">
        <is>
          <t>SÄFFLE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51922-2024</t>
        </is>
      </c>
      <c r="B17293" s="1" t="n">
        <v>45607</v>
      </c>
      <c r="C17293" s="1" t="n">
        <v>45736</v>
      </c>
      <c r="D17293" t="inlineStr">
        <is>
          <t>VÄRMLANDS LÄN</t>
        </is>
      </c>
      <c r="E17293" t="inlineStr">
        <is>
          <t>FILIPSTAD</t>
        </is>
      </c>
      <c r="F17293" t="inlineStr">
        <is>
          <t>Bergvik skog väst AB</t>
        </is>
      </c>
      <c r="G17293" t="n">
        <v>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51815-2024</t>
        </is>
      </c>
      <c r="B17294" s="1" t="n">
        <v>45607</v>
      </c>
      <c r="C17294" s="1" t="n">
        <v>45736</v>
      </c>
      <c r="D17294" t="inlineStr">
        <is>
          <t>VÄRMLANDS LÄN</t>
        </is>
      </c>
      <c r="E17294" t="inlineStr">
        <is>
          <t>ARVIKA</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51836-2024</t>
        </is>
      </c>
      <c r="B17295" s="1" t="n">
        <v>45607</v>
      </c>
      <c r="C17295" s="1" t="n">
        <v>45736</v>
      </c>
      <c r="D17295" t="inlineStr">
        <is>
          <t>VÄRMLANDS LÄN</t>
        </is>
      </c>
      <c r="E17295" t="inlineStr">
        <is>
          <t>TORSBY</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51863-2024</t>
        </is>
      </c>
      <c r="B17296" s="1" t="n">
        <v>45607</v>
      </c>
      <c r="C17296" s="1" t="n">
        <v>45736</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51977-2024</t>
        </is>
      </c>
      <c r="B17297" s="1" t="n">
        <v>45607</v>
      </c>
      <c r="C17297" s="1" t="n">
        <v>45736</v>
      </c>
      <c r="D17297" t="inlineStr">
        <is>
          <t>VÄRMLANDS LÄN</t>
        </is>
      </c>
      <c r="E17297" t="inlineStr">
        <is>
          <t>ARVIKA</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52024-2024</t>
        </is>
      </c>
      <c r="B17298" s="1" t="n">
        <v>45607</v>
      </c>
      <c r="C17298" s="1" t="n">
        <v>45736</v>
      </c>
      <c r="D17298" t="inlineStr">
        <is>
          <t>VÄRMLANDS LÄN</t>
        </is>
      </c>
      <c r="E17298" t="inlineStr">
        <is>
          <t>EDA</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52226-2024</t>
        </is>
      </c>
      <c r="B17299" s="1" t="n">
        <v>45607</v>
      </c>
      <c r="C17299" s="1" t="n">
        <v>45736</v>
      </c>
      <c r="D17299" t="inlineStr">
        <is>
          <t>VÄRMLANDS LÄN</t>
        </is>
      </c>
      <c r="E17299" t="inlineStr">
        <is>
          <t>SUNNE</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51908-2024</t>
        </is>
      </c>
      <c r="B17300" s="1" t="n">
        <v>45607</v>
      </c>
      <c r="C17300" s="1" t="n">
        <v>45736</v>
      </c>
      <c r="D17300" t="inlineStr">
        <is>
          <t>VÄRMLANDS LÄN</t>
        </is>
      </c>
      <c r="E17300" t="inlineStr">
        <is>
          <t>HAGFORS</t>
        </is>
      </c>
      <c r="F17300" t="inlineStr">
        <is>
          <t>Bergvik skog väst AB</t>
        </is>
      </c>
      <c r="G17300" t="n">
        <v>8.800000000000001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51895-2024</t>
        </is>
      </c>
      <c r="B17301" s="1" t="n">
        <v>45607</v>
      </c>
      <c r="C17301" s="1" t="n">
        <v>45736</v>
      </c>
      <c r="D17301" t="inlineStr">
        <is>
          <t>VÄRMLANDS LÄN</t>
        </is>
      </c>
      <c r="E17301" t="inlineStr">
        <is>
          <t>KARLSTAD</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51891-2024</t>
        </is>
      </c>
      <c r="B17302" s="1" t="n">
        <v>45607</v>
      </c>
      <c r="C17302" s="1" t="n">
        <v>45736</v>
      </c>
      <c r="D17302" t="inlineStr">
        <is>
          <t>VÄRMLANDS LÄN</t>
        </is>
      </c>
      <c r="E17302" t="inlineStr">
        <is>
          <t>ARVIKA</t>
        </is>
      </c>
      <c r="G17302" t="n">
        <v>5.7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51878-2024</t>
        </is>
      </c>
      <c r="B17303" s="1" t="n">
        <v>45607</v>
      </c>
      <c r="C17303" s="1" t="n">
        <v>45736</v>
      </c>
      <c r="D17303" t="inlineStr">
        <is>
          <t>VÄRMLANDS LÄN</t>
        </is>
      </c>
      <c r="E17303" t="inlineStr">
        <is>
          <t>ARVIKA</t>
        </is>
      </c>
      <c r="F17303" t="inlineStr">
        <is>
          <t>Bergvik skog väst AB</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51877-2024</t>
        </is>
      </c>
      <c r="B17304" s="1" t="n">
        <v>45607</v>
      </c>
      <c r="C17304" s="1" t="n">
        <v>45736</v>
      </c>
      <c r="D17304" t="inlineStr">
        <is>
          <t>VÄRMLANDS LÄN</t>
        </is>
      </c>
      <c r="E17304" t="inlineStr">
        <is>
          <t>KARLSTAD</t>
        </is>
      </c>
      <c r="G17304" t="n">
        <v>2.6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51823-2024</t>
        </is>
      </c>
      <c r="B17305" s="1" t="n">
        <v>45607</v>
      </c>
      <c r="C17305" s="1" t="n">
        <v>45736</v>
      </c>
      <c r="D17305" t="inlineStr">
        <is>
          <t>VÄRMLANDS LÄN</t>
        </is>
      </c>
      <c r="E17305" t="inlineStr">
        <is>
          <t>TORSBY</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51785-2024</t>
        </is>
      </c>
      <c r="B17306" s="1" t="n">
        <v>45607</v>
      </c>
      <c r="C17306" s="1" t="n">
        <v>45736</v>
      </c>
      <c r="D17306" t="inlineStr">
        <is>
          <t>VÄRMLANDS LÄN</t>
        </is>
      </c>
      <c r="E17306" t="inlineStr">
        <is>
          <t>TORSBY</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51773-2024</t>
        </is>
      </c>
      <c r="B17307" s="1" t="n">
        <v>45607</v>
      </c>
      <c r="C17307" s="1" t="n">
        <v>45736</v>
      </c>
      <c r="D17307" t="inlineStr">
        <is>
          <t>VÄRMLANDS LÄN</t>
        </is>
      </c>
      <c r="E17307" t="inlineStr">
        <is>
          <t>SUNNE</t>
        </is>
      </c>
      <c r="F17307" t="inlineStr">
        <is>
          <t>Bergvik skog väst AB</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51729-2024</t>
        </is>
      </c>
      <c r="B17308" s="1" t="n">
        <v>45607</v>
      </c>
      <c r="C17308" s="1" t="n">
        <v>45736</v>
      </c>
      <c r="D17308" t="inlineStr">
        <is>
          <t>VÄRMLANDS LÄN</t>
        </is>
      </c>
      <c r="E17308" t="inlineStr">
        <is>
          <t>ARVIKA</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52026-2024</t>
        </is>
      </c>
      <c r="B17309" s="1" t="n">
        <v>45607</v>
      </c>
      <c r="C17309" s="1" t="n">
        <v>45736</v>
      </c>
      <c r="D17309" t="inlineStr">
        <is>
          <t>VÄRMLANDS LÄN</t>
        </is>
      </c>
      <c r="E17309" t="inlineStr">
        <is>
          <t>SÄFFLE</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52204-2024</t>
        </is>
      </c>
      <c r="B17310" s="1" t="n">
        <v>45607</v>
      </c>
      <c r="C17310" s="1" t="n">
        <v>45736</v>
      </c>
      <c r="D17310" t="inlineStr">
        <is>
          <t>VÄRMLANDS LÄN</t>
        </is>
      </c>
      <c r="E17310" t="inlineStr">
        <is>
          <t>SÄFFLE</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52174-2024</t>
        </is>
      </c>
      <c r="B17311" s="1" t="n">
        <v>45608</v>
      </c>
      <c r="C17311" s="1" t="n">
        <v>45736</v>
      </c>
      <c r="D17311" t="inlineStr">
        <is>
          <t>VÄRMLANDS LÄN</t>
        </is>
      </c>
      <c r="E17311" t="inlineStr">
        <is>
          <t>SÄFFLE</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52223-2024</t>
        </is>
      </c>
      <c r="B17312" s="1" t="n">
        <v>45608</v>
      </c>
      <c r="C17312" s="1" t="n">
        <v>45736</v>
      </c>
      <c r="D17312" t="inlineStr">
        <is>
          <t>VÄRMLANDS LÄN</t>
        </is>
      </c>
      <c r="E17312" t="inlineStr">
        <is>
          <t>TORSBY</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52239-2024</t>
        </is>
      </c>
      <c r="B17313" s="1" t="n">
        <v>45608</v>
      </c>
      <c r="C17313" s="1" t="n">
        <v>45736</v>
      </c>
      <c r="D17313" t="inlineStr">
        <is>
          <t>VÄRMLANDS LÄN</t>
        </is>
      </c>
      <c r="E17313" t="inlineStr">
        <is>
          <t>TORSBY</t>
        </is>
      </c>
      <c r="F17313" t="inlineStr">
        <is>
          <t>Bergvik skog väst AB</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52257-2024</t>
        </is>
      </c>
      <c r="B17314" s="1" t="n">
        <v>45608</v>
      </c>
      <c r="C17314" s="1" t="n">
        <v>45736</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52291-2024</t>
        </is>
      </c>
      <c r="B17315" s="1" t="n">
        <v>45608</v>
      </c>
      <c r="C17315" s="1" t="n">
        <v>45736</v>
      </c>
      <c r="D17315" t="inlineStr">
        <is>
          <t>VÄRMLANDS LÄN</t>
        </is>
      </c>
      <c r="E17315" t="inlineStr">
        <is>
          <t>ÅRJÄNG</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52309-2024</t>
        </is>
      </c>
      <c r="B17316" s="1" t="n">
        <v>45608</v>
      </c>
      <c r="C17316" s="1" t="n">
        <v>45736</v>
      </c>
      <c r="D17316" t="inlineStr">
        <is>
          <t>VÄRMLANDS LÄN</t>
        </is>
      </c>
      <c r="E17316" t="inlineStr">
        <is>
          <t>SUNNE</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52383-2024</t>
        </is>
      </c>
      <c r="B17317" s="1" t="n">
        <v>45608</v>
      </c>
      <c r="C17317" s="1" t="n">
        <v>45736</v>
      </c>
      <c r="D17317" t="inlineStr">
        <is>
          <t>VÄRMLANDS LÄN</t>
        </is>
      </c>
      <c r="E17317" t="inlineStr">
        <is>
          <t>HAGFORS</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52310-2024</t>
        </is>
      </c>
      <c r="B17318" s="1" t="n">
        <v>45608</v>
      </c>
      <c r="C17318" s="1" t="n">
        <v>45736</v>
      </c>
      <c r="D17318" t="inlineStr">
        <is>
          <t>VÄRMLANDS LÄN</t>
        </is>
      </c>
      <c r="E17318" t="inlineStr">
        <is>
          <t>SUNNE</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52314-2024</t>
        </is>
      </c>
      <c r="B17319" s="1" t="n">
        <v>45608</v>
      </c>
      <c r="C17319" s="1" t="n">
        <v>45736</v>
      </c>
      <c r="D17319" t="inlineStr">
        <is>
          <t>VÄRMLANDS LÄN</t>
        </is>
      </c>
      <c r="E17319" t="inlineStr">
        <is>
          <t>TORSBY</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52311-2024</t>
        </is>
      </c>
      <c r="B17320" s="1" t="n">
        <v>45608</v>
      </c>
      <c r="C17320" s="1" t="n">
        <v>45736</v>
      </c>
      <c r="D17320" t="inlineStr">
        <is>
          <t>VÄRMLANDS LÄN</t>
        </is>
      </c>
      <c r="E17320" t="inlineStr">
        <is>
          <t>SUNNE</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52078-2024</t>
        </is>
      </c>
      <c r="B17321" s="1" t="n">
        <v>45608</v>
      </c>
      <c r="C17321" s="1" t="n">
        <v>45736</v>
      </c>
      <c r="D17321" t="inlineStr">
        <is>
          <t>VÄRMLANDS LÄN</t>
        </is>
      </c>
      <c r="E17321" t="inlineStr">
        <is>
          <t>HAGFORS</t>
        </is>
      </c>
      <c r="F17321" t="inlineStr">
        <is>
          <t>Bergvik skog väst AB</t>
        </is>
      </c>
      <c r="G17321" t="n">
        <v>2.7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52062-2024</t>
        </is>
      </c>
      <c r="B17322" s="1" t="n">
        <v>45608</v>
      </c>
      <c r="C17322" s="1" t="n">
        <v>45736</v>
      </c>
      <c r="D17322" t="inlineStr">
        <is>
          <t>VÄRMLANDS LÄN</t>
        </is>
      </c>
      <c r="E17322" t="inlineStr">
        <is>
          <t>TORSBY</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52054-2024</t>
        </is>
      </c>
      <c r="B17323" s="1" t="n">
        <v>45608</v>
      </c>
      <c r="C17323" s="1" t="n">
        <v>45736</v>
      </c>
      <c r="D17323" t="inlineStr">
        <is>
          <t>VÄRMLANDS LÄN</t>
        </is>
      </c>
      <c r="E17323" t="inlineStr">
        <is>
          <t>ARVIKA</t>
        </is>
      </c>
      <c r="G17323" t="n">
        <v>4.9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52041-2024</t>
        </is>
      </c>
      <c r="B17324" s="1" t="n">
        <v>45608</v>
      </c>
      <c r="C17324" s="1" t="n">
        <v>45736</v>
      </c>
      <c r="D17324" t="inlineStr">
        <is>
          <t>VÄRMLANDS LÄN</t>
        </is>
      </c>
      <c r="E17324" t="inlineStr">
        <is>
          <t>EDA</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52091-2024</t>
        </is>
      </c>
      <c r="B17325" s="1" t="n">
        <v>45608</v>
      </c>
      <c r="C17325" s="1" t="n">
        <v>45736</v>
      </c>
      <c r="D17325" t="inlineStr">
        <is>
          <t>VÄRMLANDS LÄN</t>
        </is>
      </c>
      <c r="E17325" t="inlineStr">
        <is>
          <t>FILIPSTAD</t>
        </is>
      </c>
      <c r="F17325" t="inlineStr">
        <is>
          <t>Bergvik skog väst AB</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52083-2024</t>
        </is>
      </c>
      <c r="B17326" s="1" t="n">
        <v>45608</v>
      </c>
      <c r="C17326" s="1" t="n">
        <v>45736</v>
      </c>
      <c r="D17326" t="inlineStr">
        <is>
          <t>VÄRMLANDS LÄN</t>
        </is>
      </c>
      <c r="E17326" t="inlineStr">
        <is>
          <t>HAGFORS</t>
        </is>
      </c>
      <c r="F17326" t="inlineStr">
        <is>
          <t>Bergvik skog väst AB</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52262-2024</t>
        </is>
      </c>
      <c r="B17327" s="1" t="n">
        <v>45608</v>
      </c>
      <c r="C17327" s="1" t="n">
        <v>45736</v>
      </c>
      <c r="D17327" t="inlineStr">
        <is>
          <t>VÄRMLANDS LÄN</t>
        </is>
      </c>
      <c r="E17327" t="inlineStr">
        <is>
          <t>TORSBY</t>
        </is>
      </c>
      <c r="G17327" t="n">
        <v>3.3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52051-2024</t>
        </is>
      </c>
      <c r="B17328" s="1" t="n">
        <v>45608</v>
      </c>
      <c r="C17328" s="1" t="n">
        <v>45736</v>
      </c>
      <c r="D17328" t="inlineStr">
        <is>
          <t>VÄRMLANDS LÄN</t>
        </is>
      </c>
      <c r="E17328" t="inlineStr">
        <is>
          <t>TORSBY</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52038-2024</t>
        </is>
      </c>
      <c r="B17329" s="1" t="n">
        <v>45608</v>
      </c>
      <c r="C17329" s="1" t="n">
        <v>45736</v>
      </c>
      <c r="D17329" t="inlineStr">
        <is>
          <t>VÄRMLANDS LÄN</t>
        </is>
      </c>
      <c r="E17329" t="inlineStr">
        <is>
          <t>EDA</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52034-2024</t>
        </is>
      </c>
      <c r="B17330" s="1" t="n">
        <v>45608</v>
      </c>
      <c r="C17330" s="1" t="n">
        <v>45736</v>
      </c>
      <c r="D17330" t="inlineStr">
        <is>
          <t>VÄRMLANDS LÄN</t>
        </is>
      </c>
      <c r="E17330" t="inlineStr">
        <is>
          <t>EDA</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52392-2024</t>
        </is>
      </c>
      <c r="B17331" s="1" t="n">
        <v>45608</v>
      </c>
      <c r="C17331" s="1" t="n">
        <v>45736</v>
      </c>
      <c r="D17331" t="inlineStr">
        <is>
          <t>VÄRMLANDS LÄN</t>
        </is>
      </c>
      <c r="E17331" t="inlineStr">
        <is>
          <t>HAGFORS</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52109-2024</t>
        </is>
      </c>
      <c r="B17332" s="1" t="n">
        <v>45608</v>
      </c>
      <c r="C17332" s="1" t="n">
        <v>45736</v>
      </c>
      <c r="D17332" t="inlineStr">
        <is>
          <t>VÄRMLANDS LÄN</t>
        </is>
      </c>
      <c r="E17332" t="inlineStr">
        <is>
          <t>SÄFFLE</t>
        </is>
      </c>
      <c r="G17332" t="n">
        <v>6.8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52185-2024</t>
        </is>
      </c>
      <c r="B17333" s="1" t="n">
        <v>45608</v>
      </c>
      <c r="C17333" s="1" t="n">
        <v>45736</v>
      </c>
      <c r="D17333" t="inlineStr">
        <is>
          <t>VÄRMLANDS LÄN</t>
        </is>
      </c>
      <c r="E17333" t="inlineStr">
        <is>
          <t>ARVIKA</t>
        </is>
      </c>
      <c r="F17333" t="inlineStr">
        <is>
          <t>Bergvik skog väst AB</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52081-2024</t>
        </is>
      </c>
      <c r="B17334" s="1" t="n">
        <v>45608</v>
      </c>
      <c r="C17334" s="1" t="n">
        <v>45736</v>
      </c>
      <c r="D17334" t="inlineStr">
        <is>
          <t>VÄRMLANDS LÄN</t>
        </is>
      </c>
      <c r="E17334" t="inlineStr">
        <is>
          <t>EDA</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52057-2024</t>
        </is>
      </c>
      <c r="B17335" s="1" t="n">
        <v>45608</v>
      </c>
      <c r="C17335" s="1" t="n">
        <v>45736</v>
      </c>
      <c r="D17335" t="inlineStr">
        <is>
          <t>VÄRMLANDS LÄN</t>
        </is>
      </c>
      <c r="E17335" t="inlineStr">
        <is>
          <t>TORSBY</t>
        </is>
      </c>
      <c r="G17335" t="n">
        <v>3.6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52194-2024</t>
        </is>
      </c>
      <c r="B17336" s="1" t="n">
        <v>45608</v>
      </c>
      <c r="C17336" s="1" t="n">
        <v>45736</v>
      </c>
      <c r="D17336" t="inlineStr">
        <is>
          <t>VÄRMLANDS LÄN</t>
        </is>
      </c>
      <c r="E17336" t="inlineStr">
        <is>
          <t>SUNNE</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52292-2024</t>
        </is>
      </c>
      <c r="B17337" s="1" t="n">
        <v>45608</v>
      </c>
      <c r="C17337" s="1" t="n">
        <v>45736</v>
      </c>
      <c r="D17337" t="inlineStr">
        <is>
          <t>VÄRMLANDS LÄN</t>
        </is>
      </c>
      <c r="E17337" t="inlineStr">
        <is>
          <t>ÅRJÄNG</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52296-2024</t>
        </is>
      </c>
      <c r="B17338" s="1" t="n">
        <v>45608</v>
      </c>
      <c r="C17338" s="1" t="n">
        <v>45736</v>
      </c>
      <c r="D17338" t="inlineStr">
        <is>
          <t>VÄRMLANDS LÄN</t>
        </is>
      </c>
      <c r="E17338" t="inlineStr">
        <is>
          <t>EDA</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52300-2024</t>
        </is>
      </c>
      <c r="B17339" s="1" t="n">
        <v>45608</v>
      </c>
      <c r="C17339" s="1" t="n">
        <v>45736</v>
      </c>
      <c r="D17339" t="inlineStr">
        <is>
          <t>VÄRMLANDS LÄN</t>
        </is>
      </c>
      <c r="E17339" t="inlineStr">
        <is>
          <t>EDA</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52382-2024</t>
        </is>
      </c>
      <c r="B17340" s="1" t="n">
        <v>45608</v>
      </c>
      <c r="C17340" s="1" t="n">
        <v>45736</v>
      </c>
      <c r="D17340" t="inlineStr">
        <is>
          <t>VÄRMLANDS LÄN</t>
        </is>
      </c>
      <c r="E17340" t="inlineStr">
        <is>
          <t>ÅRJÄNG</t>
        </is>
      </c>
      <c r="G17340" t="n">
        <v>8.9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52411-2024</t>
        </is>
      </c>
      <c r="B17341" s="1" t="n">
        <v>45608</v>
      </c>
      <c r="C17341" s="1" t="n">
        <v>45736</v>
      </c>
      <c r="D17341" t="inlineStr">
        <is>
          <t>VÄRMLANDS LÄN</t>
        </is>
      </c>
      <c r="E17341" t="inlineStr">
        <is>
          <t>SUNNE</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52334-2024</t>
        </is>
      </c>
      <c r="B17342" s="1" t="n">
        <v>45609</v>
      </c>
      <c r="C17342" s="1" t="n">
        <v>45736</v>
      </c>
      <c r="D17342" t="inlineStr">
        <is>
          <t>VÄRMLANDS LÄN</t>
        </is>
      </c>
      <c r="E17342" t="inlineStr">
        <is>
          <t>TORSBY</t>
        </is>
      </c>
      <c r="F17342" t="inlineStr">
        <is>
          <t>Bergvik skog väst AB</t>
        </is>
      </c>
      <c r="G17342" t="n">
        <v>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52397-2024</t>
        </is>
      </c>
      <c r="B17343" s="1" t="n">
        <v>45609</v>
      </c>
      <c r="C17343" s="1" t="n">
        <v>45736</v>
      </c>
      <c r="D17343" t="inlineStr">
        <is>
          <t>VÄRMLANDS LÄN</t>
        </is>
      </c>
      <c r="E17343" t="inlineStr">
        <is>
          <t>KARLSTAD</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52424-2024</t>
        </is>
      </c>
      <c r="B17344" s="1" t="n">
        <v>45609</v>
      </c>
      <c r="C17344" s="1" t="n">
        <v>45736</v>
      </c>
      <c r="D17344" t="inlineStr">
        <is>
          <t>VÄRMLANDS LÄN</t>
        </is>
      </c>
      <c r="E17344" t="inlineStr">
        <is>
          <t>SÄFFLE</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52467-2024</t>
        </is>
      </c>
      <c r="B17345" s="1" t="n">
        <v>45609</v>
      </c>
      <c r="C17345" s="1" t="n">
        <v>45736</v>
      </c>
      <c r="D17345" t="inlineStr">
        <is>
          <t>VÄRMLANDS LÄN</t>
        </is>
      </c>
      <c r="E17345" t="inlineStr">
        <is>
          <t>SUNNE</t>
        </is>
      </c>
      <c r="G17345" t="n">
        <v>0.5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52479-2024</t>
        </is>
      </c>
      <c r="B17346" s="1" t="n">
        <v>45609</v>
      </c>
      <c r="C17346" s="1" t="n">
        <v>45736</v>
      </c>
      <c r="D17346" t="inlineStr">
        <is>
          <t>VÄRMLANDS LÄN</t>
        </is>
      </c>
      <c r="E17346" t="inlineStr">
        <is>
          <t>STORFORS</t>
        </is>
      </c>
      <c r="G17346" t="n">
        <v>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52492-2024</t>
        </is>
      </c>
      <c r="B17347" s="1" t="n">
        <v>45609</v>
      </c>
      <c r="C17347" s="1" t="n">
        <v>45736</v>
      </c>
      <c r="D17347" t="inlineStr">
        <is>
          <t>VÄRMLANDS LÄN</t>
        </is>
      </c>
      <c r="E17347" t="inlineStr">
        <is>
          <t>HAGFORS</t>
        </is>
      </c>
      <c r="F17347" t="inlineStr">
        <is>
          <t>Bergvik skog väst AB</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52496-2024</t>
        </is>
      </c>
      <c r="B17348" s="1" t="n">
        <v>45609</v>
      </c>
      <c r="C17348" s="1" t="n">
        <v>45736</v>
      </c>
      <c r="D17348" t="inlineStr">
        <is>
          <t>VÄRMLANDS LÄN</t>
        </is>
      </c>
      <c r="E17348" t="inlineStr">
        <is>
          <t>KIL</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52491-2024</t>
        </is>
      </c>
      <c r="B17349" s="1" t="n">
        <v>45609</v>
      </c>
      <c r="C17349" s="1" t="n">
        <v>45736</v>
      </c>
      <c r="D17349" t="inlineStr">
        <is>
          <t>VÄRMLANDS LÄN</t>
        </is>
      </c>
      <c r="E17349" t="inlineStr">
        <is>
          <t>HAGFORS</t>
        </is>
      </c>
      <c r="F17349" t="inlineStr">
        <is>
          <t>Bergvik skog väst AB</t>
        </is>
      </c>
      <c r="G17349" t="n">
        <v>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52327-2024</t>
        </is>
      </c>
      <c r="B17350" s="1" t="n">
        <v>45609</v>
      </c>
      <c r="C17350" s="1" t="n">
        <v>45736</v>
      </c>
      <c r="D17350" t="inlineStr">
        <is>
          <t>VÄRMLANDS LÄN</t>
        </is>
      </c>
      <c r="E17350" t="inlineStr">
        <is>
          <t>EDA</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52352-2024</t>
        </is>
      </c>
      <c r="B17351" s="1" t="n">
        <v>45609</v>
      </c>
      <c r="C17351" s="1" t="n">
        <v>45736</v>
      </c>
      <c r="D17351" t="inlineStr">
        <is>
          <t>VÄRMLANDS LÄN</t>
        </is>
      </c>
      <c r="E17351" t="inlineStr">
        <is>
          <t>SUNNE</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52329-2024</t>
        </is>
      </c>
      <c r="B17352" s="1" t="n">
        <v>45609</v>
      </c>
      <c r="C17352" s="1" t="n">
        <v>45736</v>
      </c>
      <c r="D17352" t="inlineStr">
        <is>
          <t>VÄRMLANDS LÄN</t>
        </is>
      </c>
      <c r="E17352" t="inlineStr">
        <is>
          <t>EDA</t>
        </is>
      </c>
      <c r="G17352" t="n">
        <v>5.8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52386-2024</t>
        </is>
      </c>
      <c r="B17353" s="1" t="n">
        <v>45609</v>
      </c>
      <c r="C17353" s="1" t="n">
        <v>45736</v>
      </c>
      <c r="D17353" t="inlineStr">
        <is>
          <t>VÄRMLANDS LÄN</t>
        </is>
      </c>
      <c r="E17353" t="inlineStr">
        <is>
          <t>TORSBY</t>
        </is>
      </c>
      <c r="G17353" t="n">
        <v>4.2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52419-2024</t>
        </is>
      </c>
      <c r="B17354" s="1" t="n">
        <v>45609</v>
      </c>
      <c r="C17354" s="1" t="n">
        <v>45736</v>
      </c>
      <c r="D17354" t="inlineStr">
        <is>
          <t>VÄRMLANDS LÄN</t>
        </is>
      </c>
      <c r="E17354" t="inlineStr">
        <is>
          <t>SÄFFLE</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52442-2024</t>
        </is>
      </c>
      <c r="B17355" s="1" t="n">
        <v>45609</v>
      </c>
      <c r="C17355" s="1" t="n">
        <v>45736</v>
      </c>
      <c r="D17355" t="inlineStr">
        <is>
          <t>VÄRMLANDS LÄN</t>
        </is>
      </c>
      <c r="E17355" t="inlineStr">
        <is>
          <t>SÄFFLE</t>
        </is>
      </c>
      <c r="G17355" t="n">
        <v>6.2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52494-2024</t>
        </is>
      </c>
      <c r="B17356" s="1" t="n">
        <v>45609</v>
      </c>
      <c r="C17356" s="1" t="n">
        <v>45736</v>
      </c>
      <c r="D17356" t="inlineStr">
        <is>
          <t>VÄRMLANDS LÄN</t>
        </is>
      </c>
      <c r="E17356" t="inlineStr">
        <is>
          <t>HAGFORS</t>
        </is>
      </c>
      <c r="F17356" t="inlineStr">
        <is>
          <t>Bergvik skog väst AB</t>
        </is>
      </c>
      <c r="G17356" t="n">
        <v>0.2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52505-2024</t>
        </is>
      </c>
      <c r="B17357" s="1" t="n">
        <v>45609</v>
      </c>
      <c r="C17357" s="1" t="n">
        <v>45736</v>
      </c>
      <c r="D17357" t="inlineStr">
        <is>
          <t>VÄRMLANDS LÄN</t>
        </is>
      </c>
      <c r="E17357" t="inlineStr">
        <is>
          <t>KARLSTAD</t>
        </is>
      </c>
      <c r="G17357" t="n">
        <v>5.5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52579-2024</t>
        </is>
      </c>
      <c r="B17358" s="1" t="n">
        <v>45609</v>
      </c>
      <c r="C17358" s="1" t="n">
        <v>45736</v>
      </c>
      <c r="D17358" t="inlineStr">
        <is>
          <t>VÄRMLANDS LÄN</t>
        </is>
      </c>
      <c r="E17358" t="inlineStr">
        <is>
          <t>ÅRJÄNG</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52595-2024</t>
        </is>
      </c>
      <c r="B17359" s="1" t="n">
        <v>45609</v>
      </c>
      <c r="C17359" s="1" t="n">
        <v>45736</v>
      </c>
      <c r="D17359" t="inlineStr">
        <is>
          <t>VÄRMLANDS LÄN</t>
        </is>
      </c>
      <c r="E17359" t="inlineStr">
        <is>
          <t>TORSBY</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52580-2024</t>
        </is>
      </c>
      <c r="B17360" s="1" t="n">
        <v>45609</v>
      </c>
      <c r="C17360" s="1" t="n">
        <v>45736</v>
      </c>
      <c r="D17360" t="inlineStr">
        <is>
          <t>VÄRMLANDS LÄN</t>
        </is>
      </c>
      <c r="E17360" t="inlineStr">
        <is>
          <t>SUNNE</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52592-2024</t>
        </is>
      </c>
      <c r="B17361" s="1" t="n">
        <v>45609</v>
      </c>
      <c r="C17361" s="1" t="n">
        <v>45736</v>
      </c>
      <c r="D17361" t="inlineStr">
        <is>
          <t>VÄRMLANDS LÄN</t>
        </is>
      </c>
      <c r="E17361" t="inlineStr">
        <is>
          <t>TORSBY</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53378-2024</t>
        </is>
      </c>
      <c r="B17362" s="1" t="n">
        <v>45609</v>
      </c>
      <c r="C17362" s="1" t="n">
        <v>45736</v>
      </c>
      <c r="D17362" t="inlineStr">
        <is>
          <t>VÄRMLANDS LÄN</t>
        </is>
      </c>
      <c r="E17362" t="inlineStr">
        <is>
          <t>SÄFFLE</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52581-2024</t>
        </is>
      </c>
      <c r="B17363" s="1" t="n">
        <v>45609</v>
      </c>
      <c r="C17363" s="1" t="n">
        <v>45736</v>
      </c>
      <c r="D17363" t="inlineStr">
        <is>
          <t>VÄRMLANDS LÄN</t>
        </is>
      </c>
      <c r="E17363" t="inlineStr">
        <is>
          <t>TORSBY</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52621-2024</t>
        </is>
      </c>
      <c r="B17364" s="1" t="n">
        <v>45609</v>
      </c>
      <c r="C17364" s="1" t="n">
        <v>45736</v>
      </c>
      <c r="D17364" t="inlineStr">
        <is>
          <t>VÄRMLANDS LÄN</t>
        </is>
      </c>
      <c r="E17364" t="inlineStr">
        <is>
          <t>ARVIKA</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52669-2024</t>
        </is>
      </c>
      <c r="B17365" s="1" t="n">
        <v>45610</v>
      </c>
      <c r="C17365" s="1" t="n">
        <v>45736</v>
      </c>
      <c r="D17365" t="inlineStr">
        <is>
          <t>VÄRMLANDS LÄN</t>
        </is>
      </c>
      <c r="E17365" t="inlineStr">
        <is>
          <t>TORSBY</t>
        </is>
      </c>
      <c r="F17365" t="inlineStr">
        <is>
          <t>Kyrkan</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52673-2024</t>
        </is>
      </c>
      <c r="B17366" s="1" t="n">
        <v>45610</v>
      </c>
      <c r="C17366" s="1" t="n">
        <v>45736</v>
      </c>
      <c r="D17366" t="inlineStr">
        <is>
          <t>VÄRMLANDS LÄN</t>
        </is>
      </c>
      <c r="E17366" t="inlineStr">
        <is>
          <t>KIL</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52652-2024</t>
        </is>
      </c>
      <c r="B17367" s="1" t="n">
        <v>45610</v>
      </c>
      <c r="C17367" s="1" t="n">
        <v>45736</v>
      </c>
      <c r="D17367" t="inlineStr">
        <is>
          <t>VÄRMLANDS LÄN</t>
        </is>
      </c>
      <c r="E17367" t="inlineStr">
        <is>
          <t>ÅRJÄNG</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52676-2024</t>
        </is>
      </c>
      <c r="B17368" s="1" t="n">
        <v>45610</v>
      </c>
      <c r="C17368" s="1" t="n">
        <v>45736</v>
      </c>
      <c r="D17368" t="inlineStr">
        <is>
          <t>VÄRMLANDS LÄN</t>
        </is>
      </c>
      <c r="E17368" t="inlineStr">
        <is>
          <t>TORSBY</t>
        </is>
      </c>
      <c r="F17368" t="inlineStr">
        <is>
          <t>Kyrkan</t>
        </is>
      </c>
      <c r="G17368" t="n">
        <v>5.6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52689-2024</t>
        </is>
      </c>
      <c r="B17369" s="1" t="n">
        <v>45610</v>
      </c>
      <c r="C17369" s="1" t="n">
        <v>45736</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52741-2024</t>
        </is>
      </c>
      <c r="B17370" s="1" t="n">
        <v>45610</v>
      </c>
      <c r="C17370" s="1" t="n">
        <v>45736</v>
      </c>
      <c r="D17370" t="inlineStr">
        <is>
          <t>VÄRMLANDS LÄN</t>
        </is>
      </c>
      <c r="E17370" t="inlineStr">
        <is>
          <t>ÅRJÄNG</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52801-2024</t>
        </is>
      </c>
      <c r="B17371" s="1" t="n">
        <v>45610</v>
      </c>
      <c r="C17371" s="1" t="n">
        <v>45736</v>
      </c>
      <c r="D17371" t="inlineStr">
        <is>
          <t>VÄRMLANDS LÄN</t>
        </is>
      </c>
      <c r="E17371" t="inlineStr">
        <is>
          <t>TORSBY</t>
        </is>
      </c>
      <c r="G17371" t="n">
        <v>7.4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52809-2024</t>
        </is>
      </c>
      <c r="B17372" s="1" t="n">
        <v>45610</v>
      </c>
      <c r="C17372" s="1" t="n">
        <v>45736</v>
      </c>
      <c r="D17372" t="inlineStr">
        <is>
          <t>VÄRMLANDS LÄN</t>
        </is>
      </c>
      <c r="E17372" t="inlineStr">
        <is>
          <t>TORSBY</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52901-2024</t>
        </is>
      </c>
      <c r="B17373" s="1" t="n">
        <v>45610</v>
      </c>
      <c r="C17373" s="1" t="n">
        <v>45736</v>
      </c>
      <c r="D17373" t="inlineStr">
        <is>
          <t>VÄRMLANDS LÄN</t>
        </is>
      </c>
      <c r="E17373" t="inlineStr">
        <is>
          <t>MUNKFORS</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52800-2024</t>
        </is>
      </c>
      <c r="B17374" s="1" t="n">
        <v>45610</v>
      </c>
      <c r="C17374" s="1" t="n">
        <v>45736</v>
      </c>
      <c r="D17374" t="inlineStr">
        <is>
          <t>VÄRMLANDS LÄN</t>
        </is>
      </c>
      <c r="E17374" t="inlineStr">
        <is>
          <t>SUNNE</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52803-2024</t>
        </is>
      </c>
      <c r="B17375" s="1" t="n">
        <v>45610</v>
      </c>
      <c r="C17375" s="1" t="n">
        <v>45736</v>
      </c>
      <c r="D17375" t="inlineStr">
        <is>
          <t>VÄRMLANDS LÄN</t>
        </is>
      </c>
      <c r="E17375" t="inlineStr">
        <is>
          <t>ÅRJÄNG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52895-2024</t>
        </is>
      </c>
      <c r="B17376" s="1" t="n">
        <v>45610</v>
      </c>
      <c r="C17376" s="1" t="n">
        <v>45736</v>
      </c>
      <c r="D17376" t="inlineStr">
        <is>
          <t>VÄRMLANDS LÄN</t>
        </is>
      </c>
      <c r="E17376" t="inlineStr">
        <is>
          <t>FILIPSTAD</t>
        </is>
      </c>
      <c r="F17376" t="inlineStr">
        <is>
          <t>Bergvik skog väst AB</t>
        </is>
      </c>
      <c r="G17376" t="n">
        <v>10</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52940-2024</t>
        </is>
      </c>
      <c r="B17377" s="1" t="n">
        <v>45610</v>
      </c>
      <c r="C17377" s="1" t="n">
        <v>45736</v>
      </c>
      <c r="D17377" t="inlineStr">
        <is>
          <t>VÄRMLANDS LÄN</t>
        </is>
      </c>
      <c r="E17377" t="inlineStr">
        <is>
          <t>TORSBY</t>
        </is>
      </c>
      <c r="G17377" t="n">
        <v>3.7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52956-2024</t>
        </is>
      </c>
      <c r="B17378" s="1" t="n">
        <v>45610</v>
      </c>
      <c r="C17378" s="1" t="n">
        <v>45736</v>
      </c>
      <c r="D17378" t="inlineStr">
        <is>
          <t>VÄRMLANDS LÄN</t>
        </is>
      </c>
      <c r="E17378" t="inlineStr">
        <is>
          <t>TORSBY</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52949-2024</t>
        </is>
      </c>
      <c r="B17379" s="1" t="n">
        <v>45610</v>
      </c>
      <c r="C17379" s="1" t="n">
        <v>45736</v>
      </c>
      <c r="D17379" t="inlineStr">
        <is>
          <t>VÄRMLANDS LÄN</t>
        </is>
      </c>
      <c r="E17379" t="inlineStr">
        <is>
          <t>TORSBY</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52957-2024</t>
        </is>
      </c>
      <c r="B17380" s="1" t="n">
        <v>45610</v>
      </c>
      <c r="C17380" s="1" t="n">
        <v>45736</v>
      </c>
      <c r="D17380" t="inlineStr">
        <is>
          <t>VÄRMLANDS LÄN</t>
        </is>
      </c>
      <c r="E17380" t="inlineStr">
        <is>
          <t>TORSBY</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52935-2024</t>
        </is>
      </c>
      <c r="B17381" s="1" t="n">
        <v>45610</v>
      </c>
      <c r="C17381" s="1" t="n">
        <v>45736</v>
      </c>
      <c r="D17381" t="inlineStr">
        <is>
          <t>VÄRMLANDS LÄN</t>
        </is>
      </c>
      <c r="E17381" t="inlineStr">
        <is>
          <t>ÅRJÄNG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52943-2024</t>
        </is>
      </c>
      <c r="B17382" s="1" t="n">
        <v>45610</v>
      </c>
      <c r="C17382" s="1" t="n">
        <v>45736</v>
      </c>
      <c r="D17382" t="inlineStr">
        <is>
          <t>VÄRMLANDS LÄN</t>
        </is>
      </c>
      <c r="E17382" t="inlineStr">
        <is>
          <t>ARVIKA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52947-2024</t>
        </is>
      </c>
      <c r="B17383" s="1" t="n">
        <v>45610</v>
      </c>
      <c r="C17383" s="1" t="n">
        <v>45736</v>
      </c>
      <c r="D17383" t="inlineStr">
        <is>
          <t>VÄRMLANDS LÄN</t>
        </is>
      </c>
      <c r="E17383" t="inlineStr">
        <is>
          <t>TORSBY</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52750-2024</t>
        </is>
      </c>
      <c r="B17384" s="1" t="n">
        <v>45610</v>
      </c>
      <c r="C17384" s="1" t="n">
        <v>45736</v>
      </c>
      <c r="D17384" t="inlineStr">
        <is>
          <t>VÄRMLANDS LÄN</t>
        </is>
      </c>
      <c r="E17384" t="inlineStr">
        <is>
          <t>TORSBY</t>
        </is>
      </c>
      <c r="F17384" t="inlineStr">
        <is>
          <t>Kyrkan</t>
        </is>
      </c>
      <c r="G17384" t="n">
        <v>7.7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53023-2024</t>
        </is>
      </c>
      <c r="B17385" s="1" t="n">
        <v>45611</v>
      </c>
      <c r="C17385" s="1" t="n">
        <v>45736</v>
      </c>
      <c r="D17385" t="inlineStr">
        <is>
          <t>VÄRMLANDS LÄN</t>
        </is>
      </c>
      <c r="E17385" t="inlineStr">
        <is>
          <t>FILIPSTAD</t>
        </is>
      </c>
      <c r="F17385" t="inlineStr">
        <is>
          <t>Bergvik skog väst AB</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53027-2024</t>
        </is>
      </c>
      <c r="B17386" s="1" t="n">
        <v>45611</v>
      </c>
      <c r="C17386" s="1" t="n">
        <v>45736</v>
      </c>
      <c r="D17386" t="inlineStr">
        <is>
          <t>VÄRMLANDS LÄN</t>
        </is>
      </c>
      <c r="E17386" t="inlineStr">
        <is>
          <t>ARVIKA</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53035-2024</t>
        </is>
      </c>
      <c r="B17387" s="1" t="n">
        <v>45611</v>
      </c>
      <c r="C17387" s="1" t="n">
        <v>45736</v>
      </c>
      <c r="D17387" t="inlineStr">
        <is>
          <t>VÄRMLANDS LÄN</t>
        </is>
      </c>
      <c r="E17387" t="inlineStr">
        <is>
          <t>TORSBY</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53039-2024</t>
        </is>
      </c>
      <c r="B17388" s="1" t="n">
        <v>45611</v>
      </c>
      <c r="C17388" s="1" t="n">
        <v>45736</v>
      </c>
      <c r="D17388" t="inlineStr">
        <is>
          <t>VÄRMLANDS LÄN</t>
        </is>
      </c>
      <c r="E17388" t="inlineStr">
        <is>
          <t>EDA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53525-2024</t>
        </is>
      </c>
      <c r="B17389" s="1" t="n">
        <v>45611</v>
      </c>
      <c r="C17389" s="1" t="n">
        <v>45736</v>
      </c>
      <c r="D17389" t="inlineStr">
        <is>
          <t>VÄRMLANDS LÄN</t>
        </is>
      </c>
      <c r="E17389" t="inlineStr">
        <is>
          <t>GRUMS</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53123-2024</t>
        </is>
      </c>
      <c r="B17390" s="1" t="n">
        <v>45611</v>
      </c>
      <c r="C17390" s="1" t="n">
        <v>45736</v>
      </c>
      <c r="D17390" t="inlineStr">
        <is>
          <t>VÄRMLANDS LÄN</t>
        </is>
      </c>
      <c r="E17390" t="inlineStr">
        <is>
          <t>ÅRJÄNG</t>
        </is>
      </c>
      <c r="F17390" t="inlineStr">
        <is>
          <t>Bergvik skog väst AB</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53146-2024</t>
        </is>
      </c>
      <c r="B17391" s="1" t="n">
        <v>45611</v>
      </c>
      <c r="C17391" s="1" t="n">
        <v>45736</v>
      </c>
      <c r="D17391" t="inlineStr">
        <is>
          <t>VÄRMLANDS LÄN</t>
        </is>
      </c>
      <c r="E17391" t="inlineStr">
        <is>
          <t>TORSBY</t>
        </is>
      </c>
      <c r="G17391" t="n">
        <v>4.7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53140-2024</t>
        </is>
      </c>
      <c r="B17392" s="1" t="n">
        <v>45611</v>
      </c>
      <c r="C17392" s="1" t="n">
        <v>45736</v>
      </c>
      <c r="D17392" t="inlineStr">
        <is>
          <t>VÄRMLANDS LÄN</t>
        </is>
      </c>
      <c r="E17392" t="inlineStr">
        <is>
          <t>SÄFFLE</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53111-2024</t>
        </is>
      </c>
      <c r="B17393" s="1" t="n">
        <v>45611</v>
      </c>
      <c r="C17393" s="1" t="n">
        <v>45736</v>
      </c>
      <c r="D17393" t="inlineStr">
        <is>
          <t>VÄRMLANDS LÄN</t>
        </is>
      </c>
      <c r="E17393" t="inlineStr">
        <is>
          <t>ÅRJÄNG</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53531-2024</t>
        </is>
      </c>
      <c r="B17394" s="1" t="n">
        <v>45611</v>
      </c>
      <c r="C17394" s="1" t="n">
        <v>45736</v>
      </c>
      <c r="D17394" t="inlineStr">
        <is>
          <t>VÄRMLANDS LÄN</t>
        </is>
      </c>
      <c r="E17394" t="inlineStr">
        <is>
          <t>SÄFFLE</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53460-2024</t>
        </is>
      </c>
      <c r="B17395" s="1" t="n">
        <v>45611</v>
      </c>
      <c r="C17395" s="1" t="n">
        <v>45736</v>
      </c>
      <c r="D17395" t="inlineStr">
        <is>
          <t>VÄRMLANDS LÄN</t>
        </is>
      </c>
      <c r="E17395" t="inlineStr">
        <is>
          <t>TORSBY</t>
        </is>
      </c>
      <c r="G17395" t="n">
        <v>12.7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53533-2024</t>
        </is>
      </c>
      <c r="B17396" s="1" t="n">
        <v>45611</v>
      </c>
      <c r="C17396" s="1" t="n">
        <v>45736</v>
      </c>
      <c r="D17396" t="inlineStr">
        <is>
          <t>VÄRMLANDS LÄN</t>
        </is>
      </c>
      <c r="E17396" t="inlineStr">
        <is>
          <t>SÄFFLE</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53044-2024</t>
        </is>
      </c>
      <c r="B17397" s="1" t="n">
        <v>45611</v>
      </c>
      <c r="C17397" s="1" t="n">
        <v>45736</v>
      </c>
      <c r="D17397" t="inlineStr">
        <is>
          <t>VÄRMLANDS LÄN</t>
        </is>
      </c>
      <c r="E17397" t="inlineStr">
        <is>
          <t>TORSBY</t>
        </is>
      </c>
      <c r="F17397" t="inlineStr">
        <is>
          <t>Kyrkan</t>
        </is>
      </c>
      <c r="G17397" t="n">
        <v>25.8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53038-2024</t>
        </is>
      </c>
      <c r="B17398" s="1" t="n">
        <v>45611</v>
      </c>
      <c r="C17398" s="1" t="n">
        <v>45736</v>
      </c>
      <c r="D17398" t="inlineStr">
        <is>
          <t>VÄRMLANDS LÄN</t>
        </is>
      </c>
      <c r="E17398" t="inlineStr">
        <is>
          <t>TORSBY</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53034-2024</t>
        </is>
      </c>
      <c r="B17399" s="1" t="n">
        <v>45611</v>
      </c>
      <c r="C17399" s="1" t="n">
        <v>45736</v>
      </c>
      <c r="D17399" t="inlineStr">
        <is>
          <t>VÄRMLANDS LÄN</t>
        </is>
      </c>
      <c r="E17399" t="inlineStr">
        <is>
          <t>EDA</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53030-2024</t>
        </is>
      </c>
      <c r="B17400" s="1" t="n">
        <v>45611</v>
      </c>
      <c r="C17400" s="1" t="n">
        <v>45736</v>
      </c>
      <c r="D17400" t="inlineStr">
        <is>
          <t>VÄRMLANDS LÄN</t>
        </is>
      </c>
      <c r="E17400" t="inlineStr">
        <is>
          <t>EDA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53184-2024</t>
        </is>
      </c>
      <c r="B17401" s="1" t="n">
        <v>45611</v>
      </c>
      <c r="C17401" s="1" t="n">
        <v>45736</v>
      </c>
      <c r="D17401" t="inlineStr">
        <is>
          <t>VÄRMLANDS LÄN</t>
        </is>
      </c>
      <c r="E17401" t="inlineStr">
        <is>
          <t>ARVIKA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53084-2024</t>
        </is>
      </c>
      <c r="B17402" s="1" t="n">
        <v>45611</v>
      </c>
      <c r="C17402" s="1" t="n">
        <v>45736</v>
      </c>
      <c r="D17402" t="inlineStr">
        <is>
          <t>VÄRMLANDS LÄN</t>
        </is>
      </c>
      <c r="E17402" t="inlineStr">
        <is>
          <t>ARVIKA</t>
        </is>
      </c>
      <c r="F17402" t="inlineStr">
        <is>
          <t>Bergvik skog väst AB</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53043-2024</t>
        </is>
      </c>
      <c r="B17403" s="1" t="n">
        <v>45611</v>
      </c>
      <c r="C17403" s="1" t="n">
        <v>45736</v>
      </c>
      <c r="D17403" t="inlineStr">
        <is>
          <t>VÄRMLANDS LÄN</t>
        </is>
      </c>
      <c r="E17403" t="inlineStr">
        <is>
          <t>SUNNE</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53025-2024</t>
        </is>
      </c>
      <c r="B17404" s="1" t="n">
        <v>45611</v>
      </c>
      <c r="C17404" s="1" t="n">
        <v>45736</v>
      </c>
      <c r="D17404" t="inlineStr">
        <is>
          <t>VÄRMLANDS LÄN</t>
        </is>
      </c>
      <c r="E17404" t="inlineStr">
        <is>
          <t>TORSBY</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53099-2024</t>
        </is>
      </c>
      <c r="B17405" s="1" t="n">
        <v>45611</v>
      </c>
      <c r="C17405" s="1" t="n">
        <v>45736</v>
      </c>
      <c r="D17405" t="inlineStr">
        <is>
          <t>VÄRMLANDS LÄN</t>
        </is>
      </c>
      <c r="E17405" t="inlineStr">
        <is>
          <t>TORSBY</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53082-2024</t>
        </is>
      </c>
      <c r="B17406" s="1" t="n">
        <v>45611</v>
      </c>
      <c r="C17406" s="1" t="n">
        <v>45736</v>
      </c>
      <c r="D17406" t="inlineStr">
        <is>
          <t>VÄRMLANDS LÄN</t>
        </is>
      </c>
      <c r="E17406" t="inlineStr">
        <is>
          <t>ARVIKA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53078-2024</t>
        </is>
      </c>
      <c r="B17407" s="1" t="n">
        <v>45611</v>
      </c>
      <c r="C17407" s="1" t="n">
        <v>45736</v>
      </c>
      <c r="D17407" t="inlineStr">
        <is>
          <t>VÄRMLANDS LÄN</t>
        </is>
      </c>
      <c r="E17407" t="inlineStr">
        <is>
          <t>EDA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53028-2024</t>
        </is>
      </c>
      <c r="B17408" s="1" t="n">
        <v>45611</v>
      </c>
      <c r="C17408" s="1" t="n">
        <v>45736</v>
      </c>
      <c r="D17408" t="inlineStr">
        <is>
          <t>VÄRMLANDS LÄN</t>
        </is>
      </c>
      <c r="E17408" t="inlineStr">
        <is>
          <t>FILIPSTAD</t>
        </is>
      </c>
      <c r="F17408" t="inlineStr">
        <is>
          <t>Bergvik skog väst AB</t>
        </is>
      </c>
      <c r="G17408" t="n">
        <v>2.5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53024-2024</t>
        </is>
      </c>
      <c r="B17409" s="1" t="n">
        <v>45611</v>
      </c>
      <c r="C17409" s="1" t="n">
        <v>45736</v>
      </c>
      <c r="D17409" t="inlineStr">
        <is>
          <t>VÄRMLANDS LÄN</t>
        </is>
      </c>
      <c r="E17409" t="inlineStr">
        <is>
          <t>ARVIKA</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52969-2024</t>
        </is>
      </c>
      <c r="B17410" s="1" t="n">
        <v>45611</v>
      </c>
      <c r="C17410" s="1" t="n">
        <v>45736</v>
      </c>
      <c r="D17410" t="inlineStr">
        <is>
          <t>VÄRMLANDS LÄN</t>
        </is>
      </c>
      <c r="E17410" t="inlineStr">
        <is>
          <t>HAGFORS</t>
        </is>
      </c>
      <c r="F17410" t="inlineStr">
        <is>
          <t>Bergvik skog väst AB</t>
        </is>
      </c>
      <c r="G17410" t="n">
        <v>8.1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53211-2024</t>
        </is>
      </c>
      <c r="B17411" s="1" t="n">
        <v>45612</v>
      </c>
      <c r="C17411" s="1" t="n">
        <v>45736</v>
      </c>
      <c r="D17411" t="inlineStr">
        <is>
          <t>VÄRMLANDS LÄN</t>
        </is>
      </c>
      <c r="E17411" t="inlineStr">
        <is>
          <t>TORSBY</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53202-2024</t>
        </is>
      </c>
      <c r="B17412" s="1" t="n">
        <v>45612</v>
      </c>
      <c r="C17412" s="1" t="n">
        <v>45736</v>
      </c>
      <c r="D17412" t="inlineStr">
        <is>
          <t>VÄRMLANDS LÄN</t>
        </is>
      </c>
      <c r="E17412" t="inlineStr">
        <is>
          <t>KARLSTAD</t>
        </is>
      </c>
      <c r="G17412" t="n">
        <v>7.1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53243-2024</t>
        </is>
      </c>
      <c r="B17413" s="1" t="n">
        <v>45613</v>
      </c>
      <c r="C17413" s="1" t="n">
        <v>45736</v>
      </c>
      <c r="D17413" t="inlineStr">
        <is>
          <t>VÄRMLANDS LÄN</t>
        </is>
      </c>
      <c r="E17413" t="inlineStr">
        <is>
          <t>ARVIKA</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53395-2024</t>
        </is>
      </c>
      <c r="B17414" s="1" t="n">
        <v>45614</v>
      </c>
      <c r="C17414" s="1" t="n">
        <v>45736</v>
      </c>
      <c r="D17414" t="inlineStr">
        <is>
          <t>VÄRMLANDS LÄN</t>
        </is>
      </c>
      <c r="E17414" t="inlineStr">
        <is>
          <t>FILIPSTAD</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53369-2024</t>
        </is>
      </c>
      <c r="B17415" s="1" t="n">
        <v>45614</v>
      </c>
      <c r="C17415" s="1" t="n">
        <v>45736</v>
      </c>
      <c r="D17415" t="inlineStr">
        <is>
          <t>VÄRMLANDS LÄN</t>
        </is>
      </c>
      <c r="E17415" t="inlineStr">
        <is>
          <t>HAMMARÖ</t>
        </is>
      </c>
      <c r="G17415" t="n">
        <v>3.4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53331-2024</t>
        </is>
      </c>
      <c r="B17416" s="1" t="n">
        <v>45614</v>
      </c>
      <c r="C17416" s="1" t="n">
        <v>45736</v>
      </c>
      <c r="D17416" t="inlineStr">
        <is>
          <t>VÄRMLANDS LÄN</t>
        </is>
      </c>
      <c r="E17416" t="inlineStr">
        <is>
          <t>TORSBY</t>
        </is>
      </c>
      <c r="F17416" t="inlineStr">
        <is>
          <t>Bergvik skog väst AB</t>
        </is>
      </c>
      <c r="G17416" t="n">
        <v>9.300000000000001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53535-2024</t>
        </is>
      </c>
      <c r="B17417" s="1" t="n">
        <v>45614</v>
      </c>
      <c r="C17417" s="1" t="n">
        <v>45736</v>
      </c>
      <c r="D17417" t="inlineStr">
        <is>
          <t>VÄRMLANDS LÄN</t>
        </is>
      </c>
      <c r="E17417" t="inlineStr">
        <is>
          <t>SUNNE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53456-2024</t>
        </is>
      </c>
      <c r="B17418" s="1" t="n">
        <v>45614</v>
      </c>
      <c r="C17418" s="1" t="n">
        <v>45736</v>
      </c>
      <c r="D17418" t="inlineStr">
        <is>
          <t>VÄRMLANDS LÄN</t>
        </is>
      </c>
      <c r="E17418" t="inlineStr">
        <is>
          <t>KARLSTAD</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53443-2024</t>
        </is>
      </c>
      <c r="B17419" s="1" t="n">
        <v>45614</v>
      </c>
      <c r="C17419" s="1" t="n">
        <v>45736</v>
      </c>
      <c r="D17419" t="inlineStr">
        <is>
          <t>VÄRMLANDS LÄN</t>
        </is>
      </c>
      <c r="E17419" t="inlineStr">
        <is>
          <t>HAGFORS</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53570-2024</t>
        </is>
      </c>
      <c r="B17420" s="1" t="n">
        <v>45614</v>
      </c>
      <c r="C17420" s="1" t="n">
        <v>45736</v>
      </c>
      <c r="D17420" t="inlineStr">
        <is>
          <t>VÄRMLANDS LÄN</t>
        </is>
      </c>
      <c r="E17420" t="inlineStr">
        <is>
          <t>TORSBY</t>
        </is>
      </c>
      <c r="G17420" t="n">
        <v>15.5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53583-2024</t>
        </is>
      </c>
      <c r="B17421" s="1" t="n">
        <v>45614</v>
      </c>
      <c r="C17421" s="1" t="n">
        <v>45736</v>
      </c>
      <c r="D17421" t="inlineStr">
        <is>
          <t>VÄRMLANDS LÄN</t>
        </is>
      </c>
      <c r="E17421" t="inlineStr">
        <is>
          <t>TORSBY</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53596-2024</t>
        </is>
      </c>
      <c r="B17422" s="1" t="n">
        <v>45614</v>
      </c>
      <c r="C17422" s="1" t="n">
        <v>45736</v>
      </c>
      <c r="D17422" t="inlineStr">
        <is>
          <t>VÄRMLANDS LÄN</t>
        </is>
      </c>
      <c r="E17422" t="inlineStr">
        <is>
          <t>FORSHAGA</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53627-2024</t>
        </is>
      </c>
      <c r="B17423" s="1" t="n">
        <v>45614</v>
      </c>
      <c r="C17423" s="1" t="n">
        <v>45736</v>
      </c>
      <c r="D17423" t="inlineStr">
        <is>
          <t>VÄRMLANDS LÄN</t>
        </is>
      </c>
      <c r="E17423" t="inlineStr">
        <is>
          <t>TORSBY</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53585-2024</t>
        </is>
      </c>
      <c r="B17424" s="1" t="n">
        <v>45614</v>
      </c>
      <c r="C17424" s="1" t="n">
        <v>45736</v>
      </c>
      <c r="D17424" t="inlineStr">
        <is>
          <t>VÄRMLANDS LÄN</t>
        </is>
      </c>
      <c r="E17424" t="inlineStr">
        <is>
          <t>FORSHAGA</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53253-2024</t>
        </is>
      </c>
      <c r="B17425" s="1" t="n">
        <v>45614</v>
      </c>
      <c r="C17425" s="1" t="n">
        <v>45736</v>
      </c>
      <c r="D17425" t="inlineStr">
        <is>
          <t>VÄRMLANDS LÄN</t>
        </is>
      </c>
      <c r="E17425" t="inlineStr">
        <is>
          <t>TORSBY</t>
        </is>
      </c>
      <c r="F17425" t="inlineStr">
        <is>
          <t>Bergvik skog väst AB</t>
        </is>
      </c>
      <c r="G17425" t="n">
        <v>12.7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53573-2024</t>
        </is>
      </c>
      <c r="B17426" s="1" t="n">
        <v>45614</v>
      </c>
      <c r="C17426" s="1" t="n">
        <v>45736</v>
      </c>
      <c r="D17426" t="inlineStr">
        <is>
          <t>VÄRMLANDS LÄN</t>
        </is>
      </c>
      <c r="E17426" t="inlineStr">
        <is>
          <t>FORSHAGA</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53638-2024</t>
        </is>
      </c>
      <c r="B17427" s="1" t="n">
        <v>45614</v>
      </c>
      <c r="C17427" s="1" t="n">
        <v>45736</v>
      </c>
      <c r="D17427" t="inlineStr">
        <is>
          <t>VÄRMLANDS LÄN</t>
        </is>
      </c>
      <c r="E17427" t="inlineStr">
        <is>
          <t>SUNNE</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53428-2024</t>
        </is>
      </c>
      <c r="B17428" s="1" t="n">
        <v>45614</v>
      </c>
      <c r="C17428" s="1" t="n">
        <v>45736</v>
      </c>
      <c r="D17428" t="inlineStr">
        <is>
          <t>VÄRMLANDS LÄN</t>
        </is>
      </c>
      <c r="E17428" t="inlineStr">
        <is>
          <t>SUNNE</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53416-2024</t>
        </is>
      </c>
      <c r="B17429" s="1" t="n">
        <v>45614</v>
      </c>
      <c r="C17429" s="1" t="n">
        <v>45736</v>
      </c>
      <c r="D17429" t="inlineStr">
        <is>
          <t>VÄRMLANDS LÄN</t>
        </is>
      </c>
      <c r="E17429" t="inlineStr">
        <is>
          <t>EDA</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53639-2024</t>
        </is>
      </c>
      <c r="B17430" s="1" t="n">
        <v>45614</v>
      </c>
      <c r="C17430" s="1" t="n">
        <v>45736</v>
      </c>
      <c r="D17430" t="inlineStr">
        <is>
          <t>VÄRMLANDS LÄN</t>
        </is>
      </c>
      <c r="E17430" t="inlineStr">
        <is>
          <t>EDA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53599-2024</t>
        </is>
      </c>
      <c r="B17431" s="1" t="n">
        <v>45614</v>
      </c>
      <c r="C17431" s="1" t="n">
        <v>45736</v>
      </c>
      <c r="D17431" t="inlineStr">
        <is>
          <t>VÄRMLANDS LÄN</t>
        </is>
      </c>
      <c r="E17431" t="inlineStr">
        <is>
          <t>TORSBY</t>
        </is>
      </c>
      <c r="F17431" t="inlineStr">
        <is>
          <t>Bergvik skog väst AB</t>
        </is>
      </c>
      <c r="G17431" t="n">
        <v>10.9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53879-2024</t>
        </is>
      </c>
      <c r="B17432" s="1" t="n">
        <v>45614</v>
      </c>
      <c r="C17432" s="1" t="n">
        <v>45736</v>
      </c>
      <c r="D17432" t="inlineStr">
        <is>
          <t>VÄRMLANDS LÄN</t>
        </is>
      </c>
      <c r="E17432" t="inlineStr">
        <is>
          <t>KRISTINEHAMN</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53396-2024</t>
        </is>
      </c>
      <c r="B17433" s="1" t="n">
        <v>45614</v>
      </c>
      <c r="C17433" s="1" t="n">
        <v>45736</v>
      </c>
      <c r="D17433" t="inlineStr">
        <is>
          <t>VÄRMLANDS LÄN</t>
        </is>
      </c>
      <c r="E17433" t="inlineStr">
        <is>
          <t>TORSBY</t>
        </is>
      </c>
      <c r="F17433" t="inlineStr">
        <is>
          <t>Bergvik skog väst AB</t>
        </is>
      </c>
      <c r="G17433" t="n">
        <v>10.1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53388-2024</t>
        </is>
      </c>
      <c r="B17434" s="1" t="n">
        <v>45614</v>
      </c>
      <c r="C17434" s="1" t="n">
        <v>45736</v>
      </c>
      <c r="D17434" t="inlineStr">
        <is>
          <t>VÄRMLANDS LÄN</t>
        </is>
      </c>
      <c r="E17434" t="inlineStr">
        <is>
          <t>STORFORS</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53593-2024</t>
        </is>
      </c>
      <c r="B17435" s="1" t="n">
        <v>45614</v>
      </c>
      <c r="C17435" s="1" t="n">
        <v>45736</v>
      </c>
      <c r="D17435" t="inlineStr">
        <is>
          <t>VÄRMLANDS LÄN</t>
        </is>
      </c>
      <c r="E17435" t="inlineStr">
        <is>
          <t>TORSBY</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53499-2024</t>
        </is>
      </c>
      <c r="B17436" s="1" t="n">
        <v>45614</v>
      </c>
      <c r="C17436" s="1" t="n">
        <v>45736</v>
      </c>
      <c r="D17436" t="inlineStr">
        <is>
          <t>VÄRMLANDS LÄN</t>
        </is>
      </c>
      <c r="E17436" t="inlineStr">
        <is>
          <t>HAGFORS</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53414-2024</t>
        </is>
      </c>
      <c r="B17437" s="1" t="n">
        <v>45614</v>
      </c>
      <c r="C17437" s="1" t="n">
        <v>45736</v>
      </c>
      <c r="D17437" t="inlineStr">
        <is>
          <t>VÄRMLANDS LÄN</t>
        </is>
      </c>
      <c r="E17437" t="inlineStr">
        <is>
          <t>EDA</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53538-2024</t>
        </is>
      </c>
      <c r="B17438" s="1" t="n">
        <v>45614</v>
      </c>
      <c r="C17438" s="1" t="n">
        <v>45736</v>
      </c>
      <c r="D17438" t="inlineStr">
        <is>
          <t>VÄRMLANDS LÄN</t>
        </is>
      </c>
      <c r="E17438" t="inlineStr">
        <is>
          <t>FORSHAGA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53372-2024</t>
        </is>
      </c>
      <c r="B17439" s="1" t="n">
        <v>45614</v>
      </c>
      <c r="C17439" s="1" t="n">
        <v>45736</v>
      </c>
      <c r="D17439" t="inlineStr">
        <is>
          <t>VÄRMLANDS LÄN</t>
        </is>
      </c>
      <c r="E17439" t="inlineStr">
        <is>
          <t>STORFORS</t>
        </is>
      </c>
      <c r="G17439" t="n">
        <v>6.4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53506-2024</t>
        </is>
      </c>
      <c r="B17440" s="1" t="n">
        <v>45614</v>
      </c>
      <c r="C17440" s="1" t="n">
        <v>45736</v>
      </c>
      <c r="D17440" t="inlineStr">
        <is>
          <t>VÄRMLANDS LÄN</t>
        </is>
      </c>
      <c r="E17440" t="inlineStr">
        <is>
          <t>TORSBY</t>
        </is>
      </c>
      <c r="F17440" t="inlineStr">
        <is>
          <t>Bergvik skog väst AB</t>
        </is>
      </c>
      <c r="G17440" t="n">
        <v>12.2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53484-2024</t>
        </is>
      </c>
      <c r="B17441" s="1" t="n">
        <v>45614</v>
      </c>
      <c r="C17441" s="1" t="n">
        <v>45736</v>
      </c>
      <c r="D17441" t="inlineStr">
        <is>
          <t>VÄRMLANDS LÄN</t>
        </is>
      </c>
      <c r="E17441" t="inlineStr">
        <is>
          <t>MUNKFORS</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53433-2024</t>
        </is>
      </c>
      <c r="B17442" s="1" t="n">
        <v>45614</v>
      </c>
      <c r="C17442" s="1" t="n">
        <v>45736</v>
      </c>
      <c r="D17442" t="inlineStr">
        <is>
          <t>VÄRMLANDS LÄN</t>
        </is>
      </c>
      <c r="E17442" t="inlineStr">
        <is>
          <t>SUNNE</t>
        </is>
      </c>
      <c r="G17442" t="n">
        <v>5.9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53429-2024</t>
        </is>
      </c>
      <c r="B17443" s="1" t="n">
        <v>45614</v>
      </c>
      <c r="C17443" s="1" t="n">
        <v>45736</v>
      </c>
      <c r="D17443" t="inlineStr">
        <is>
          <t>VÄRMLANDS LÄN</t>
        </is>
      </c>
      <c r="E17443" t="inlineStr">
        <is>
          <t>SUNNE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53368-2024</t>
        </is>
      </c>
      <c r="B17444" s="1" t="n">
        <v>45614</v>
      </c>
      <c r="C17444" s="1" t="n">
        <v>45736</v>
      </c>
      <c r="D17444" t="inlineStr">
        <is>
          <t>VÄRMLANDS LÄN</t>
        </is>
      </c>
      <c r="E17444" t="inlineStr">
        <is>
          <t>TORSBY</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53358-2024</t>
        </is>
      </c>
      <c r="B17445" s="1" t="n">
        <v>45614</v>
      </c>
      <c r="C17445" s="1" t="n">
        <v>45736</v>
      </c>
      <c r="D17445" t="inlineStr">
        <is>
          <t>VÄRMLANDS LÄN</t>
        </is>
      </c>
      <c r="E17445" t="inlineStr">
        <is>
          <t>TORSBY</t>
        </is>
      </c>
      <c r="G17445" t="n">
        <v>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53401-2024</t>
        </is>
      </c>
      <c r="B17446" s="1" t="n">
        <v>45614</v>
      </c>
      <c r="C17446" s="1" t="n">
        <v>45736</v>
      </c>
      <c r="D17446" t="inlineStr">
        <is>
          <t>VÄRMLANDS LÄN</t>
        </is>
      </c>
      <c r="E17446" t="inlineStr">
        <is>
          <t>EDA</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53353-2024</t>
        </is>
      </c>
      <c r="B17447" s="1" t="n">
        <v>45614</v>
      </c>
      <c r="C17447" s="1" t="n">
        <v>45736</v>
      </c>
      <c r="D17447" t="inlineStr">
        <is>
          <t>VÄRMLANDS LÄN</t>
        </is>
      </c>
      <c r="E17447" t="inlineStr">
        <is>
          <t>STORFORS</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53297-2024</t>
        </is>
      </c>
      <c r="B17448" s="1" t="n">
        <v>45614</v>
      </c>
      <c r="C17448" s="1" t="n">
        <v>45736</v>
      </c>
      <c r="D17448" t="inlineStr">
        <is>
          <t>VÄRMLANDS LÄN</t>
        </is>
      </c>
      <c r="E17448" t="inlineStr">
        <is>
          <t>TORSBY</t>
        </is>
      </c>
      <c r="F17448" t="inlineStr">
        <is>
          <t>Bergvik skog väst AB</t>
        </is>
      </c>
      <c r="G17448" t="n">
        <v>9.5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53737-2024</t>
        </is>
      </c>
      <c r="B17449" s="1" t="n">
        <v>45615</v>
      </c>
      <c r="C17449" s="1" t="n">
        <v>45736</v>
      </c>
      <c r="D17449" t="inlineStr">
        <is>
          <t>VÄRMLANDS LÄN</t>
        </is>
      </c>
      <c r="E17449" t="inlineStr">
        <is>
          <t>ARVIKA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53741-2024</t>
        </is>
      </c>
      <c r="B17450" s="1" t="n">
        <v>45615</v>
      </c>
      <c r="C17450" s="1" t="n">
        <v>45736</v>
      </c>
      <c r="D17450" t="inlineStr">
        <is>
          <t>VÄRMLANDS LÄN</t>
        </is>
      </c>
      <c r="E17450" t="inlineStr">
        <is>
          <t>HAGFORS</t>
        </is>
      </c>
      <c r="G17450" t="n">
        <v>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53749-2024</t>
        </is>
      </c>
      <c r="B17451" s="1" t="n">
        <v>45615</v>
      </c>
      <c r="C17451" s="1" t="n">
        <v>45736</v>
      </c>
      <c r="D17451" t="inlineStr">
        <is>
          <t>VÄRMLANDS LÄN</t>
        </is>
      </c>
      <c r="E17451" t="inlineStr">
        <is>
          <t>ÅRJÄNG</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53732-2024</t>
        </is>
      </c>
      <c r="B17452" s="1" t="n">
        <v>45615</v>
      </c>
      <c r="C17452" s="1" t="n">
        <v>45736</v>
      </c>
      <c r="D17452" t="inlineStr">
        <is>
          <t>VÄRMLANDS LÄN</t>
        </is>
      </c>
      <c r="E17452" t="inlineStr">
        <is>
          <t>KIL</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53744-2024</t>
        </is>
      </c>
      <c r="B17453" s="1" t="n">
        <v>45615</v>
      </c>
      <c r="C17453" s="1" t="n">
        <v>45736</v>
      </c>
      <c r="D17453" t="inlineStr">
        <is>
          <t>VÄRMLANDS LÄN</t>
        </is>
      </c>
      <c r="E17453" t="inlineStr">
        <is>
          <t>TORSBY</t>
        </is>
      </c>
      <c r="G17453" t="n">
        <v>16.9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53748-2024</t>
        </is>
      </c>
      <c r="B17454" s="1" t="n">
        <v>45615</v>
      </c>
      <c r="C17454" s="1" t="n">
        <v>45736</v>
      </c>
      <c r="D17454" t="inlineStr">
        <is>
          <t>VÄRMLANDS LÄN</t>
        </is>
      </c>
      <c r="E17454" t="inlineStr">
        <is>
          <t>TORSBY</t>
        </is>
      </c>
      <c r="G17454" t="n">
        <v>11.2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53799-2024</t>
        </is>
      </c>
      <c r="B17455" s="1" t="n">
        <v>45615</v>
      </c>
      <c r="C17455" s="1" t="n">
        <v>45736</v>
      </c>
      <c r="D17455" t="inlineStr">
        <is>
          <t>VÄRMLANDS LÄN</t>
        </is>
      </c>
      <c r="E17455" t="inlineStr">
        <is>
          <t>EDA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53734-2024</t>
        </is>
      </c>
      <c r="B17456" s="1" t="n">
        <v>45615</v>
      </c>
      <c r="C17456" s="1" t="n">
        <v>45736</v>
      </c>
      <c r="D17456" t="inlineStr">
        <is>
          <t>VÄRMLANDS LÄN</t>
        </is>
      </c>
      <c r="E17456" t="inlineStr">
        <is>
          <t>KIL</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53738-2024</t>
        </is>
      </c>
      <c r="B17457" s="1" t="n">
        <v>45615</v>
      </c>
      <c r="C17457" s="1" t="n">
        <v>45736</v>
      </c>
      <c r="D17457" t="inlineStr">
        <is>
          <t>VÄRMLANDS LÄN</t>
        </is>
      </c>
      <c r="E17457" t="inlineStr">
        <is>
          <t>ÅRJÄNG</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53742-2024</t>
        </is>
      </c>
      <c r="B17458" s="1" t="n">
        <v>45615</v>
      </c>
      <c r="C17458" s="1" t="n">
        <v>45736</v>
      </c>
      <c r="D17458" t="inlineStr">
        <is>
          <t>VÄRMLANDS LÄN</t>
        </is>
      </c>
      <c r="E17458" t="inlineStr">
        <is>
          <t>ÅRJÄNG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53755-2024</t>
        </is>
      </c>
      <c r="B17459" s="1" t="n">
        <v>45615</v>
      </c>
      <c r="C17459" s="1" t="n">
        <v>45736</v>
      </c>
      <c r="D17459" t="inlineStr">
        <is>
          <t>VÄRMLANDS LÄN</t>
        </is>
      </c>
      <c r="E17459" t="inlineStr">
        <is>
          <t>GRUMS</t>
        </is>
      </c>
      <c r="G17459" t="n">
        <v>6.1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53759-2024</t>
        </is>
      </c>
      <c r="B17460" s="1" t="n">
        <v>45615</v>
      </c>
      <c r="C17460" s="1" t="n">
        <v>45736</v>
      </c>
      <c r="D17460" t="inlineStr">
        <is>
          <t>VÄRMLANDS LÄN</t>
        </is>
      </c>
      <c r="E17460" t="inlineStr">
        <is>
          <t>SUNNE</t>
        </is>
      </c>
      <c r="G17460" t="n">
        <v>4.5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53813-2024</t>
        </is>
      </c>
      <c r="B17461" s="1" t="n">
        <v>45615</v>
      </c>
      <c r="C17461" s="1" t="n">
        <v>45736</v>
      </c>
      <c r="D17461" t="inlineStr">
        <is>
          <t>VÄRMLANDS LÄN</t>
        </is>
      </c>
      <c r="E17461" t="inlineStr">
        <is>
          <t>HAGFORS</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53723-2024</t>
        </is>
      </c>
      <c r="B17462" s="1" t="n">
        <v>45615</v>
      </c>
      <c r="C17462" s="1" t="n">
        <v>45736</v>
      </c>
      <c r="D17462" t="inlineStr">
        <is>
          <t>VÄRMLANDS LÄN</t>
        </is>
      </c>
      <c r="E17462" t="inlineStr">
        <is>
          <t>ARVIKA</t>
        </is>
      </c>
      <c r="G17462" t="n">
        <v>6.6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53654-2024</t>
        </is>
      </c>
      <c r="B17463" s="1" t="n">
        <v>45615</v>
      </c>
      <c r="C17463" s="1" t="n">
        <v>45736</v>
      </c>
      <c r="D17463" t="inlineStr">
        <is>
          <t>VÄRMLANDS LÄN</t>
        </is>
      </c>
      <c r="E17463" t="inlineStr">
        <is>
          <t>KARLSTAD</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53667-2024</t>
        </is>
      </c>
      <c r="B17464" s="1" t="n">
        <v>45615</v>
      </c>
      <c r="C17464" s="1" t="n">
        <v>45736</v>
      </c>
      <c r="D17464" t="inlineStr">
        <is>
          <t>VÄRMLANDS LÄN</t>
        </is>
      </c>
      <c r="E17464" t="inlineStr">
        <is>
          <t>TORSBY</t>
        </is>
      </c>
      <c r="F17464" t="inlineStr">
        <is>
          <t>Bergvik skog väst AB</t>
        </is>
      </c>
      <c r="G17464" t="n">
        <v>8.300000000000001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53925-2024</t>
        </is>
      </c>
      <c r="B17465" s="1" t="n">
        <v>45615</v>
      </c>
      <c r="C17465" s="1" t="n">
        <v>45736</v>
      </c>
      <c r="D17465" t="inlineStr">
        <is>
          <t>VÄRMLANDS LÄN</t>
        </is>
      </c>
      <c r="E17465" t="inlineStr">
        <is>
          <t>SUNNE</t>
        </is>
      </c>
      <c r="G17465" t="n">
        <v>3.1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53974-2024</t>
        </is>
      </c>
      <c r="B17466" s="1" t="n">
        <v>45615</v>
      </c>
      <c r="C17466" s="1" t="n">
        <v>45736</v>
      </c>
      <c r="D17466" t="inlineStr">
        <is>
          <t>VÄRMLANDS LÄN</t>
        </is>
      </c>
      <c r="E17466" t="inlineStr">
        <is>
          <t>SÄFFLE</t>
        </is>
      </c>
      <c r="G17466" t="n">
        <v>4.6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53793-2024</t>
        </is>
      </c>
      <c r="B17467" s="1" t="n">
        <v>45615</v>
      </c>
      <c r="C17467" s="1" t="n">
        <v>45736</v>
      </c>
      <c r="D17467" t="inlineStr">
        <is>
          <t>VÄRMLANDS LÄN</t>
        </is>
      </c>
      <c r="E17467" t="inlineStr">
        <is>
          <t>ÅRJÄNG</t>
        </is>
      </c>
      <c r="G17467" t="n">
        <v>4.9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53747-2024</t>
        </is>
      </c>
      <c r="B17468" s="1" t="n">
        <v>45615</v>
      </c>
      <c r="C17468" s="1" t="n">
        <v>45736</v>
      </c>
      <c r="D17468" t="inlineStr">
        <is>
          <t>VÄRMLANDS LÄN</t>
        </is>
      </c>
      <c r="E17468" t="inlineStr">
        <is>
          <t>EDA</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53713-2024</t>
        </is>
      </c>
      <c r="B17469" s="1" t="n">
        <v>45615</v>
      </c>
      <c r="C17469" s="1" t="n">
        <v>45736</v>
      </c>
      <c r="D17469" t="inlineStr">
        <is>
          <t>VÄRMLANDS LÄN</t>
        </is>
      </c>
      <c r="E17469" t="inlineStr">
        <is>
          <t>ARVIKA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53697-2024</t>
        </is>
      </c>
      <c r="B17470" s="1" t="n">
        <v>45615</v>
      </c>
      <c r="C17470" s="1" t="n">
        <v>45736</v>
      </c>
      <c r="D17470" t="inlineStr">
        <is>
          <t>VÄRMLANDS LÄN</t>
        </is>
      </c>
      <c r="E17470" t="inlineStr">
        <is>
          <t>EDA</t>
        </is>
      </c>
      <c r="G17470" t="n">
        <v>2.2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53907-2024</t>
        </is>
      </c>
      <c r="B17471" s="1" t="n">
        <v>45615</v>
      </c>
      <c r="C17471" s="1" t="n">
        <v>45736</v>
      </c>
      <c r="D17471" t="inlineStr">
        <is>
          <t>VÄRMLANDS LÄN</t>
        </is>
      </c>
      <c r="E17471" t="inlineStr">
        <is>
          <t>STORFORS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53911-2024</t>
        </is>
      </c>
      <c r="B17472" s="1" t="n">
        <v>45615</v>
      </c>
      <c r="C17472" s="1" t="n">
        <v>45736</v>
      </c>
      <c r="D17472" t="inlineStr">
        <is>
          <t>VÄRMLANDS LÄN</t>
        </is>
      </c>
      <c r="E17472" t="inlineStr">
        <is>
          <t>STORFORS</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53912-2024</t>
        </is>
      </c>
      <c r="B17473" s="1" t="n">
        <v>45615</v>
      </c>
      <c r="C17473" s="1" t="n">
        <v>45736</v>
      </c>
      <c r="D17473" t="inlineStr">
        <is>
          <t>VÄRMLANDS LÄN</t>
        </is>
      </c>
      <c r="E17473" t="inlineStr">
        <is>
          <t>STORFORS</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54008-2024</t>
        </is>
      </c>
      <c r="B17474" s="1" t="n">
        <v>45615</v>
      </c>
      <c r="C17474" s="1" t="n">
        <v>45736</v>
      </c>
      <c r="D17474" t="inlineStr">
        <is>
          <t>VÄRMLANDS LÄN</t>
        </is>
      </c>
      <c r="E17474" t="inlineStr">
        <is>
          <t>HAGFORS</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53927-2024</t>
        </is>
      </c>
      <c r="B17475" s="1" t="n">
        <v>45615</v>
      </c>
      <c r="C17475" s="1" t="n">
        <v>45736</v>
      </c>
      <c r="D17475" t="inlineStr">
        <is>
          <t>VÄRMLANDS LÄN</t>
        </is>
      </c>
      <c r="E17475" t="inlineStr">
        <is>
          <t>SUNNE</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54012-2024</t>
        </is>
      </c>
      <c r="B17476" s="1" t="n">
        <v>45615</v>
      </c>
      <c r="C17476" s="1" t="n">
        <v>45736</v>
      </c>
      <c r="D17476" t="inlineStr">
        <is>
          <t>VÄRMLANDS LÄN</t>
        </is>
      </c>
      <c r="E17476" t="inlineStr">
        <is>
          <t>HAGFORS</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53656-2024</t>
        </is>
      </c>
      <c r="B17477" s="1" t="n">
        <v>45615</v>
      </c>
      <c r="C17477" s="1" t="n">
        <v>45736</v>
      </c>
      <c r="D17477" t="inlineStr">
        <is>
          <t>VÄRMLANDS LÄN</t>
        </is>
      </c>
      <c r="E17477" t="inlineStr">
        <is>
          <t>KARLSTAD</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53926-2024</t>
        </is>
      </c>
      <c r="B17478" s="1" t="n">
        <v>45615</v>
      </c>
      <c r="C17478" s="1" t="n">
        <v>45736</v>
      </c>
      <c r="D17478" t="inlineStr">
        <is>
          <t>VÄRMLANDS LÄN</t>
        </is>
      </c>
      <c r="E17478" t="inlineStr">
        <is>
          <t>SUNNE</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54005-2024</t>
        </is>
      </c>
      <c r="B17479" s="1" t="n">
        <v>45615</v>
      </c>
      <c r="C17479" s="1" t="n">
        <v>45736</v>
      </c>
      <c r="D17479" t="inlineStr">
        <is>
          <t>VÄRMLANDS LÄN</t>
        </is>
      </c>
      <c r="E17479" t="inlineStr">
        <is>
          <t>HAGFORS</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54013-2024</t>
        </is>
      </c>
      <c r="B17480" s="1" t="n">
        <v>45615</v>
      </c>
      <c r="C17480" s="1" t="n">
        <v>45736</v>
      </c>
      <c r="D17480" t="inlineStr">
        <is>
          <t>VÄRMLANDS LÄN</t>
        </is>
      </c>
      <c r="E17480" t="inlineStr">
        <is>
          <t>HAGFORS</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54141-2024</t>
        </is>
      </c>
      <c r="B17481" s="1" t="n">
        <v>45616</v>
      </c>
      <c r="C17481" s="1" t="n">
        <v>45736</v>
      </c>
      <c r="D17481" t="inlineStr">
        <is>
          <t>VÄRMLANDS LÄN</t>
        </is>
      </c>
      <c r="E17481" t="inlineStr">
        <is>
          <t>KARLSTAD</t>
        </is>
      </c>
      <c r="F17481" t="inlineStr">
        <is>
          <t>Bergvik skog väst AB</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54145-2024</t>
        </is>
      </c>
      <c r="B17482" s="1" t="n">
        <v>45616</v>
      </c>
      <c r="C17482" s="1" t="n">
        <v>45736</v>
      </c>
      <c r="D17482" t="inlineStr">
        <is>
          <t>VÄRMLANDS LÄN</t>
        </is>
      </c>
      <c r="E17482" t="inlineStr">
        <is>
          <t>FILIPSTAD</t>
        </is>
      </c>
      <c r="F17482" t="inlineStr">
        <is>
          <t>Bergvik skog väst AB</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54153-2024</t>
        </is>
      </c>
      <c r="B17483" s="1" t="n">
        <v>45616</v>
      </c>
      <c r="C17483" s="1" t="n">
        <v>45736</v>
      </c>
      <c r="D17483" t="inlineStr">
        <is>
          <t>VÄRMLANDS LÄN</t>
        </is>
      </c>
      <c r="E17483" t="inlineStr">
        <is>
          <t>FILIPSTAD</t>
        </is>
      </c>
      <c r="F17483" t="inlineStr">
        <is>
          <t>Bergvik skog väst AB</t>
        </is>
      </c>
      <c r="G17483" t="n">
        <v>2.9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54155-2024</t>
        </is>
      </c>
      <c r="B17484" s="1" t="n">
        <v>45616</v>
      </c>
      <c r="C17484" s="1" t="n">
        <v>45736</v>
      </c>
      <c r="D17484" t="inlineStr">
        <is>
          <t>VÄRMLANDS LÄN</t>
        </is>
      </c>
      <c r="E17484" t="inlineStr">
        <is>
          <t>ARVIKA</t>
        </is>
      </c>
      <c r="F17484" t="inlineStr">
        <is>
          <t>Bergvik skog väst AB</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54173-2024</t>
        </is>
      </c>
      <c r="B17485" s="1" t="n">
        <v>45616</v>
      </c>
      <c r="C17485" s="1" t="n">
        <v>45736</v>
      </c>
      <c r="D17485" t="inlineStr">
        <is>
          <t>VÄRMLANDS LÄN</t>
        </is>
      </c>
      <c r="E17485" t="inlineStr">
        <is>
          <t>EDA</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53973-2024</t>
        </is>
      </c>
      <c r="B17486" s="1" t="n">
        <v>45616</v>
      </c>
      <c r="C17486" s="1" t="n">
        <v>45736</v>
      </c>
      <c r="D17486" t="inlineStr">
        <is>
          <t>VÄRMLANDS LÄN</t>
        </is>
      </c>
      <c r="E17486" t="inlineStr">
        <is>
          <t>KRISTINEHAMN</t>
        </is>
      </c>
      <c r="G17486" t="n">
        <v>8.300000000000001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53984-2024</t>
        </is>
      </c>
      <c r="B17487" s="1" t="n">
        <v>45616</v>
      </c>
      <c r="C17487" s="1" t="n">
        <v>45736</v>
      </c>
      <c r="D17487" t="inlineStr">
        <is>
          <t>VÄRMLANDS LÄN</t>
        </is>
      </c>
      <c r="E17487" t="inlineStr">
        <is>
          <t>KRISTINEHAMN</t>
        </is>
      </c>
      <c r="G17487" t="n">
        <v>3.6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54023-2024</t>
        </is>
      </c>
      <c r="B17488" s="1" t="n">
        <v>45616</v>
      </c>
      <c r="C17488" s="1" t="n">
        <v>45736</v>
      </c>
      <c r="D17488" t="inlineStr">
        <is>
          <t>VÄRMLANDS LÄN</t>
        </is>
      </c>
      <c r="E17488" t="inlineStr">
        <is>
          <t>TORSBY</t>
        </is>
      </c>
      <c r="F17488" t="inlineStr">
        <is>
          <t>Kommuner</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54098-2024</t>
        </is>
      </c>
      <c r="B17489" s="1" t="n">
        <v>45616</v>
      </c>
      <c r="C17489" s="1" t="n">
        <v>45736</v>
      </c>
      <c r="D17489" t="inlineStr">
        <is>
          <t>VÄRMLANDS LÄN</t>
        </is>
      </c>
      <c r="E17489" t="inlineStr">
        <is>
          <t>ARVIKA</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53964-2024</t>
        </is>
      </c>
      <c r="B17490" s="1" t="n">
        <v>45616</v>
      </c>
      <c r="C17490" s="1" t="n">
        <v>45736</v>
      </c>
      <c r="D17490" t="inlineStr">
        <is>
          <t>VÄRMLANDS LÄN</t>
        </is>
      </c>
      <c r="E17490" t="inlineStr">
        <is>
          <t>ARVIKA</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53960-2024</t>
        </is>
      </c>
      <c r="B17491" s="1" t="n">
        <v>45616</v>
      </c>
      <c r="C17491" s="1" t="n">
        <v>45736</v>
      </c>
      <c r="D17491" t="inlineStr">
        <is>
          <t>VÄRMLANDS LÄN</t>
        </is>
      </c>
      <c r="E17491" t="inlineStr">
        <is>
          <t>ARVIKA</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53956-2024</t>
        </is>
      </c>
      <c r="B17492" s="1" t="n">
        <v>45616</v>
      </c>
      <c r="C17492" s="1" t="n">
        <v>45736</v>
      </c>
      <c r="D17492" t="inlineStr">
        <is>
          <t>VÄRMLANDS LÄN</t>
        </is>
      </c>
      <c r="E17492" t="inlineStr">
        <is>
          <t>KIL</t>
        </is>
      </c>
      <c r="G17492" t="n">
        <v>4.7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53951-2024</t>
        </is>
      </c>
      <c r="B17493" s="1" t="n">
        <v>45616</v>
      </c>
      <c r="C17493" s="1" t="n">
        <v>45736</v>
      </c>
      <c r="D17493" t="inlineStr">
        <is>
          <t>VÄRMLANDS LÄN</t>
        </is>
      </c>
      <c r="E17493" t="inlineStr">
        <is>
          <t>KIL</t>
        </is>
      </c>
      <c r="G17493" t="n">
        <v>6.2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54158-2024</t>
        </is>
      </c>
      <c r="B17494" s="1" t="n">
        <v>45616</v>
      </c>
      <c r="C17494" s="1" t="n">
        <v>45736</v>
      </c>
      <c r="D17494" t="inlineStr">
        <is>
          <t>VÄRMLANDS LÄN</t>
        </is>
      </c>
      <c r="E17494" t="inlineStr">
        <is>
          <t>ARVIKA</t>
        </is>
      </c>
      <c r="F17494" t="inlineStr">
        <is>
          <t>Bergvik skog väst AB</t>
        </is>
      </c>
      <c r="G17494" t="n">
        <v>7.4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54254-2024</t>
        </is>
      </c>
      <c r="B17495" s="1" t="n">
        <v>45616</v>
      </c>
      <c r="C17495" s="1" t="n">
        <v>45736</v>
      </c>
      <c r="D17495" t="inlineStr">
        <is>
          <t>VÄRMLANDS LÄN</t>
        </is>
      </c>
      <c r="E17495" t="inlineStr">
        <is>
          <t>KARLSTAD</t>
        </is>
      </c>
      <c r="G17495" t="n">
        <v>4.8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54266-2024</t>
        </is>
      </c>
      <c r="B17496" s="1" t="n">
        <v>45616</v>
      </c>
      <c r="C17496" s="1" t="n">
        <v>45736</v>
      </c>
      <c r="D17496" t="inlineStr">
        <is>
          <t>VÄRMLANDS LÄN</t>
        </is>
      </c>
      <c r="E17496" t="inlineStr">
        <is>
          <t>TORSBY</t>
        </is>
      </c>
      <c r="F17496" t="inlineStr">
        <is>
          <t>Kommuner</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53958-2024</t>
        </is>
      </c>
      <c r="B17497" s="1" t="n">
        <v>45616</v>
      </c>
      <c r="C17497" s="1" t="n">
        <v>45736</v>
      </c>
      <c r="D17497" t="inlineStr">
        <is>
          <t>VÄRMLANDS LÄN</t>
        </is>
      </c>
      <c r="E17497" t="inlineStr">
        <is>
          <t>KIL</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54004-2024</t>
        </is>
      </c>
      <c r="B17498" s="1" t="n">
        <v>45616</v>
      </c>
      <c r="C17498" s="1" t="n">
        <v>45736</v>
      </c>
      <c r="D17498" t="inlineStr">
        <is>
          <t>VÄRMLANDS LÄN</t>
        </is>
      </c>
      <c r="E17498" t="inlineStr">
        <is>
          <t>TORSBY</t>
        </is>
      </c>
      <c r="F17498" t="inlineStr">
        <is>
          <t>Kommuner</t>
        </is>
      </c>
      <c r="G17498" t="n">
        <v>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54011-2024</t>
        </is>
      </c>
      <c r="B17499" s="1" t="n">
        <v>45616</v>
      </c>
      <c r="C17499" s="1" t="n">
        <v>45736</v>
      </c>
      <c r="D17499" t="inlineStr">
        <is>
          <t>VÄRMLANDS LÄN</t>
        </is>
      </c>
      <c r="E17499" t="inlineStr">
        <is>
          <t>TORSBY</t>
        </is>
      </c>
      <c r="F17499" t="inlineStr">
        <is>
          <t>Kommuner</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54026-2024</t>
        </is>
      </c>
      <c r="B17500" s="1" t="n">
        <v>45616</v>
      </c>
      <c r="C17500" s="1" t="n">
        <v>45736</v>
      </c>
      <c r="D17500" t="inlineStr">
        <is>
          <t>VÄRMLANDS LÄN</t>
        </is>
      </c>
      <c r="E17500" t="inlineStr">
        <is>
          <t>TORSBY</t>
        </is>
      </c>
      <c r="G17500" t="n">
        <v>8.4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54077-2024</t>
        </is>
      </c>
      <c r="B17501" s="1" t="n">
        <v>45616</v>
      </c>
      <c r="C17501" s="1" t="n">
        <v>45736</v>
      </c>
      <c r="D17501" t="inlineStr">
        <is>
          <t>VÄRMLANDS LÄN</t>
        </is>
      </c>
      <c r="E17501" t="inlineStr">
        <is>
          <t>SUNNE</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54108-2024</t>
        </is>
      </c>
      <c r="B17502" s="1" t="n">
        <v>45616</v>
      </c>
      <c r="C17502" s="1" t="n">
        <v>45736</v>
      </c>
      <c r="D17502" t="inlineStr">
        <is>
          <t>VÄRMLANDS LÄN</t>
        </is>
      </c>
      <c r="E17502" t="inlineStr">
        <is>
          <t>ARVIKA</t>
        </is>
      </c>
      <c r="F17502" t="inlineStr">
        <is>
          <t>Bergvik skog väst AB</t>
        </is>
      </c>
      <c r="G17502" t="n">
        <v>6.2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54136-2024</t>
        </is>
      </c>
      <c r="B17503" s="1" t="n">
        <v>45616</v>
      </c>
      <c r="C17503" s="1" t="n">
        <v>45736</v>
      </c>
      <c r="D17503" t="inlineStr">
        <is>
          <t>VÄRMLANDS LÄN</t>
        </is>
      </c>
      <c r="E17503" t="inlineStr">
        <is>
          <t>SÄFFLE</t>
        </is>
      </c>
      <c r="F17503" t="inlineStr">
        <is>
          <t>Bergvik skog väst AB</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54278-2024</t>
        </is>
      </c>
      <c r="B17504" s="1" t="n">
        <v>45616</v>
      </c>
      <c r="C17504" s="1" t="n">
        <v>45736</v>
      </c>
      <c r="D17504" t="inlineStr">
        <is>
          <t>VÄRMLANDS LÄN</t>
        </is>
      </c>
      <c r="E17504" t="inlineStr">
        <is>
          <t>ÅRJÄNG</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54282-2024</t>
        </is>
      </c>
      <c r="B17505" s="1" t="n">
        <v>45616</v>
      </c>
      <c r="C17505" s="1" t="n">
        <v>45736</v>
      </c>
      <c r="D17505" t="inlineStr">
        <is>
          <t>VÄRMLANDS LÄN</t>
        </is>
      </c>
      <c r="E17505" t="inlineStr">
        <is>
          <t>SUNNE</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54286-2024</t>
        </is>
      </c>
      <c r="B17506" s="1" t="n">
        <v>45616</v>
      </c>
      <c r="C17506" s="1" t="n">
        <v>45736</v>
      </c>
      <c r="D17506" t="inlineStr">
        <is>
          <t>VÄRMLANDS LÄN</t>
        </is>
      </c>
      <c r="E17506" t="inlineStr">
        <is>
          <t>SUNNE</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54265-2024</t>
        </is>
      </c>
      <c r="B17507" s="1" t="n">
        <v>45616</v>
      </c>
      <c r="C17507" s="1" t="n">
        <v>45736</v>
      </c>
      <c r="D17507" t="inlineStr">
        <is>
          <t>VÄRMLANDS LÄN</t>
        </is>
      </c>
      <c r="E17507" t="inlineStr">
        <is>
          <t>TORSBY</t>
        </is>
      </c>
      <c r="F17507" t="inlineStr">
        <is>
          <t>Kommuner</t>
        </is>
      </c>
      <c r="G17507" t="n">
        <v>0.4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53954-2024</t>
        </is>
      </c>
      <c r="B17508" s="1" t="n">
        <v>45616</v>
      </c>
      <c r="C17508" s="1" t="n">
        <v>45736</v>
      </c>
      <c r="D17508" t="inlineStr">
        <is>
          <t>VÄRMLANDS LÄN</t>
        </is>
      </c>
      <c r="E17508" t="inlineStr">
        <is>
          <t>SUNNE</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53959-2024</t>
        </is>
      </c>
      <c r="B17509" s="1" t="n">
        <v>45616</v>
      </c>
      <c r="C17509" s="1" t="n">
        <v>45736</v>
      </c>
      <c r="D17509" t="inlineStr">
        <is>
          <t>VÄRMLANDS LÄN</t>
        </is>
      </c>
      <c r="E17509" t="inlineStr">
        <is>
          <t>KIL</t>
        </is>
      </c>
      <c r="G17509" t="n">
        <v>2.4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53977-2024</t>
        </is>
      </c>
      <c r="B17510" s="1" t="n">
        <v>45616</v>
      </c>
      <c r="C17510" s="1" t="n">
        <v>45736</v>
      </c>
      <c r="D17510" t="inlineStr">
        <is>
          <t>VÄRMLANDS LÄN</t>
        </is>
      </c>
      <c r="E17510" t="inlineStr">
        <is>
          <t>KRISTINEHAMN</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53983-2024</t>
        </is>
      </c>
      <c r="B17511" s="1" t="n">
        <v>45616</v>
      </c>
      <c r="C17511" s="1" t="n">
        <v>45736</v>
      </c>
      <c r="D17511" t="inlineStr">
        <is>
          <t>VÄRMLANDS LÄN</t>
        </is>
      </c>
      <c r="E17511" t="inlineStr">
        <is>
          <t>KRISTINEHAMN</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54006-2024</t>
        </is>
      </c>
      <c r="B17512" s="1" t="n">
        <v>45616</v>
      </c>
      <c r="C17512" s="1" t="n">
        <v>45736</v>
      </c>
      <c r="D17512" t="inlineStr">
        <is>
          <t>VÄRMLANDS LÄN</t>
        </is>
      </c>
      <c r="E17512" t="inlineStr">
        <is>
          <t>TORSBY</t>
        </is>
      </c>
      <c r="F17512" t="inlineStr">
        <is>
          <t>Kommuner</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54014-2024</t>
        </is>
      </c>
      <c r="B17513" s="1" t="n">
        <v>45616</v>
      </c>
      <c r="C17513" s="1" t="n">
        <v>45736</v>
      </c>
      <c r="D17513" t="inlineStr">
        <is>
          <t>VÄRMLANDS LÄN</t>
        </is>
      </c>
      <c r="E17513" t="inlineStr">
        <is>
          <t>TORSBY</t>
        </is>
      </c>
      <c r="F17513" t="inlineStr">
        <is>
          <t>Kommuner</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54027-2024</t>
        </is>
      </c>
      <c r="B17514" s="1" t="n">
        <v>45616</v>
      </c>
      <c r="C17514" s="1" t="n">
        <v>45736</v>
      </c>
      <c r="D17514" t="inlineStr">
        <is>
          <t>VÄRMLANDS LÄN</t>
        </is>
      </c>
      <c r="E17514" t="inlineStr">
        <is>
          <t>TORSBY</t>
        </is>
      </c>
      <c r="F17514" t="inlineStr">
        <is>
          <t>Bergvik skog väst AB</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54225-2024</t>
        </is>
      </c>
      <c r="B17515" s="1" t="n">
        <v>45616</v>
      </c>
      <c r="C17515" s="1" t="n">
        <v>45736</v>
      </c>
      <c r="D17515" t="inlineStr">
        <is>
          <t>VÄRMLANDS LÄN</t>
        </is>
      </c>
      <c r="E17515" t="inlineStr">
        <is>
          <t>KARLSTAD</t>
        </is>
      </c>
      <c r="G17515" t="n">
        <v>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54221-2024</t>
        </is>
      </c>
      <c r="B17516" s="1" t="n">
        <v>45616</v>
      </c>
      <c r="C17516" s="1" t="n">
        <v>45736</v>
      </c>
      <c r="D17516" t="inlineStr">
        <is>
          <t>VÄRMLANDS LÄN</t>
        </is>
      </c>
      <c r="E17516" t="inlineStr">
        <is>
          <t>STORFORS</t>
        </is>
      </c>
      <c r="G17516" t="n">
        <v>2.8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54276-2024</t>
        </is>
      </c>
      <c r="B17517" s="1" t="n">
        <v>45616</v>
      </c>
      <c r="C17517" s="1" t="n">
        <v>45736</v>
      </c>
      <c r="D17517" t="inlineStr">
        <is>
          <t>VÄRMLANDS LÄN</t>
        </is>
      </c>
      <c r="E17517" t="inlineStr">
        <is>
          <t>ÅRJÄNG</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54283-2024</t>
        </is>
      </c>
      <c r="B17518" s="1" t="n">
        <v>45616</v>
      </c>
      <c r="C17518" s="1" t="n">
        <v>45736</v>
      </c>
      <c r="D17518" t="inlineStr">
        <is>
          <t>VÄRMLANDS LÄN</t>
        </is>
      </c>
      <c r="E17518" t="inlineStr">
        <is>
          <t>HAGFORS</t>
        </is>
      </c>
      <c r="G17518" t="n">
        <v>3.5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53952-2024</t>
        </is>
      </c>
      <c r="B17519" s="1" t="n">
        <v>45616</v>
      </c>
      <c r="C17519" s="1" t="n">
        <v>45736</v>
      </c>
      <c r="D17519" t="inlineStr">
        <is>
          <t>VÄRMLANDS LÄN</t>
        </is>
      </c>
      <c r="E17519" t="inlineStr">
        <is>
          <t>KIL</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53957-2024</t>
        </is>
      </c>
      <c r="B17520" s="1" t="n">
        <v>45616</v>
      </c>
      <c r="C17520" s="1" t="n">
        <v>45736</v>
      </c>
      <c r="D17520" t="inlineStr">
        <is>
          <t>VÄRMLANDS LÄN</t>
        </is>
      </c>
      <c r="E17520" t="inlineStr">
        <is>
          <t>KIL</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53961-2024</t>
        </is>
      </c>
      <c r="B17521" s="1" t="n">
        <v>45616</v>
      </c>
      <c r="C17521" s="1" t="n">
        <v>45736</v>
      </c>
      <c r="D17521" t="inlineStr">
        <is>
          <t>VÄRMLANDS LÄN</t>
        </is>
      </c>
      <c r="E17521" t="inlineStr">
        <is>
          <t>EDA</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53965-2024</t>
        </is>
      </c>
      <c r="B17522" s="1" t="n">
        <v>45616</v>
      </c>
      <c r="C17522" s="1" t="n">
        <v>45736</v>
      </c>
      <c r="D17522" t="inlineStr">
        <is>
          <t>VÄRMLANDS LÄN</t>
        </is>
      </c>
      <c r="E17522" t="inlineStr">
        <is>
          <t>EDA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53979-2024</t>
        </is>
      </c>
      <c r="B17523" s="1" t="n">
        <v>45616</v>
      </c>
      <c r="C17523" s="1" t="n">
        <v>45736</v>
      </c>
      <c r="D17523" t="inlineStr">
        <is>
          <t>VÄRMLANDS LÄN</t>
        </is>
      </c>
      <c r="E17523" t="inlineStr">
        <is>
          <t>KRISTINEHAMN</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54219-2024</t>
        </is>
      </c>
      <c r="B17524" s="1" t="n">
        <v>45616</v>
      </c>
      <c r="C17524" s="1" t="n">
        <v>45736</v>
      </c>
      <c r="D17524" t="inlineStr">
        <is>
          <t>VÄRMLANDS LÄN</t>
        </is>
      </c>
      <c r="E17524" t="inlineStr">
        <is>
          <t>KARLSTAD</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54328-2024</t>
        </is>
      </c>
      <c r="B17525" s="1" t="n">
        <v>45617</v>
      </c>
      <c r="C17525" s="1" t="n">
        <v>45736</v>
      </c>
      <c r="D17525" t="inlineStr">
        <is>
          <t>VÄRMLANDS LÄN</t>
        </is>
      </c>
      <c r="E17525" t="inlineStr">
        <is>
          <t>TORSBY</t>
        </is>
      </c>
      <c r="F17525" t="inlineStr">
        <is>
          <t>Bergvik skog väst AB</t>
        </is>
      </c>
      <c r="G17525" t="n">
        <v>4.9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54292-2024</t>
        </is>
      </c>
      <c r="B17526" s="1" t="n">
        <v>45617</v>
      </c>
      <c r="C17526" s="1" t="n">
        <v>45736</v>
      </c>
      <c r="D17526" t="inlineStr">
        <is>
          <t>VÄRMLANDS LÄN</t>
        </is>
      </c>
      <c r="E17526" t="inlineStr">
        <is>
          <t>KARLSTAD</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54306-2024</t>
        </is>
      </c>
      <c r="B17527" s="1" t="n">
        <v>45617</v>
      </c>
      <c r="C17527" s="1" t="n">
        <v>45736</v>
      </c>
      <c r="D17527" t="inlineStr">
        <is>
          <t>VÄRMLANDS LÄN</t>
        </is>
      </c>
      <c r="E17527" t="inlineStr">
        <is>
          <t>TORSBY</t>
        </is>
      </c>
      <c r="F17527" t="inlineStr">
        <is>
          <t>Bergvik skog väst AB</t>
        </is>
      </c>
      <c r="G17527" t="n">
        <v>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54305-2024</t>
        </is>
      </c>
      <c r="B17528" s="1" t="n">
        <v>45617</v>
      </c>
      <c r="C17528" s="1" t="n">
        <v>45736</v>
      </c>
      <c r="D17528" t="inlineStr">
        <is>
          <t>VÄRMLANDS LÄN</t>
        </is>
      </c>
      <c r="E17528" t="inlineStr">
        <is>
          <t>FORSHAGA</t>
        </is>
      </c>
      <c r="G17528" t="n">
        <v>3.4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54304-2024</t>
        </is>
      </c>
      <c r="B17529" s="1" t="n">
        <v>45617</v>
      </c>
      <c r="C17529" s="1" t="n">
        <v>45736</v>
      </c>
      <c r="D17529" t="inlineStr">
        <is>
          <t>VÄRMLANDS LÄN</t>
        </is>
      </c>
      <c r="E17529" t="inlineStr">
        <is>
          <t>HAGFORS</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54374-2024</t>
        </is>
      </c>
      <c r="B17530" s="1" t="n">
        <v>45617</v>
      </c>
      <c r="C17530" s="1" t="n">
        <v>45736</v>
      </c>
      <c r="D17530" t="inlineStr">
        <is>
          <t>VÄRMLANDS LÄN</t>
        </is>
      </c>
      <c r="E17530" t="inlineStr">
        <is>
          <t>TORSBY</t>
        </is>
      </c>
      <c r="F17530" t="inlineStr">
        <is>
          <t>Bergvik skog väst AB</t>
        </is>
      </c>
      <c r="G17530" t="n">
        <v>4.4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54382-2024</t>
        </is>
      </c>
      <c r="B17531" s="1" t="n">
        <v>45617</v>
      </c>
      <c r="C17531" s="1" t="n">
        <v>45736</v>
      </c>
      <c r="D17531" t="inlineStr">
        <is>
          <t>VÄRMLANDS LÄN</t>
        </is>
      </c>
      <c r="E17531" t="inlineStr">
        <is>
          <t>ÅRJÄNG</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54442-2024</t>
        </is>
      </c>
      <c r="B17532" s="1" t="n">
        <v>45617</v>
      </c>
      <c r="C17532" s="1" t="n">
        <v>45736</v>
      </c>
      <c r="D17532" t="inlineStr">
        <is>
          <t>VÄRMLANDS LÄN</t>
        </is>
      </c>
      <c r="E17532" t="inlineStr">
        <is>
          <t>STORFORS</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54450-2024</t>
        </is>
      </c>
      <c r="B17533" s="1" t="n">
        <v>45617</v>
      </c>
      <c r="C17533" s="1" t="n">
        <v>45736</v>
      </c>
      <c r="D17533" t="inlineStr">
        <is>
          <t>VÄRMLANDS LÄN</t>
        </is>
      </c>
      <c r="E17533" t="inlineStr">
        <is>
          <t>SÄFFLE</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54494-2024</t>
        </is>
      </c>
      <c r="B17534" s="1" t="n">
        <v>45617</v>
      </c>
      <c r="C17534" s="1" t="n">
        <v>45736</v>
      </c>
      <c r="D17534" t="inlineStr">
        <is>
          <t>VÄRMLANDS LÄN</t>
        </is>
      </c>
      <c r="E17534" t="inlineStr">
        <is>
          <t>SÄFFLE</t>
        </is>
      </c>
      <c r="G17534" t="n">
        <v>3.8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54498-2024</t>
        </is>
      </c>
      <c r="B17535" s="1" t="n">
        <v>45617</v>
      </c>
      <c r="C17535" s="1" t="n">
        <v>45736</v>
      </c>
      <c r="D17535" t="inlineStr">
        <is>
          <t>VÄRMLANDS LÄN</t>
        </is>
      </c>
      <c r="E17535" t="inlineStr">
        <is>
          <t>SÄFFLE</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54611-2024</t>
        </is>
      </c>
      <c r="B17536" s="1" t="n">
        <v>45617</v>
      </c>
      <c r="C17536" s="1" t="n">
        <v>45736</v>
      </c>
      <c r="D17536" t="inlineStr">
        <is>
          <t>VÄRMLANDS LÄN</t>
        </is>
      </c>
      <c r="E17536" t="inlineStr">
        <is>
          <t>KARLSTAD</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54618-2024</t>
        </is>
      </c>
      <c r="B17537" s="1" t="n">
        <v>45617</v>
      </c>
      <c r="C17537" s="1" t="n">
        <v>45736</v>
      </c>
      <c r="D17537" t="inlineStr">
        <is>
          <t>VÄRMLANDS LÄN</t>
        </is>
      </c>
      <c r="E17537" t="inlineStr">
        <is>
          <t>TORSBY</t>
        </is>
      </c>
      <c r="F17537" t="inlineStr">
        <is>
          <t>Kommuner</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54646-2024</t>
        </is>
      </c>
      <c r="B17538" s="1" t="n">
        <v>45617</v>
      </c>
      <c r="C17538" s="1" t="n">
        <v>45736</v>
      </c>
      <c r="D17538" t="inlineStr">
        <is>
          <t>VÄRMLANDS LÄN</t>
        </is>
      </c>
      <c r="E17538" t="inlineStr">
        <is>
          <t>TORSBY</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54654-2024</t>
        </is>
      </c>
      <c r="B17539" s="1" t="n">
        <v>45617</v>
      </c>
      <c r="C17539" s="1" t="n">
        <v>45736</v>
      </c>
      <c r="D17539" t="inlineStr">
        <is>
          <t>VÄRMLANDS LÄN</t>
        </is>
      </c>
      <c r="E17539" t="inlineStr">
        <is>
          <t>SÄFFLE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54655-2024</t>
        </is>
      </c>
      <c r="B17540" s="1" t="n">
        <v>45617</v>
      </c>
      <c r="C17540" s="1" t="n">
        <v>45736</v>
      </c>
      <c r="D17540" t="inlineStr">
        <is>
          <t>VÄRMLANDS LÄN</t>
        </is>
      </c>
      <c r="E17540" t="inlineStr">
        <is>
          <t>SÄFFLE</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54318-2024</t>
        </is>
      </c>
      <c r="B17541" s="1" t="n">
        <v>45617</v>
      </c>
      <c r="C17541" s="1" t="n">
        <v>45736</v>
      </c>
      <c r="D17541" t="inlineStr">
        <is>
          <t>VÄRMLANDS LÄN</t>
        </is>
      </c>
      <c r="E17541" t="inlineStr">
        <is>
          <t>HAGFORS</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54648-2024</t>
        </is>
      </c>
      <c r="B17542" s="1" t="n">
        <v>45617</v>
      </c>
      <c r="C17542" s="1" t="n">
        <v>45736</v>
      </c>
      <c r="D17542" t="inlineStr">
        <is>
          <t>VÄRMLANDS LÄN</t>
        </is>
      </c>
      <c r="E17542" t="inlineStr">
        <is>
          <t>KARLSTAD</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54481-2024</t>
        </is>
      </c>
      <c r="B17543" s="1" t="n">
        <v>45617</v>
      </c>
      <c r="C17543" s="1" t="n">
        <v>45736</v>
      </c>
      <c r="D17543" t="inlineStr">
        <is>
          <t>VÄRMLANDS LÄN</t>
        </is>
      </c>
      <c r="E17543" t="inlineStr">
        <is>
          <t>EDA</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54489-2024</t>
        </is>
      </c>
      <c r="B17544" s="1" t="n">
        <v>45617</v>
      </c>
      <c r="C17544" s="1" t="n">
        <v>45736</v>
      </c>
      <c r="D17544" t="inlineStr">
        <is>
          <t>VÄRMLANDS LÄN</t>
        </is>
      </c>
      <c r="E17544" t="inlineStr">
        <is>
          <t>TORSBY</t>
        </is>
      </c>
      <c r="F17544" t="inlineStr">
        <is>
          <t>Bergvik skog väst AB</t>
        </is>
      </c>
      <c r="G17544" t="n">
        <v>6.7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54497-2024</t>
        </is>
      </c>
      <c r="B17545" s="1" t="n">
        <v>45617</v>
      </c>
      <c r="C17545" s="1" t="n">
        <v>45736</v>
      </c>
      <c r="D17545" t="inlineStr">
        <is>
          <t>VÄRMLANDS LÄN</t>
        </is>
      </c>
      <c r="E17545" t="inlineStr">
        <is>
          <t>KIL</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54609-2024</t>
        </is>
      </c>
      <c r="B17546" s="1" t="n">
        <v>45617</v>
      </c>
      <c r="C17546" s="1" t="n">
        <v>45736</v>
      </c>
      <c r="D17546" t="inlineStr">
        <is>
          <t>VÄRMLANDS LÄN</t>
        </is>
      </c>
      <c r="E17546" t="inlineStr">
        <is>
          <t>TORSBY</t>
        </is>
      </c>
      <c r="F17546" t="inlineStr">
        <is>
          <t>Kommuner</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54681-2024</t>
        </is>
      </c>
      <c r="B17547" s="1" t="n">
        <v>45618</v>
      </c>
      <c r="C17547" s="1" t="n">
        <v>45736</v>
      </c>
      <c r="D17547" t="inlineStr">
        <is>
          <t>VÄRMLANDS LÄN</t>
        </is>
      </c>
      <c r="E17547" t="inlineStr">
        <is>
          <t>SUNNE</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54669-2024</t>
        </is>
      </c>
      <c r="B17548" s="1" t="n">
        <v>45618</v>
      </c>
      <c r="C17548" s="1" t="n">
        <v>45736</v>
      </c>
      <c r="D17548" t="inlineStr">
        <is>
          <t>VÄRMLANDS LÄN</t>
        </is>
      </c>
      <c r="E17548" t="inlineStr">
        <is>
          <t>KARLSTAD</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54929-2024</t>
        </is>
      </c>
      <c r="B17549" s="1" t="n">
        <v>45618</v>
      </c>
      <c r="C17549" s="1" t="n">
        <v>45736</v>
      </c>
      <c r="D17549" t="inlineStr">
        <is>
          <t>VÄRMLANDS LÄN</t>
        </is>
      </c>
      <c r="E17549" t="inlineStr">
        <is>
          <t>HAGFORS</t>
        </is>
      </c>
      <c r="F17549" t="inlineStr">
        <is>
          <t>Bergvik skog väst AB</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54925-2024</t>
        </is>
      </c>
      <c r="B17550" s="1" t="n">
        <v>45618</v>
      </c>
      <c r="C17550" s="1" t="n">
        <v>45736</v>
      </c>
      <c r="D17550" t="inlineStr">
        <is>
          <t>VÄRMLANDS LÄN</t>
        </is>
      </c>
      <c r="E17550" t="inlineStr">
        <is>
          <t>ARVIKA</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54787-2024</t>
        </is>
      </c>
      <c r="B17551" s="1" t="n">
        <v>45618</v>
      </c>
      <c r="C17551" s="1" t="n">
        <v>45736</v>
      </c>
      <c r="D17551" t="inlineStr">
        <is>
          <t>VÄRMLANDS LÄN</t>
        </is>
      </c>
      <c r="E17551" t="inlineStr">
        <is>
          <t>EDA</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54928-2024</t>
        </is>
      </c>
      <c r="B17552" s="1" t="n">
        <v>45618</v>
      </c>
      <c r="C17552" s="1" t="n">
        <v>45736</v>
      </c>
      <c r="D17552" t="inlineStr">
        <is>
          <t>VÄRMLANDS LÄN</t>
        </is>
      </c>
      <c r="E17552" t="inlineStr">
        <is>
          <t>HAGFORS</t>
        </is>
      </c>
      <c r="F17552" t="inlineStr">
        <is>
          <t>Bergvik skog väst AB</t>
        </is>
      </c>
      <c r="G17552" t="n">
        <v>6.8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54904-2024</t>
        </is>
      </c>
      <c r="B17553" s="1" t="n">
        <v>45618</v>
      </c>
      <c r="C17553" s="1" t="n">
        <v>45736</v>
      </c>
      <c r="D17553" t="inlineStr">
        <is>
          <t>VÄRMLANDS LÄN</t>
        </is>
      </c>
      <c r="E17553" t="inlineStr">
        <is>
          <t>HAGFORS</t>
        </is>
      </c>
      <c r="F17553" t="inlineStr">
        <is>
          <t>Bergvik skog väst AB</t>
        </is>
      </c>
      <c r="G17553" t="n">
        <v>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54891-2024</t>
        </is>
      </c>
      <c r="B17554" s="1" t="n">
        <v>45618</v>
      </c>
      <c r="C17554" s="1" t="n">
        <v>45736</v>
      </c>
      <c r="D17554" t="inlineStr">
        <is>
          <t>VÄRMLANDS LÄN</t>
        </is>
      </c>
      <c r="E17554" t="inlineStr">
        <is>
          <t>TORSBY</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54907-2024</t>
        </is>
      </c>
      <c r="B17555" s="1" t="n">
        <v>45618</v>
      </c>
      <c r="C17555" s="1" t="n">
        <v>45736</v>
      </c>
      <c r="D17555" t="inlineStr">
        <is>
          <t>VÄRMLANDS LÄN</t>
        </is>
      </c>
      <c r="E17555" t="inlineStr">
        <is>
          <t>HAGFORS</t>
        </is>
      </c>
      <c r="F17555" t="inlineStr">
        <is>
          <t>Kyrkan</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54900-2024</t>
        </is>
      </c>
      <c r="B17556" s="1" t="n">
        <v>45618</v>
      </c>
      <c r="C17556" s="1" t="n">
        <v>45736</v>
      </c>
      <c r="D17556" t="inlineStr">
        <is>
          <t>VÄRMLANDS LÄN</t>
        </is>
      </c>
      <c r="E17556" t="inlineStr">
        <is>
          <t>ÅRJÄNG</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54888-2024</t>
        </is>
      </c>
      <c r="B17557" s="1" t="n">
        <v>45618</v>
      </c>
      <c r="C17557" s="1" t="n">
        <v>45736</v>
      </c>
      <c r="D17557" t="inlineStr">
        <is>
          <t>VÄRMLANDS LÄN</t>
        </is>
      </c>
      <c r="E17557" t="inlineStr">
        <is>
          <t>HAGFORS</t>
        </is>
      </c>
      <c r="F17557" t="inlineStr">
        <is>
          <t>Bergvik skog väst AB</t>
        </is>
      </c>
      <c r="G17557" t="n">
        <v>4.7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54856-2024</t>
        </is>
      </c>
      <c r="B17558" s="1" t="n">
        <v>45618</v>
      </c>
      <c r="C17558" s="1" t="n">
        <v>45736</v>
      </c>
      <c r="D17558" t="inlineStr">
        <is>
          <t>VÄRMLANDS LÄN</t>
        </is>
      </c>
      <c r="E17558" t="inlineStr">
        <is>
          <t>HAGFORS</t>
        </is>
      </c>
      <c r="F17558" t="inlineStr">
        <is>
          <t>Bergvik skog väst AB</t>
        </is>
      </c>
      <c r="G17558" t="n">
        <v>8.800000000000001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54852-2024</t>
        </is>
      </c>
      <c r="B17559" s="1" t="n">
        <v>45618</v>
      </c>
      <c r="C17559" s="1" t="n">
        <v>45736</v>
      </c>
      <c r="D17559" t="inlineStr">
        <is>
          <t>VÄRMLANDS LÄN</t>
        </is>
      </c>
      <c r="E17559" t="inlineStr">
        <is>
          <t>ARVIKA</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54844-2024</t>
        </is>
      </c>
      <c r="B17560" s="1" t="n">
        <v>45618</v>
      </c>
      <c r="C17560" s="1" t="n">
        <v>45736</v>
      </c>
      <c r="D17560" t="inlineStr">
        <is>
          <t>VÄRMLANDS LÄN</t>
        </is>
      </c>
      <c r="E17560" t="inlineStr">
        <is>
          <t>HAGFORS</t>
        </is>
      </c>
      <c r="F17560" t="inlineStr">
        <is>
          <t>Bergvik skog väst AB</t>
        </is>
      </c>
      <c r="G17560" t="n">
        <v>12.8</v>
      </c>
      <c r="H17560" t="n">
        <v>0</v>
      </c>
      <c r="I17560" t="n">
        <v>0</v>
      </c>
      <c r="J17560" t="n">
        <v>0</v>
      </c>
      <c r="K17560" t="n">
        <v>0</v>
      </c>
      <c r="L17560" t="n">
        <v>0</v>
      </c>
      <c r="M17560" t="n">
        <v>0</v>
      </c>
      <c r="N17560" t="n">
        <v>0</v>
      </c>
      <c r="O17560" t="n">
        <v>0</v>
      </c>
      <c r="P17560" t="n">
        <v>0</v>
      </c>
      <c r="Q17560" t="n">
        <v>0</v>
      </c>
      <c r="R17560" s="2" t="inlineStr"/>
      <c r="U17560">
        <f>HYPERLINK("https://klasma.github.io/Logging_1783/knärot/A 54844-2024 karta knärot.png", "A 54844-2024")</f>
        <v/>
      </c>
      <c r="V17560">
        <f>HYPERLINK("https://klasma.github.io/Logging_1783/klagomål/A 54844-2024 FSC-klagomål.docx", "A 54844-2024")</f>
        <v/>
      </c>
      <c r="W17560">
        <f>HYPERLINK("https://klasma.github.io/Logging_1783/klagomålsmail/A 54844-2024 FSC-klagomål mail.docx", "A 54844-2024")</f>
        <v/>
      </c>
      <c r="X17560">
        <f>HYPERLINK("https://klasma.github.io/Logging_1783/tillsyn/A 54844-2024 tillsynsbegäran.docx", "A 54844-2024")</f>
        <v/>
      </c>
      <c r="Y17560">
        <f>HYPERLINK("https://klasma.github.io/Logging_1783/tillsynsmail/A 54844-2024 tillsynsbegäran mail.docx", "A 54844-2024")</f>
        <v/>
      </c>
    </row>
    <row r="17561" ht="15" customHeight="1">
      <c r="A17561" t="inlineStr">
        <is>
          <t>A 54796-2024</t>
        </is>
      </c>
      <c r="B17561" s="1" t="n">
        <v>45618</v>
      </c>
      <c r="C17561" s="1" t="n">
        <v>45736</v>
      </c>
      <c r="D17561" t="inlineStr">
        <is>
          <t>VÄRMLANDS LÄN</t>
        </is>
      </c>
      <c r="E17561" t="inlineStr">
        <is>
          <t>TORSBY</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54750-2024</t>
        </is>
      </c>
      <c r="B17562" s="1" t="n">
        <v>45618</v>
      </c>
      <c r="C17562" s="1" t="n">
        <v>45736</v>
      </c>
      <c r="D17562" t="inlineStr">
        <is>
          <t>VÄRMLANDS LÄN</t>
        </is>
      </c>
      <c r="E17562" t="inlineStr">
        <is>
          <t>SÄFFLE</t>
        </is>
      </c>
      <c r="G17562" t="n">
        <v>5.5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54746-2024</t>
        </is>
      </c>
      <c r="B17563" s="1" t="n">
        <v>45618</v>
      </c>
      <c r="C17563" s="1" t="n">
        <v>45736</v>
      </c>
      <c r="D17563" t="inlineStr">
        <is>
          <t>VÄRMLANDS LÄN</t>
        </is>
      </c>
      <c r="E17563" t="inlineStr">
        <is>
          <t>HAGFORS</t>
        </is>
      </c>
      <c r="F17563" t="inlineStr">
        <is>
          <t>Bergvik skog väst AB</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54813-2024</t>
        </is>
      </c>
      <c r="B17564" s="1" t="n">
        <v>45618</v>
      </c>
      <c r="C17564" s="1" t="n">
        <v>45736</v>
      </c>
      <c r="D17564" t="inlineStr">
        <is>
          <t>VÄRMLANDS LÄN</t>
        </is>
      </c>
      <c r="E17564" t="inlineStr">
        <is>
          <t>TORSBY</t>
        </is>
      </c>
      <c r="G17564" t="n">
        <v>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54797-2024</t>
        </is>
      </c>
      <c r="B17565" s="1" t="n">
        <v>45618</v>
      </c>
      <c r="C17565" s="1" t="n">
        <v>45736</v>
      </c>
      <c r="D17565" t="inlineStr">
        <is>
          <t>VÄRMLANDS LÄN</t>
        </is>
      </c>
      <c r="E17565" t="inlineStr">
        <is>
          <t>KARLSTAD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54735-2024</t>
        </is>
      </c>
      <c r="B17566" s="1" t="n">
        <v>45618</v>
      </c>
      <c r="C17566" s="1" t="n">
        <v>45736</v>
      </c>
      <c r="D17566" t="inlineStr">
        <is>
          <t>VÄRMLANDS LÄN</t>
        </is>
      </c>
      <c r="E17566" t="inlineStr">
        <is>
          <t>FILIPSTAD</t>
        </is>
      </c>
      <c r="F17566" t="inlineStr">
        <is>
          <t>Bergvik skog väst AB</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54886-2024</t>
        </is>
      </c>
      <c r="B17567" s="1" t="n">
        <v>45618</v>
      </c>
      <c r="C17567" s="1" t="n">
        <v>45736</v>
      </c>
      <c r="D17567" t="inlineStr">
        <is>
          <t>VÄRMLANDS LÄN</t>
        </is>
      </c>
      <c r="E17567" t="inlineStr">
        <is>
          <t>HAGFORS</t>
        </is>
      </c>
      <c r="F17567" t="inlineStr">
        <is>
          <t>Kyrkan</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54695-2024</t>
        </is>
      </c>
      <c r="B17568" s="1" t="n">
        <v>45618</v>
      </c>
      <c r="C17568" s="1" t="n">
        <v>45736</v>
      </c>
      <c r="D17568" t="inlineStr">
        <is>
          <t>VÄRMLANDS LÄN</t>
        </is>
      </c>
      <c r="E17568" t="inlineStr">
        <is>
          <t>ARVIKA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54850-2024</t>
        </is>
      </c>
      <c r="B17569" s="1" t="n">
        <v>45618</v>
      </c>
      <c r="C17569" s="1" t="n">
        <v>45736</v>
      </c>
      <c r="D17569" t="inlineStr">
        <is>
          <t>VÄRMLANDS LÄN</t>
        </is>
      </c>
      <c r="E17569" t="inlineStr">
        <is>
          <t>ARVIKA</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54830-2024</t>
        </is>
      </c>
      <c r="B17570" s="1" t="n">
        <v>45618</v>
      </c>
      <c r="C17570" s="1" t="n">
        <v>45736</v>
      </c>
      <c r="D17570" t="inlineStr">
        <is>
          <t>VÄRMLANDS LÄN</t>
        </is>
      </c>
      <c r="E17570" t="inlineStr">
        <is>
          <t>HAGFORS</t>
        </is>
      </c>
      <c r="F17570" t="inlineStr">
        <is>
          <t>Kyrkan</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54794-2024</t>
        </is>
      </c>
      <c r="B17571" s="1" t="n">
        <v>45618</v>
      </c>
      <c r="C17571" s="1" t="n">
        <v>45736</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54790-2024</t>
        </is>
      </c>
      <c r="B17572" s="1" t="n">
        <v>45618</v>
      </c>
      <c r="C17572" s="1" t="n">
        <v>45736</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54744-2024</t>
        </is>
      </c>
      <c r="B17573" s="1" t="n">
        <v>45618</v>
      </c>
      <c r="C17573" s="1" t="n">
        <v>45736</v>
      </c>
      <c r="D17573" t="inlineStr">
        <is>
          <t>VÄRMLANDS LÄN</t>
        </is>
      </c>
      <c r="E17573" t="inlineStr">
        <is>
          <t>HAGFORS</t>
        </is>
      </c>
      <c r="F17573" t="inlineStr">
        <is>
          <t>Kyrkan</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54692-2024</t>
        </is>
      </c>
      <c r="B17574" s="1" t="n">
        <v>45618</v>
      </c>
      <c r="C17574" s="1" t="n">
        <v>45736</v>
      </c>
      <c r="D17574" t="inlineStr">
        <is>
          <t>VÄRMLANDS LÄN</t>
        </is>
      </c>
      <c r="E17574" t="inlineStr">
        <is>
          <t>FORSHAGA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54668-2024</t>
        </is>
      </c>
      <c r="B17575" s="1" t="n">
        <v>45618</v>
      </c>
      <c r="C17575" s="1" t="n">
        <v>45736</v>
      </c>
      <c r="D17575" t="inlineStr">
        <is>
          <t>VÄRMLANDS LÄN</t>
        </is>
      </c>
      <c r="E17575" t="inlineStr">
        <is>
          <t>KARLSTAD</t>
        </is>
      </c>
      <c r="G17575" t="n">
        <v>10.8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54664-2024</t>
        </is>
      </c>
      <c r="B17576" s="1" t="n">
        <v>45618</v>
      </c>
      <c r="C17576" s="1" t="n">
        <v>45736</v>
      </c>
      <c r="D17576" t="inlineStr">
        <is>
          <t>VÄRMLANDS LÄN</t>
        </is>
      </c>
      <c r="E17576" t="inlineStr">
        <is>
          <t>TORSBY</t>
        </is>
      </c>
      <c r="F17576" t="inlineStr">
        <is>
          <t>Bergvik skog väst AB</t>
        </is>
      </c>
      <c r="G17576" t="n">
        <v>7.4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54652-2024</t>
        </is>
      </c>
      <c r="B17577" s="1" t="n">
        <v>45618</v>
      </c>
      <c r="C17577" s="1" t="n">
        <v>45736</v>
      </c>
      <c r="D17577" t="inlineStr">
        <is>
          <t>VÄRMLANDS LÄN</t>
        </is>
      </c>
      <c r="E17577" t="inlineStr">
        <is>
          <t>ARVIKA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54961-2024</t>
        </is>
      </c>
      <c r="B17578" s="1" t="n">
        <v>45620</v>
      </c>
      <c r="C17578" s="1" t="n">
        <v>45736</v>
      </c>
      <c r="D17578" t="inlineStr">
        <is>
          <t>VÄRMLANDS LÄN</t>
        </is>
      </c>
      <c r="E17578" t="inlineStr">
        <is>
          <t>ÅRJÄNG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54947-2024</t>
        </is>
      </c>
      <c r="B17579" s="1" t="n">
        <v>45619</v>
      </c>
      <c r="C17579" s="1" t="n">
        <v>45736</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54946-2024</t>
        </is>
      </c>
      <c r="B17580" s="1" t="n">
        <v>45619</v>
      </c>
      <c r="C17580" s="1" t="n">
        <v>45736</v>
      </c>
      <c r="D17580" t="inlineStr">
        <is>
          <t>VÄRMLANDS LÄN</t>
        </is>
      </c>
      <c r="E17580" t="inlineStr">
        <is>
          <t>ÅRJÄNG</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54962-2024</t>
        </is>
      </c>
      <c r="B17581" s="1" t="n">
        <v>45620</v>
      </c>
      <c r="C17581" s="1" t="n">
        <v>45736</v>
      </c>
      <c r="D17581" t="inlineStr">
        <is>
          <t>VÄRMLANDS LÄN</t>
        </is>
      </c>
      <c r="E17581" t="inlineStr">
        <is>
          <t>ÅRJÄNG</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54980-2024</t>
        </is>
      </c>
      <c r="B17582" s="1" t="n">
        <v>45620</v>
      </c>
      <c r="C17582" s="1" t="n">
        <v>45736</v>
      </c>
      <c r="D17582" t="inlineStr">
        <is>
          <t>VÄRMLANDS LÄN</t>
        </is>
      </c>
      <c r="E17582" t="inlineStr">
        <is>
          <t>HAGFORS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55153-2024</t>
        </is>
      </c>
      <c r="B17583" s="1" t="n">
        <v>45621</v>
      </c>
      <c r="C17583" s="1" t="n">
        <v>45736</v>
      </c>
      <c r="D17583" t="inlineStr">
        <is>
          <t>VÄRMLANDS LÄN</t>
        </is>
      </c>
      <c r="E17583" t="inlineStr">
        <is>
          <t>SUNNE</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55232-2024</t>
        </is>
      </c>
      <c r="B17584" s="1" t="n">
        <v>45621</v>
      </c>
      <c r="C17584" s="1" t="n">
        <v>45736</v>
      </c>
      <c r="D17584" t="inlineStr">
        <is>
          <t>VÄRMLANDS LÄN</t>
        </is>
      </c>
      <c r="E17584" t="inlineStr">
        <is>
          <t>ARVIKA</t>
        </is>
      </c>
      <c r="F17584" t="inlineStr">
        <is>
          <t>Bergvik skog väst AB</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55238-2024</t>
        </is>
      </c>
      <c r="B17585" s="1" t="n">
        <v>45621</v>
      </c>
      <c r="C17585" s="1" t="n">
        <v>45736</v>
      </c>
      <c r="D17585" t="inlineStr">
        <is>
          <t>VÄRMLANDS LÄN</t>
        </is>
      </c>
      <c r="E17585" t="inlineStr">
        <is>
          <t>SUNNE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55081-2024</t>
        </is>
      </c>
      <c r="B17586" s="1" t="n">
        <v>45621</v>
      </c>
      <c r="C17586" s="1" t="n">
        <v>45736</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55125-2024</t>
        </is>
      </c>
      <c r="B17587" s="1" t="n">
        <v>45621</v>
      </c>
      <c r="C17587" s="1" t="n">
        <v>45736</v>
      </c>
      <c r="D17587" t="inlineStr">
        <is>
          <t>VÄRMLANDS LÄN</t>
        </is>
      </c>
      <c r="E17587" t="inlineStr">
        <is>
          <t>GRUMS</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55163-2024</t>
        </is>
      </c>
      <c r="B17588" s="1" t="n">
        <v>45621</v>
      </c>
      <c r="C17588" s="1" t="n">
        <v>45736</v>
      </c>
      <c r="D17588" t="inlineStr">
        <is>
          <t>VÄRMLANDS LÄN</t>
        </is>
      </c>
      <c r="E17588" t="inlineStr">
        <is>
          <t>SUNNE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55167-2024</t>
        </is>
      </c>
      <c r="B17589" s="1" t="n">
        <v>45621</v>
      </c>
      <c r="C17589" s="1" t="n">
        <v>45736</v>
      </c>
      <c r="D17589" t="inlineStr">
        <is>
          <t>VÄRMLANDS LÄN</t>
        </is>
      </c>
      <c r="E17589" t="inlineStr">
        <is>
          <t>ÅRJÄNG</t>
        </is>
      </c>
      <c r="F17589" t="inlineStr">
        <is>
          <t>Bergvik skog väst AB</t>
        </is>
      </c>
      <c r="G17589" t="n">
        <v>7.9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55048-2024</t>
        </is>
      </c>
      <c r="B17590" s="1" t="n">
        <v>45621</v>
      </c>
      <c r="C17590" s="1" t="n">
        <v>45736</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55096-2024</t>
        </is>
      </c>
      <c r="B17591" s="1" t="n">
        <v>45621</v>
      </c>
      <c r="C17591" s="1" t="n">
        <v>45736</v>
      </c>
      <c r="D17591" t="inlineStr">
        <is>
          <t>VÄRMLANDS LÄN</t>
        </is>
      </c>
      <c r="E17591" t="inlineStr">
        <is>
          <t>EDA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55072-2024</t>
        </is>
      </c>
      <c r="B17592" s="1" t="n">
        <v>45621</v>
      </c>
      <c r="C17592" s="1" t="n">
        <v>45736</v>
      </c>
      <c r="D17592" t="inlineStr">
        <is>
          <t>VÄRMLANDS LÄN</t>
        </is>
      </c>
      <c r="E17592" t="inlineStr">
        <is>
          <t>TORSBY</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55051-2024</t>
        </is>
      </c>
      <c r="B17593" s="1" t="n">
        <v>45621</v>
      </c>
      <c r="C17593" s="1" t="n">
        <v>45736</v>
      </c>
      <c r="D17593" t="inlineStr">
        <is>
          <t>VÄRMLANDS LÄN</t>
        </is>
      </c>
      <c r="E17593" t="inlineStr">
        <is>
          <t>KRISTINEHAMN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55006-2024</t>
        </is>
      </c>
      <c r="B17594" s="1" t="n">
        <v>45621</v>
      </c>
      <c r="C17594" s="1" t="n">
        <v>45736</v>
      </c>
      <c r="D17594" t="inlineStr">
        <is>
          <t>VÄRMLANDS LÄN</t>
        </is>
      </c>
      <c r="E17594" t="inlineStr">
        <is>
          <t>ÅRJÄNG</t>
        </is>
      </c>
      <c r="G17594" t="n">
        <v>9.5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55244-2024</t>
        </is>
      </c>
      <c r="B17595" s="1" t="n">
        <v>45621</v>
      </c>
      <c r="C17595" s="1" t="n">
        <v>45736</v>
      </c>
      <c r="D17595" t="inlineStr">
        <is>
          <t>VÄRMLANDS LÄN</t>
        </is>
      </c>
      <c r="E17595" t="inlineStr">
        <is>
          <t>HAGFORS</t>
        </is>
      </c>
      <c r="F17595" t="inlineStr">
        <is>
          <t>Bergvik skog väst AB</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55262-2024</t>
        </is>
      </c>
      <c r="B17596" s="1" t="n">
        <v>45621</v>
      </c>
      <c r="C17596" s="1" t="n">
        <v>45736</v>
      </c>
      <c r="D17596" t="inlineStr">
        <is>
          <t>VÄRMLANDS LÄN</t>
        </is>
      </c>
      <c r="E17596" t="inlineStr">
        <is>
          <t>HAGFORS</t>
        </is>
      </c>
      <c r="F17596" t="inlineStr">
        <is>
          <t>Bergvik skog väst AB</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55306-2024</t>
        </is>
      </c>
      <c r="B17597" s="1" t="n">
        <v>45621</v>
      </c>
      <c r="C17597" s="1" t="n">
        <v>45736</v>
      </c>
      <c r="D17597" t="inlineStr">
        <is>
          <t>VÄRMLANDS LÄN</t>
        </is>
      </c>
      <c r="E17597" t="inlineStr">
        <is>
          <t>KIL</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55346-2024</t>
        </is>
      </c>
      <c r="B17598" s="1" t="n">
        <v>45621</v>
      </c>
      <c r="C17598" s="1" t="n">
        <v>45736</v>
      </c>
      <c r="D17598" t="inlineStr">
        <is>
          <t>VÄRMLANDS LÄN</t>
        </is>
      </c>
      <c r="E17598" t="inlineStr">
        <is>
          <t>HAGFORS</t>
        </is>
      </c>
      <c r="F17598" t="inlineStr">
        <is>
          <t>Bergvik skog väst AB</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55504-2024</t>
        </is>
      </c>
      <c r="B17599" s="1" t="n">
        <v>45621</v>
      </c>
      <c r="C17599" s="1" t="n">
        <v>45736</v>
      </c>
      <c r="D17599" t="inlineStr">
        <is>
          <t>VÄRMLANDS LÄN</t>
        </is>
      </c>
      <c r="E17599" t="inlineStr">
        <is>
          <t>SUNNE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55036-2024</t>
        </is>
      </c>
      <c r="B17600" s="1" t="n">
        <v>45621</v>
      </c>
      <c r="C17600" s="1" t="n">
        <v>45736</v>
      </c>
      <c r="D17600" t="inlineStr">
        <is>
          <t>VÄRMLANDS LÄN</t>
        </is>
      </c>
      <c r="E17600" t="inlineStr">
        <is>
          <t>TORSBY</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55049-2024</t>
        </is>
      </c>
      <c r="B17601" s="1" t="n">
        <v>45621</v>
      </c>
      <c r="C17601" s="1" t="n">
        <v>45736</v>
      </c>
      <c r="D17601" t="inlineStr">
        <is>
          <t>VÄRMLANDS LÄN</t>
        </is>
      </c>
      <c r="E17601" t="inlineStr">
        <is>
          <t>HAGFORS</t>
        </is>
      </c>
      <c r="F17601" t="inlineStr">
        <is>
          <t>Bergvik skog väst AB</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55137-2024</t>
        </is>
      </c>
      <c r="B17602" s="1" t="n">
        <v>45621</v>
      </c>
      <c r="C17602" s="1" t="n">
        <v>45736</v>
      </c>
      <c r="D17602" t="inlineStr">
        <is>
          <t>VÄRMLANDS LÄN</t>
        </is>
      </c>
      <c r="E17602" t="inlineStr">
        <is>
          <t>HAGFORS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55223-2024</t>
        </is>
      </c>
      <c r="B17603" s="1" t="n">
        <v>45621</v>
      </c>
      <c r="C17603" s="1" t="n">
        <v>45736</v>
      </c>
      <c r="D17603" t="inlineStr">
        <is>
          <t>VÄRMLANDS LÄN</t>
        </is>
      </c>
      <c r="E17603" t="inlineStr">
        <is>
          <t>HAGFORS</t>
        </is>
      </c>
      <c r="F17603" t="inlineStr">
        <is>
          <t>Bergvik skog väst AB</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55156-2024</t>
        </is>
      </c>
      <c r="B17604" s="1" t="n">
        <v>45621</v>
      </c>
      <c r="C17604" s="1" t="n">
        <v>45736</v>
      </c>
      <c r="D17604" t="inlineStr">
        <is>
          <t>VÄRMLANDS LÄN</t>
        </is>
      </c>
      <c r="E17604" t="inlineStr">
        <is>
          <t>KIL</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55121-2024</t>
        </is>
      </c>
      <c r="B17605" s="1" t="n">
        <v>45621</v>
      </c>
      <c r="C17605" s="1" t="n">
        <v>45736</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55095-2024</t>
        </is>
      </c>
      <c r="B17606" s="1" t="n">
        <v>45621</v>
      </c>
      <c r="C17606" s="1" t="n">
        <v>45736</v>
      </c>
      <c r="D17606" t="inlineStr">
        <is>
          <t>VÄRMLANDS LÄN</t>
        </is>
      </c>
      <c r="E17606" t="inlineStr">
        <is>
          <t>EDA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55071-2024</t>
        </is>
      </c>
      <c r="B17607" s="1" t="n">
        <v>45621</v>
      </c>
      <c r="C17607" s="1" t="n">
        <v>45736</v>
      </c>
      <c r="D17607" t="inlineStr">
        <is>
          <t>VÄRMLANDS LÄN</t>
        </is>
      </c>
      <c r="E17607" t="inlineStr">
        <is>
          <t>ÅRJÄNG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55054-2024</t>
        </is>
      </c>
      <c r="B17608" s="1" t="n">
        <v>45621</v>
      </c>
      <c r="C17608" s="1" t="n">
        <v>45736</v>
      </c>
      <c r="D17608" t="inlineStr">
        <is>
          <t>VÄRMLANDS LÄN</t>
        </is>
      </c>
      <c r="E17608" t="inlineStr">
        <is>
          <t>SÄFFLE</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55045-2024</t>
        </is>
      </c>
      <c r="B17609" s="1" t="n">
        <v>45621</v>
      </c>
      <c r="C17609" s="1" t="n">
        <v>45736</v>
      </c>
      <c r="D17609" t="inlineStr">
        <is>
          <t>VÄRMLANDS LÄN</t>
        </is>
      </c>
      <c r="E17609" t="inlineStr">
        <is>
          <t>SÄFFLE</t>
        </is>
      </c>
      <c r="G17609" t="n">
        <v>3.5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54996-2024</t>
        </is>
      </c>
      <c r="B17610" s="1" t="n">
        <v>45621</v>
      </c>
      <c r="C17610" s="1" t="n">
        <v>45736</v>
      </c>
      <c r="D17610" t="inlineStr">
        <is>
          <t>VÄRMLANDS LÄN</t>
        </is>
      </c>
      <c r="E17610" t="inlineStr">
        <is>
          <t>ARVIKA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55263-2024</t>
        </is>
      </c>
      <c r="B17611" s="1" t="n">
        <v>45621</v>
      </c>
      <c r="C17611" s="1" t="n">
        <v>45736</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55288-2024</t>
        </is>
      </c>
      <c r="B17612" s="1" t="n">
        <v>45621</v>
      </c>
      <c r="C17612" s="1" t="n">
        <v>45736</v>
      </c>
      <c r="D17612" t="inlineStr">
        <is>
          <t>VÄRMLANDS LÄN</t>
        </is>
      </c>
      <c r="E17612" t="inlineStr">
        <is>
          <t>EDA</t>
        </is>
      </c>
      <c r="F17612" t="inlineStr">
        <is>
          <t>Bergvik skog väst AB</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55377-2024</t>
        </is>
      </c>
      <c r="B17613" s="1" t="n">
        <v>45622</v>
      </c>
      <c r="C17613" s="1" t="n">
        <v>45736</v>
      </c>
      <c r="D17613" t="inlineStr">
        <is>
          <t>VÄRMLANDS LÄN</t>
        </is>
      </c>
      <c r="E17613" t="inlineStr">
        <is>
          <t>ÅRJÄNG</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55487-2024</t>
        </is>
      </c>
      <c r="B17614" s="1" t="n">
        <v>45622</v>
      </c>
      <c r="C17614" s="1" t="n">
        <v>45736</v>
      </c>
      <c r="D17614" t="inlineStr">
        <is>
          <t>VÄRMLANDS LÄN</t>
        </is>
      </c>
      <c r="E17614" t="inlineStr">
        <is>
          <t>SUNNE</t>
        </is>
      </c>
      <c r="G17614" t="n">
        <v>5.1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55495-2024</t>
        </is>
      </c>
      <c r="B17615" s="1" t="n">
        <v>45622</v>
      </c>
      <c r="C17615" s="1" t="n">
        <v>45736</v>
      </c>
      <c r="D17615" t="inlineStr">
        <is>
          <t>VÄRMLANDS LÄN</t>
        </is>
      </c>
      <c r="E17615" t="inlineStr">
        <is>
          <t>SUNNE</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55386-2024</t>
        </is>
      </c>
      <c r="B17616" s="1" t="n">
        <v>45622</v>
      </c>
      <c r="C17616" s="1" t="n">
        <v>45736</v>
      </c>
      <c r="D17616" t="inlineStr">
        <is>
          <t>VÄRMLANDS LÄN</t>
        </is>
      </c>
      <c r="E17616" t="inlineStr">
        <is>
          <t>TORSBY</t>
        </is>
      </c>
      <c r="F17616" t="inlineStr">
        <is>
          <t>Bergvik skog väst AB</t>
        </is>
      </c>
      <c r="G17616" t="n">
        <v>20.1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55390-2024</t>
        </is>
      </c>
      <c r="B17617" s="1" t="n">
        <v>45622</v>
      </c>
      <c r="C17617" s="1" t="n">
        <v>45736</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55493-2024</t>
        </is>
      </c>
      <c r="B17618" s="1" t="n">
        <v>45622</v>
      </c>
      <c r="C17618" s="1" t="n">
        <v>45736</v>
      </c>
      <c r="D17618" t="inlineStr">
        <is>
          <t>VÄRMLANDS LÄN</t>
        </is>
      </c>
      <c r="E17618" t="inlineStr">
        <is>
          <t>KRISTINEHAMN</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55501-2024</t>
        </is>
      </c>
      <c r="B17619" s="1" t="n">
        <v>45622</v>
      </c>
      <c r="C17619" s="1" t="n">
        <v>45736</v>
      </c>
      <c r="D17619" t="inlineStr">
        <is>
          <t>VÄRMLANDS LÄN</t>
        </is>
      </c>
      <c r="E17619" t="inlineStr">
        <is>
          <t>SUNNE</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55546-2024</t>
        </is>
      </c>
      <c r="B17620" s="1" t="n">
        <v>45622</v>
      </c>
      <c r="C17620" s="1" t="n">
        <v>45736</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55585-2024</t>
        </is>
      </c>
      <c r="B17621" s="1" t="n">
        <v>45622</v>
      </c>
      <c r="C17621" s="1" t="n">
        <v>45736</v>
      </c>
      <c r="D17621" t="inlineStr">
        <is>
          <t>VÄRMLANDS LÄN</t>
        </is>
      </c>
      <c r="E17621" t="inlineStr">
        <is>
          <t>SUNNE</t>
        </is>
      </c>
      <c r="F17621" t="inlineStr">
        <is>
          <t>Bergvik skog väst AB</t>
        </is>
      </c>
      <c r="G17621" t="n">
        <v>12.8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55598-2024</t>
        </is>
      </c>
      <c r="B17622" s="1" t="n">
        <v>45622</v>
      </c>
      <c r="C17622" s="1" t="n">
        <v>45736</v>
      </c>
      <c r="D17622" t="inlineStr">
        <is>
          <t>VÄRMLANDS LÄN</t>
        </is>
      </c>
      <c r="E17622" t="inlineStr">
        <is>
          <t>FILIPSTAD</t>
        </is>
      </c>
      <c r="F17622" t="inlineStr">
        <is>
          <t>Bergvik skog väst AB</t>
        </is>
      </c>
      <c r="G17622" t="n">
        <v>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55399-2024</t>
        </is>
      </c>
      <c r="B17623" s="1" t="n">
        <v>45622</v>
      </c>
      <c r="C17623" s="1" t="n">
        <v>45736</v>
      </c>
      <c r="D17623" t="inlineStr">
        <is>
          <t>VÄRMLANDS LÄN</t>
        </is>
      </c>
      <c r="E17623" t="inlineStr">
        <is>
          <t>SUNNE</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55403-2024</t>
        </is>
      </c>
      <c r="B17624" s="1" t="n">
        <v>45622</v>
      </c>
      <c r="C17624" s="1" t="n">
        <v>45736</v>
      </c>
      <c r="D17624" t="inlineStr">
        <is>
          <t>VÄRMLANDS LÄN</t>
        </is>
      </c>
      <c r="E17624" t="inlineStr">
        <is>
          <t>KARLSTAD</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55430-2024</t>
        </is>
      </c>
      <c r="B17625" s="1" t="n">
        <v>45622</v>
      </c>
      <c r="C17625" s="1" t="n">
        <v>45736</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55543-2024</t>
        </is>
      </c>
      <c r="B17626" s="1" t="n">
        <v>45622</v>
      </c>
      <c r="C17626" s="1" t="n">
        <v>45736</v>
      </c>
      <c r="D17626" t="inlineStr">
        <is>
          <t>VÄRMLANDS LÄN</t>
        </is>
      </c>
      <c r="E17626" t="inlineStr">
        <is>
          <t>TORSBY</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55401-2024</t>
        </is>
      </c>
      <c r="B17627" s="1" t="n">
        <v>45622</v>
      </c>
      <c r="C17627" s="1" t="n">
        <v>45736</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55666-2024</t>
        </is>
      </c>
      <c r="B17628" s="1" t="n">
        <v>45622</v>
      </c>
      <c r="C17628" s="1" t="n">
        <v>45736</v>
      </c>
      <c r="D17628" t="inlineStr">
        <is>
          <t>VÄRMLANDS LÄN</t>
        </is>
      </c>
      <c r="E17628" t="inlineStr">
        <is>
          <t>KARLSTAD</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55423-2024</t>
        </is>
      </c>
      <c r="B17629" s="1" t="n">
        <v>45622</v>
      </c>
      <c r="C17629" s="1" t="n">
        <v>45736</v>
      </c>
      <c r="D17629" t="inlineStr">
        <is>
          <t>VÄRMLANDS LÄN</t>
        </is>
      </c>
      <c r="E17629" t="inlineStr">
        <is>
          <t>ÅRJÄNG</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55432-2024</t>
        </is>
      </c>
      <c r="B17630" s="1" t="n">
        <v>45622</v>
      </c>
      <c r="C17630" s="1" t="n">
        <v>45736</v>
      </c>
      <c r="D17630" t="inlineStr">
        <is>
          <t>VÄRMLANDS LÄN</t>
        </is>
      </c>
      <c r="E17630" t="inlineStr">
        <is>
          <t>ÅRJÄNG</t>
        </is>
      </c>
      <c r="G17630" t="n">
        <v>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55628-2024</t>
        </is>
      </c>
      <c r="B17631" s="1" t="n">
        <v>45622</v>
      </c>
      <c r="C17631" s="1" t="n">
        <v>45736</v>
      </c>
      <c r="D17631" t="inlineStr">
        <is>
          <t>VÄRMLANDS LÄN</t>
        </is>
      </c>
      <c r="E17631" t="inlineStr">
        <is>
          <t>SUNNE</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55686-2024</t>
        </is>
      </c>
      <c r="B17632" s="1" t="n">
        <v>45622</v>
      </c>
      <c r="C17632" s="1" t="n">
        <v>45736</v>
      </c>
      <c r="D17632" t="inlineStr">
        <is>
          <t>VÄRMLANDS LÄN</t>
        </is>
      </c>
      <c r="E17632" t="inlineStr">
        <is>
          <t>ÅRJÄNG</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55728-2024</t>
        </is>
      </c>
      <c r="B17633" s="1" t="n">
        <v>45622</v>
      </c>
      <c r="C17633" s="1" t="n">
        <v>45736</v>
      </c>
      <c r="D17633" t="inlineStr">
        <is>
          <t>VÄRMLANDS LÄN</t>
        </is>
      </c>
      <c r="E17633" t="inlineStr">
        <is>
          <t>KARLSTAD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55732-2024</t>
        </is>
      </c>
      <c r="B17634" s="1" t="n">
        <v>45622</v>
      </c>
      <c r="C17634" s="1" t="n">
        <v>45736</v>
      </c>
      <c r="D17634" t="inlineStr">
        <is>
          <t>VÄRMLANDS LÄN</t>
        </is>
      </c>
      <c r="E17634" t="inlineStr">
        <is>
          <t>ARVIKA</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55869-2024</t>
        </is>
      </c>
      <c r="B17635" s="1" t="n">
        <v>45622</v>
      </c>
      <c r="C17635" s="1" t="n">
        <v>45736</v>
      </c>
      <c r="D17635" t="inlineStr">
        <is>
          <t>VÄRMLANDS LÄN</t>
        </is>
      </c>
      <c r="E17635" t="inlineStr">
        <is>
          <t>SÄFFLE</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55891-2024</t>
        </is>
      </c>
      <c r="B17636" s="1" t="n">
        <v>45622</v>
      </c>
      <c r="C17636" s="1" t="n">
        <v>45736</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55730-2024</t>
        </is>
      </c>
      <c r="B17637" s="1" t="n">
        <v>45622</v>
      </c>
      <c r="C17637" s="1" t="n">
        <v>45736</v>
      </c>
      <c r="D17637" t="inlineStr">
        <is>
          <t>VÄRMLANDS LÄN</t>
        </is>
      </c>
      <c r="E17637" t="inlineStr">
        <is>
          <t>ARVIKA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55734-2024</t>
        </is>
      </c>
      <c r="B17638" s="1" t="n">
        <v>45622</v>
      </c>
      <c r="C17638" s="1" t="n">
        <v>45736</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55828-2024</t>
        </is>
      </c>
      <c r="B17639" s="1" t="n">
        <v>45622</v>
      </c>
      <c r="C17639" s="1" t="n">
        <v>45736</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55719-2024</t>
        </is>
      </c>
      <c r="B17640" s="1" t="n">
        <v>45622</v>
      </c>
      <c r="C17640" s="1" t="n">
        <v>45736</v>
      </c>
      <c r="D17640" t="inlineStr">
        <is>
          <t>VÄRMLANDS LÄN</t>
        </is>
      </c>
      <c r="E17640" t="inlineStr">
        <is>
          <t>KRISTINEHAMN</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55735-2024</t>
        </is>
      </c>
      <c r="B17641" s="1" t="n">
        <v>45622</v>
      </c>
      <c r="C17641" s="1" t="n">
        <v>45736</v>
      </c>
      <c r="D17641" t="inlineStr">
        <is>
          <t>VÄRMLANDS LÄN</t>
        </is>
      </c>
      <c r="E17641" t="inlineStr">
        <is>
          <t>EDA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55888-2024</t>
        </is>
      </c>
      <c r="B17642" s="1" t="n">
        <v>45622</v>
      </c>
      <c r="C17642" s="1" t="n">
        <v>45736</v>
      </c>
      <c r="D17642" t="inlineStr">
        <is>
          <t>VÄRMLANDS LÄN</t>
        </is>
      </c>
      <c r="E17642" t="inlineStr">
        <is>
          <t>SÄFFLE</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55610-2024</t>
        </is>
      </c>
      <c r="B17643" s="1" t="n">
        <v>45622</v>
      </c>
      <c r="C17643" s="1" t="n">
        <v>45736</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55631-2024</t>
        </is>
      </c>
      <c r="B17644" s="1" t="n">
        <v>45622</v>
      </c>
      <c r="C17644" s="1" t="n">
        <v>45736</v>
      </c>
      <c r="D17644" t="inlineStr">
        <is>
          <t>VÄRMLANDS LÄN</t>
        </is>
      </c>
      <c r="E17644" t="inlineStr">
        <is>
          <t>SUNNE</t>
        </is>
      </c>
      <c r="F17644" t="inlineStr">
        <is>
          <t>Bergvik skog väst AB</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55646-2024</t>
        </is>
      </c>
      <c r="B17645" s="1" t="n">
        <v>45622</v>
      </c>
      <c r="C17645" s="1" t="n">
        <v>45736</v>
      </c>
      <c r="D17645" t="inlineStr">
        <is>
          <t>VÄRMLANDS LÄN</t>
        </is>
      </c>
      <c r="E17645" t="inlineStr">
        <is>
          <t>KARLSTAD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55660-2024</t>
        </is>
      </c>
      <c r="B17646" s="1" t="n">
        <v>45622</v>
      </c>
      <c r="C17646" s="1" t="n">
        <v>45736</v>
      </c>
      <c r="D17646" t="inlineStr">
        <is>
          <t>VÄRMLANDS LÄN</t>
        </is>
      </c>
      <c r="E17646" t="inlineStr">
        <is>
          <t>FILIPSTAD</t>
        </is>
      </c>
      <c r="F17646" t="inlineStr">
        <is>
          <t>Bergvik skog väst AB</t>
        </is>
      </c>
      <c r="G17646" t="n">
        <v>10.6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55685-2024</t>
        </is>
      </c>
      <c r="B17647" s="1" t="n">
        <v>45622</v>
      </c>
      <c r="C17647" s="1" t="n">
        <v>45736</v>
      </c>
      <c r="D17647" t="inlineStr">
        <is>
          <t>VÄRMLANDS LÄN</t>
        </is>
      </c>
      <c r="E17647" t="inlineStr">
        <is>
          <t>HAGFORS</t>
        </is>
      </c>
      <c r="F17647" t="inlineStr">
        <is>
          <t>Kyrkan</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55733-2024</t>
        </is>
      </c>
      <c r="B17648" s="1" t="n">
        <v>45622</v>
      </c>
      <c r="C17648" s="1" t="n">
        <v>45736</v>
      </c>
      <c r="D17648" t="inlineStr">
        <is>
          <t>VÄRMLANDS LÄN</t>
        </is>
      </c>
      <c r="E17648" t="inlineStr">
        <is>
          <t>ARVIKA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55808-2024</t>
        </is>
      </c>
      <c r="B17649" s="1" t="n">
        <v>45622</v>
      </c>
      <c r="C17649" s="1" t="n">
        <v>45736</v>
      </c>
      <c r="D17649" t="inlineStr">
        <is>
          <t>VÄRMLANDS LÄN</t>
        </is>
      </c>
      <c r="E17649" t="inlineStr">
        <is>
          <t>TORSBY</t>
        </is>
      </c>
      <c r="G17649" t="n">
        <v>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55765-2024</t>
        </is>
      </c>
      <c r="B17650" s="1" t="n">
        <v>45623</v>
      </c>
      <c r="C17650" s="1" t="n">
        <v>45736</v>
      </c>
      <c r="D17650" t="inlineStr">
        <is>
          <t>VÄRMLANDS LÄN</t>
        </is>
      </c>
      <c r="E17650" t="inlineStr">
        <is>
          <t>KARLSTAD</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55795-2024</t>
        </is>
      </c>
      <c r="B17651" s="1" t="n">
        <v>45623</v>
      </c>
      <c r="C17651" s="1" t="n">
        <v>45736</v>
      </c>
      <c r="D17651" t="inlineStr">
        <is>
          <t>VÄRMLANDS LÄN</t>
        </is>
      </c>
      <c r="E17651" t="inlineStr">
        <is>
          <t>SÄFFLE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55746-2024</t>
        </is>
      </c>
      <c r="B17652" s="1" t="n">
        <v>45623</v>
      </c>
      <c r="C17652" s="1" t="n">
        <v>45736</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55750-2024</t>
        </is>
      </c>
      <c r="B17653" s="1" t="n">
        <v>45623</v>
      </c>
      <c r="C17653" s="1" t="n">
        <v>45736</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55758-2024</t>
        </is>
      </c>
      <c r="B17654" s="1" t="n">
        <v>45623</v>
      </c>
      <c r="C17654" s="1" t="n">
        <v>45736</v>
      </c>
      <c r="D17654" t="inlineStr">
        <is>
          <t>VÄRMLANDS LÄN</t>
        </is>
      </c>
      <c r="E17654" t="inlineStr">
        <is>
          <t>HAGFORS</t>
        </is>
      </c>
      <c r="G17654" t="n">
        <v>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55763-2024</t>
        </is>
      </c>
      <c r="B17655" s="1" t="n">
        <v>45623</v>
      </c>
      <c r="C17655" s="1" t="n">
        <v>45736</v>
      </c>
      <c r="D17655" t="inlineStr">
        <is>
          <t>VÄRMLANDS LÄN</t>
        </is>
      </c>
      <c r="E17655" t="inlineStr">
        <is>
          <t>KARLSTAD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55810-2024</t>
        </is>
      </c>
      <c r="B17656" s="1" t="n">
        <v>45623</v>
      </c>
      <c r="C17656" s="1" t="n">
        <v>45736</v>
      </c>
      <c r="D17656" t="inlineStr">
        <is>
          <t>VÄRMLANDS LÄN</t>
        </is>
      </c>
      <c r="E17656" t="inlineStr">
        <is>
          <t>EDA</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55814-2024</t>
        </is>
      </c>
      <c r="B17657" s="1" t="n">
        <v>45623</v>
      </c>
      <c r="C17657" s="1" t="n">
        <v>45736</v>
      </c>
      <c r="D17657" t="inlineStr">
        <is>
          <t>VÄRMLANDS LÄN</t>
        </is>
      </c>
      <c r="E17657" t="inlineStr">
        <is>
          <t>TORSBY</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55835-2024</t>
        </is>
      </c>
      <c r="B17658" s="1" t="n">
        <v>45623</v>
      </c>
      <c r="C17658" s="1" t="n">
        <v>45736</v>
      </c>
      <c r="D17658" t="inlineStr">
        <is>
          <t>VÄRMLANDS LÄN</t>
        </is>
      </c>
      <c r="E17658" t="inlineStr">
        <is>
          <t>FORSHAGA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55811-2024</t>
        </is>
      </c>
      <c r="B17659" s="1" t="n">
        <v>45623</v>
      </c>
      <c r="C17659" s="1" t="n">
        <v>45736</v>
      </c>
      <c r="D17659" t="inlineStr">
        <is>
          <t>VÄRMLANDS LÄN</t>
        </is>
      </c>
      <c r="E17659" t="inlineStr">
        <is>
          <t>STORFORS</t>
        </is>
      </c>
      <c r="F17659" t="inlineStr">
        <is>
          <t>Bergvik skog väst AB</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55836-2024</t>
        </is>
      </c>
      <c r="B17660" s="1" t="n">
        <v>45623</v>
      </c>
      <c r="C17660" s="1" t="n">
        <v>45736</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55845-2024</t>
        </is>
      </c>
      <c r="B17661" s="1" t="n">
        <v>45623</v>
      </c>
      <c r="C17661" s="1" t="n">
        <v>45736</v>
      </c>
      <c r="D17661" t="inlineStr">
        <is>
          <t>VÄRMLANDS LÄN</t>
        </is>
      </c>
      <c r="E17661" t="inlineStr">
        <is>
          <t>TORSBY</t>
        </is>
      </c>
      <c r="F17661" t="inlineStr">
        <is>
          <t>Kommuner</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55837-2024</t>
        </is>
      </c>
      <c r="B17662" s="1" t="n">
        <v>45623</v>
      </c>
      <c r="C17662" s="1" t="n">
        <v>45736</v>
      </c>
      <c r="D17662" t="inlineStr">
        <is>
          <t>VÄRMLANDS LÄN</t>
        </is>
      </c>
      <c r="E17662" t="inlineStr">
        <is>
          <t>TORSBY</t>
        </is>
      </c>
      <c r="F17662" t="inlineStr">
        <is>
          <t>Kommuner</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55842-2024</t>
        </is>
      </c>
      <c r="B17663" s="1" t="n">
        <v>45623</v>
      </c>
      <c r="C17663" s="1" t="n">
        <v>45736</v>
      </c>
      <c r="D17663" t="inlineStr">
        <is>
          <t>VÄRMLANDS LÄN</t>
        </is>
      </c>
      <c r="E17663" t="inlineStr">
        <is>
          <t>TORSBY</t>
        </is>
      </c>
      <c r="F17663" t="inlineStr">
        <is>
          <t>Kommuner</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55834-2024</t>
        </is>
      </c>
      <c r="B17664" s="1" t="n">
        <v>45623</v>
      </c>
      <c r="C17664" s="1" t="n">
        <v>45736</v>
      </c>
      <c r="D17664" t="inlineStr">
        <is>
          <t>VÄRMLANDS LÄN</t>
        </is>
      </c>
      <c r="E17664" t="inlineStr">
        <is>
          <t>TORSBY</t>
        </is>
      </c>
      <c r="F17664" t="inlineStr">
        <is>
          <t>Kommuner</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55839-2024</t>
        </is>
      </c>
      <c r="B17665" s="1" t="n">
        <v>45623</v>
      </c>
      <c r="C17665" s="1" t="n">
        <v>45736</v>
      </c>
      <c r="D17665" t="inlineStr">
        <is>
          <t>VÄRMLANDS LÄN</t>
        </is>
      </c>
      <c r="E17665" t="inlineStr">
        <is>
          <t>TORSBY</t>
        </is>
      </c>
      <c r="F17665" t="inlineStr">
        <is>
          <t>Kommuner</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55899-2024</t>
        </is>
      </c>
      <c r="B17666" s="1" t="n">
        <v>45623</v>
      </c>
      <c r="C17666" s="1" t="n">
        <v>45736</v>
      </c>
      <c r="D17666" t="inlineStr">
        <is>
          <t>VÄRMLANDS LÄN</t>
        </is>
      </c>
      <c r="E17666" t="inlineStr">
        <is>
          <t>EDA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55885-2024</t>
        </is>
      </c>
      <c r="B17667" s="1" t="n">
        <v>45623</v>
      </c>
      <c r="C17667" s="1" t="n">
        <v>45736</v>
      </c>
      <c r="D17667" t="inlineStr">
        <is>
          <t>VÄRMLANDS LÄN</t>
        </is>
      </c>
      <c r="E17667" t="inlineStr">
        <is>
          <t>KARLSTAD</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55913-2024</t>
        </is>
      </c>
      <c r="B17668" s="1" t="n">
        <v>45623</v>
      </c>
      <c r="C17668" s="1" t="n">
        <v>45736</v>
      </c>
      <c r="D17668" t="inlineStr">
        <is>
          <t>VÄRMLANDS LÄN</t>
        </is>
      </c>
      <c r="E17668" t="inlineStr">
        <is>
          <t>EDA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55900-2024</t>
        </is>
      </c>
      <c r="B17669" s="1" t="n">
        <v>45623</v>
      </c>
      <c r="C17669" s="1" t="n">
        <v>45736</v>
      </c>
      <c r="D17669" t="inlineStr">
        <is>
          <t>VÄRMLANDS LÄN</t>
        </is>
      </c>
      <c r="E17669" t="inlineStr">
        <is>
          <t>SUNNE</t>
        </is>
      </c>
      <c r="F17669" t="inlineStr">
        <is>
          <t>Övriga Aktiebolag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55953-2024</t>
        </is>
      </c>
      <c r="B17670" s="1" t="n">
        <v>45623</v>
      </c>
      <c r="C17670" s="1" t="n">
        <v>45736</v>
      </c>
      <c r="D17670" t="inlineStr">
        <is>
          <t>VÄRMLANDS LÄN</t>
        </is>
      </c>
      <c r="E17670" t="inlineStr">
        <is>
          <t>KARLSTAD</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55894-2024</t>
        </is>
      </c>
      <c r="B17671" s="1" t="n">
        <v>45623</v>
      </c>
      <c r="C17671" s="1" t="n">
        <v>45736</v>
      </c>
      <c r="D17671" t="inlineStr">
        <is>
          <t>VÄRMLANDS LÄN</t>
        </is>
      </c>
      <c r="E17671" t="inlineStr">
        <is>
          <t>SUNNE</t>
        </is>
      </c>
      <c r="F17671" t="inlineStr">
        <is>
          <t>Övriga Aktiebolag</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55903-2024</t>
        </is>
      </c>
      <c r="B17672" s="1" t="n">
        <v>45623</v>
      </c>
      <c r="C17672" s="1" t="n">
        <v>45736</v>
      </c>
      <c r="D17672" t="inlineStr">
        <is>
          <t>VÄRMLANDS LÄN</t>
        </is>
      </c>
      <c r="E17672" t="inlineStr">
        <is>
          <t>EDA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55921-2024</t>
        </is>
      </c>
      <c r="B17673" s="1" t="n">
        <v>45623</v>
      </c>
      <c r="C17673" s="1" t="n">
        <v>45736</v>
      </c>
      <c r="D17673" t="inlineStr">
        <is>
          <t>VÄRMLANDS LÄN</t>
        </is>
      </c>
      <c r="E17673" t="inlineStr">
        <is>
          <t>EDA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55950-2024</t>
        </is>
      </c>
      <c r="B17674" s="1" t="n">
        <v>45623</v>
      </c>
      <c r="C17674" s="1" t="n">
        <v>45736</v>
      </c>
      <c r="D17674" t="inlineStr">
        <is>
          <t>VÄRMLANDS LÄN</t>
        </is>
      </c>
      <c r="E17674" t="inlineStr">
        <is>
          <t>HAGFORS</t>
        </is>
      </c>
      <c r="F17674" t="inlineStr">
        <is>
          <t>Bergvik skog väst AB</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56010-2024</t>
        </is>
      </c>
      <c r="B17675" s="1" t="n">
        <v>45623</v>
      </c>
      <c r="C17675" s="1" t="n">
        <v>45736</v>
      </c>
      <c r="D17675" t="inlineStr">
        <is>
          <t>VÄRMLANDS LÄN</t>
        </is>
      </c>
      <c r="E17675" t="inlineStr">
        <is>
          <t>SUNNE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55987-2024</t>
        </is>
      </c>
      <c r="B17676" s="1" t="n">
        <v>45623</v>
      </c>
      <c r="C17676" s="1" t="n">
        <v>45736</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56005-2024</t>
        </is>
      </c>
      <c r="B17677" s="1" t="n">
        <v>45623</v>
      </c>
      <c r="C17677" s="1" t="n">
        <v>45736</v>
      </c>
      <c r="D17677" t="inlineStr">
        <is>
          <t>VÄRMLANDS LÄN</t>
        </is>
      </c>
      <c r="E17677" t="inlineStr">
        <is>
          <t>FORSHAGA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56187-2024</t>
        </is>
      </c>
      <c r="B17678" s="1" t="n">
        <v>45623</v>
      </c>
      <c r="C17678" s="1" t="n">
        <v>45736</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56030-2024</t>
        </is>
      </c>
      <c r="B17679" s="1" t="n">
        <v>45624</v>
      </c>
      <c r="C17679" s="1" t="n">
        <v>45736</v>
      </c>
      <c r="D17679" t="inlineStr">
        <is>
          <t>VÄRMLANDS LÄN</t>
        </is>
      </c>
      <c r="E17679" t="inlineStr">
        <is>
          <t>ÅRJÄNG</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56071-2024</t>
        </is>
      </c>
      <c r="B17680" s="1" t="n">
        <v>45624</v>
      </c>
      <c r="C17680" s="1" t="n">
        <v>45736</v>
      </c>
      <c r="D17680" t="inlineStr">
        <is>
          <t>VÄRMLANDS LÄN</t>
        </is>
      </c>
      <c r="E17680" t="inlineStr">
        <is>
          <t>GRUMS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56096-2024</t>
        </is>
      </c>
      <c r="B17681" s="1" t="n">
        <v>45624</v>
      </c>
      <c r="C17681" s="1" t="n">
        <v>45736</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56079-2024</t>
        </is>
      </c>
      <c r="B17682" s="1" t="n">
        <v>45624</v>
      </c>
      <c r="C17682" s="1" t="n">
        <v>45736</v>
      </c>
      <c r="D17682" t="inlineStr">
        <is>
          <t>VÄRMLANDS LÄN</t>
        </is>
      </c>
      <c r="E17682" t="inlineStr">
        <is>
          <t>GRUMS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56093-2024</t>
        </is>
      </c>
      <c r="B17683" s="1" t="n">
        <v>45624</v>
      </c>
      <c r="C17683" s="1" t="n">
        <v>45736</v>
      </c>
      <c r="D17683" t="inlineStr">
        <is>
          <t>VÄRMLANDS LÄN</t>
        </is>
      </c>
      <c r="E17683" t="inlineStr">
        <is>
          <t>GRUMS</t>
        </is>
      </c>
      <c r="G17683" t="n">
        <v>8.9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56101-2024</t>
        </is>
      </c>
      <c r="B17684" s="1" t="n">
        <v>45624</v>
      </c>
      <c r="C17684" s="1" t="n">
        <v>45736</v>
      </c>
      <c r="D17684" t="inlineStr">
        <is>
          <t>VÄRMLANDS LÄN</t>
        </is>
      </c>
      <c r="E17684" t="inlineStr">
        <is>
          <t>TORSBY</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56118-2024</t>
        </is>
      </c>
      <c r="B17685" s="1" t="n">
        <v>45624</v>
      </c>
      <c r="C17685" s="1" t="n">
        <v>45736</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56137-2024</t>
        </is>
      </c>
      <c r="B17686" s="1" t="n">
        <v>45624</v>
      </c>
      <c r="C17686" s="1" t="n">
        <v>45736</v>
      </c>
      <c r="D17686" t="inlineStr">
        <is>
          <t>VÄRMLANDS LÄN</t>
        </is>
      </c>
      <c r="E17686" t="inlineStr">
        <is>
          <t>ARVIKA</t>
        </is>
      </c>
      <c r="F17686" t="inlineStr">
        <is>
          <t>Bergvik skog väst AB</t>
        </is>
      </c>
      <c r="G17686" t="n">
        <v>9.6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56146-2024</t>
        </is>
      </c>
      <c r="B17687" s="1" t="n">
        <v>45624</v>
      </c>
      <c r="C17687" s="1" t="n">
        <v>45736</v>
      </c>
      <c r="D17687" t="inlineStr">
        <is>
          <t>VÄRMLANDS LÄN</t>
        </is>
      </c>
      <c r="E17687" t="inlineStr">
        <is>
          <t>EDA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56240-2024</t>
        </is>
      </c>
      <c r="B17688" s="1" t="n">
        <v>45624</v>
      </c>
      <c r="C17688" s="1" t="n">
        <v>45736</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56309-2024</t>
        </is>
      </c>
      <c r="B17689" s="1" t="n">
        <v>45624</v>
      </c>
      <c r="C17689" s="1" t="n">
        <v>45736</v>
      </c>
      <c r="D17689" t="inlineStr">
        <is>
          <t>VÄRMLANDS LÄN</t>
        </is>
      </c>
      <c r="E17689" t="inlineStr">
        <is>
          <t>ARVIKA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56329-2024</t>
        </is>
      </c>
      <c r="B17690" s="1" t="n">
        <v>45624</v>
      </c>
      <c r="C17690" s="1" t="n">
        <v>45736</v>
      </c>
      <c r="D17690" t="inlineStr">
        <is>
          <t>VÄRMLANDS LÄN</t>
        </is>
      </c>
      <c r="E17690" t="inlineStr">
        <is>
          <t>ÅRJÄNG</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56333-2024</t>
        </is>
      </c>
      <c r="B17691" s="1" t="n">
        <v>45624</v>
      </c>
      <c r="C17691" s="1" t="n">
        <v>45736</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56057-2024</t>
        </is>
      </c>
      <c r="B17692" s="1" t="n">
        <v>45624</v>
      </c>
      <c r="C17692" s="1" t="n">
        <v>45736</v>
      </c>
      <c r="D17692" t="inlineStr">
        <is>
          <t>VÄRMLANDS LÄN</t>
        </is>
      </c>
      <c r="E17692" t="inlineStr">
        <is>
          <t>ÅRJÄNG</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56107-2024</t>
        </is>
      </c>
      <c r="B17693" s="1" t="n">
        <v>45624</v>
      </c>
      <c r="C17693" s="1" t="n">
        <v>45736</v>
      </c>
      <c r="D17693" t="inlineStr">
        <is>
          <t>VÄRMLANDS LÄN</t>
        </is>
      </c>
      <c r="E17693" t="inlineStr">
        <is>
          <t>TORSBY</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56116-2024</t>
        </is>
      </c>
      <c r="B17694" s="1" t="n">
        <v>45624</v>
      </c>
      <c r="C17694" s="1" t="n">
        <v>45736</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56056-2024</t>
        </is>
      </c>
      <c r="B17695" s="1" t="n">
        <v>45624</v>
      </c>
      <c r="C17695" s="1" t="n">
        <v>45736</v>
      </c>
      <c r="D17695" t="inlineStr">
        <is>
          <t>VÄRMLANDS LÄN</t>
        </is>
      </c>
      <c r="E17695" t="inlineStr">
        <is>
          <t>TORSBY</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56098-2024</t>
        </is>
      </c>
      <c r="B17696" s="1" t="n">
        <v>45624</v>
      </c>
      <c r="C17696" s="1" t="n">
        <v>45736</v>
      </c>
      <c r="D17696" t="inlineStr">
        <is>
          <t>VÄRMLANDS LÄN</t>
        </is>
      </c>
      <c r="E17696" t="inlineStr">
        <is>
          <t>TORSBY</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56115-2024</t>
        </is>
      </c>
      <c r="B17697" s="1" t="n">
        <v>45624</v>
      </c>
      <c r="C17697" s="1" t="n">
        <v>45736</v>
      </c>
      <c r="D17697" t="inlineStr">
        <is>
          <t>VÄRMLANDS LÄN</t>
        </is>
      </c>
      <c r="E17697" t="inlineStr">
        <is>
          <t>ÅRJÄNG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56165-2024</t>
        </is>
      </c>
      <c r="B17698" s="1" t="n">
        <v>45624</v>
      </c>
      <c r="C17698" s="1" t="n">
        <v>45736</v>
      </c>
      <c r="D17698" t="inlineStr">
        <is>
          <t>VÄRMLANDS LÄN</t>
        </is>
      </c>
      <c r="E17698" t="inlineStr">
        <is>
          <t>HAGFORS</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56174-2024</t>
        </is>
      </c>
      <c r="B17699" s="1" t="n">
        <v>45624</v>
      </c>
      <c r="C17699" s="1" t="n">
        <v>45736</v>
      </c>
      <c r="D17699" t="inlineStr">
        <is>
          <t>VÄRMLANDS LÄN</t>
        </is>
      </c>
      <c r="E17699" t="inlineStr">
        <is>
          <t>FILIPSTAD</t>
        </is>
      </c>
      <c r="F17699" t="inlineStr">
        <is>
          <t>Bergvik skog väst AB</t>
        </is>
      </c>
      <c r="G17699" t="n">
        <v>7.6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56314-2024</t>
        </is>
      </c>
      <c r="B17700" s="1" t="n">
        <v>45624</v>
      </c>
      <c r="C17700" s="1" t="n">
        <v>45736</v>
      </c>
      <c r="D17700" t="inlineStr">
        <is>
          <t>VÄRMLANDS LÄN</t>
        </is>
      </c>
      <c r="E17700" t="inlineStr">
        <is>
          <t>ÅRJÄNG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56348-2024</t>
        </is>
      </c>
      <c r="B17701" s="1" t="n">
        <v>45624</v>
      </c>
      <c r="C17701" s="1" t="n">
        <v>45736</v>
      </c>
      <c r="D17701" t="inlineStr">
        <is>
          <t>VÄRMLANDS LÄN</t>
        </is>
      </c>
      <c r="E17701" t="inlineStr">
        <is>
          <t>ÅRJÄNG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56345-2024</t>
        </is>
      </c>
      <c r="B17702" s="1" t="n">
        <v>45624</v>
      </c>
      <c r="C17702" s="1" t="n">
        <v>45736</v>
      </c>
      <c r="D17702" t="inlineStr">
        <is>
          <t>VÄRMLANDS LÄN</t>
        </is>
      </c>
      <c r="E17702" t="inlineStr">
        <is>
          <t>ÅRJÄNG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56353-2024</t>
        </is>
      </c>
      <c r="B17703" s="1" t="n">
        <v>45624</v>
      </c>
      <c r="C17703" s="1" t="n">
        <v>45736</v>
      </c>
      <c r="D17703" t="inlineStr">
        <is>
          <t>VÄRMLANDS LÄN</t>
        </is>
      </c>
      <c r="E17703" t="inlineStr">
        <is>
          <t>ARVIKA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56343-2024</t>
        </is>
      </c>
      <c r="B17704" s="1" t="n">
        <v>45624</v>
      </c>
      <c r="C17704" s="1" t="n">
        <v>45736</v>
      </c>
      <c r="D17704" t="inlineStr">
        <is>
          <t>VÄRMLANDS LÄN</t>
        </is>
      </c>
      <c r="E17704" t="inlineStr">
        <is>
          <t>ÅRJÄNG</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56347-2024</t>
        </is>
      </c>
      <c r="B17705" s="1" t="n">
        <v>45624</v>
      </c>
      <c r="C17705" s="1" t="n">
        <v>45736</v>
      </c>
      <c r="D17705" t="inlineStr">
        <is>
          <t>VÄRMLANDS LÄN</t>
        </is>
      </c>
      <c r="E17705" t="inlineStr">
        <is>
          <t>ÅRJÄNG</t>
        </is>
      </c>
      <c r="G17705" t="n">
        <v>4.7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56342-2024</t>
        </is>
      </c>
      <c r="B17706" s="1" t="n">
        <v>45624</v>
      </c>
      <c r="C17706" s="1" t="n">
        <v>45736</v>
      </c>
      <c r="D17706" t="inlineStr">
        <is>
          <t>VÄRMLANDS LÄN</t>
        </is>
      </c>
      <c r="E17706" t="inlineStr">
        <is>
          <t>ÅRJÄNG</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56346-2024</t>
        </is>
      </c>
      <c r="B17707" s="1" t="n">
        <v>45624</v>
      </c>
      <c r="C17707" s="1" t="n">
        <v>45736</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56430-2024</t>
        </is>
      </c>
      <c r="B17708" s="1" t="n">
        <v>45625</v>
      </c>
      <c r="C17708" s="1" t="n">
        <v>45736</v>
      </c>
      <c r="D17708" t="inlineStr">
        <is>
          <t>VÄRMLANDS LÄN</t>
        </is>
      </c>
      <c r="E17708" t="inlineStr">
        <is>
          <t>TORSBY</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56489-2024</t>
        </is>
      </c>
      <c r="B17709" s="1" t="n">
        <v>45625</v>
      </c>
      <c r="C17709" s="1" t="n">
        <v>45736</v>
      </c>
      <c r="D17709" t="inlineStr">
        <is>
          <t>VÄRMLANDS LÄN</t>
        </is>
      </c>
      <c r="E17709" t="inlineStr">
        <is>
          <t>KARLSTAD</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56509-2024</t>
        </is>
      </c>
      <c r="B17710" s="1" t="n">
        <v>45625</v>
      </c>
      <c r="C17710" s="1" t="n">
        <v>45736</v>
      </c>
      <c r="D17710" t="inlineStr">
        <is>
          <t>VÄRMLANDS LÄN</t>
        </is>
      </c>
      <c r="E17710" t="inlineStr">
        <is>
          <t>TORSBY</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56534-2024</t>
        </is>
      </c>
      <c r="B17711" s="1" t="n">
        <v>45625</v>
      </c>
      <c r="C17711" s="1" t="n">
        <v>45736</v>
      </c>
      <c r="D17711" t="inlineStr">
        <is>
          <t>VÄRMLANDS LÄN</t>
        </is>
      </c>
      <c r="E17711" t="inlineStr">
        <is>
          <t>TORSBY</t>
        </is>
      </c>
      <c r="G17711" t="n">
        <v>3.5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56546-2024</t>
        </is>
      </c>
      <c r="B17712" s="1" t="n">
        <v>45625</v>
      </c>
      <c r="C17712" s="1" t="n">
        <v>45736</v>
      </c>
      <c r="D17712" t="inlineStr">
        <is>
          <t>VÄRMLANDS LÄN</t>
        </is>
      </c>
      <c r="E17712" t="inlineStr">
        <is>
          <t>KARLSTAD</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56578-2024</t>
        </is>
      </c>
      <c r="B17713" s="1" t="n">
        <v>45625</v>
      </c>
      <c r="C17713" s="1" t="n">
        <v>45736</v>
      </c>
      <c r="D17713" t="inlineStr">
        <is>
          <t>VÄRMLANDS LÄN</t>
        </is>
      </c>
      <c r="E17713" t="inlineStr">
        <is>
          <t>SUNNE</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56644-2024</t>
        </is>
      </c>
      <c r="B17714" s="1" t="n">
        <v>45625</v>
      </c>
      <c r="C17714" s="1" t="n">
        <v>45736</v>
      </c>
      <c r="D17714" t="inlineStr">
        <is>
          <t>VÄRMLANDS LÄN</t>
        </is>
      </c>
      <c r="E17714" t="inlineStr">
        <is>
          <t>ÅRJÄNG</t>
        </is>
      </c>
      <c r="G17714" t="n">
        <v>12.6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56410-2024</t>
        </is>
      </c>
      <c r="B17715" s="1" t="n">
        <v>45625</v>
      </c>
      <c r="C17715" s="1" t="n">
        <v>45736</v>
      </c>
      <c r="D17715" t="inlineStr">
        <is>
          <t>VÄRMLANDS LÄN</t>
        </is>
      </c>
      <c r="E17715" t="inlineStr">
        <is>
          <t>HAGFORS</t>
        </is>
      </c>
      <c r="F17715" t="inlineStr">
        <is>
          <t>Bergvik skog väst AB</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56451-2024</t>
        </is>
      </c>
      <c r="B17716" s="1" t="n">
        <v>45625</v>
      </c>
      <c r="C17716" s="1" t="n">
        <v>45736</v>
      </c>
      <c r="D17716" t="inlineStr">
        <is>
          <t>VÄRMLANDS LÄN</t>
        </is>
      </c>
      <c r="E17716" t="inlineStr">
        <is>
          <t>FILIPSTAD</t>
        </is>
      </c>
      <c r="F17716" t="inlineStr">
        <is>
          <t>Bergvik skog väst AB</t>
        </is>
      </c>
      <c r="G17716" t="n">
        <v>6.3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56461-2024</t>
        </is>
      </c>
      <c r="B17717" s="1" t="n">
        <v>45625</v>
      </c>
      <c r="C17717" s="1" t="n">
        <v>45736</v>
      </c>
      <c r="D17717" t="inlineStr">
        <is>
          <t>VÄRMLANDS LÄN</t>
        </is>
      </c>
      <c r="E17717" t="inlineStr">
        <is>
          <t>HAGFORS</t>
        </is>
      </c>
      <c r="F17717" t="inlineStr">
        <is>
          <t>Bergvik skog väst AB</t>
        </is>
      </c>
      <c r="G17717" t="n">
        <v>11.8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56466-2024</t>
        </is>
      </c>
      <c r="B17718" s="1" t="n">
        <v>45625</v>
      </c>
      <c r="C17718" s="1" t="n">
        <v>45736</v>
      </c>
      <c r="D17718" t="inlineStr">
        <is>
          <t>VÄRMLANDS LÄN</t>
        </is>
      </c>
      <c r="E17718" t="inlineStr">
        <is>
          <t>HAGFORS</t>
        </is>
      </c>
      <c r="F17718" t="inlineStr">
        <is>
          <t>Bergvik skog väst AB</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56541-2024</t>
        </is>
      </c>
      <c r="B17719" s="1" t="n">
        <v>45625</v>
      </c>
      <c r="C17719" s="1" t="n">
        <v>45736</v>
      </c>
      <c r="D17719" t="inlineStr">
        <is>
          <t>VÄRMLANDS LÄN</t>
        </is>
      </c>
      <c r="E17719" t="inlineStr">
        <is>
          <t>KARLSTAD</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56549-2024</t>
        </is>
      </c>
      <c r="B17720" s="1" t="n">
        <v>45625</v>
      </c>
      <c r="C17720" s="1" t="n">
        <v>45736</v>
      </c>
      <c r="D17720" t="inlineStr">
        <is>
          <t>VÄRMLANDS LÄN</t>
        </is>
      </c>
      <c r="E17720" t="inlineStr">
        <is>
          <t>SUNNE</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56565-2024</t>
        </is>
      </c>
      <c r="B17721" s="1" t="n">
        <v>45625</v>
      </c>
      <c r="C17721" s="1" t="n">
        <v>45736</v>
      </c>
      <c r="D17721" t="inlineStr">
        <is>
          <t>VÄRMLANDS LÄN</t>
        </is>
      </c>
      <c r="E17721" t="inlineStr">
        <is>
          <t>ARVIKA</t>
        </is>
      </c>
      <c r="G17721" t="n">
        <v>10</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56635-2024</t>
        </is>
      </c>
      <c r="B17722" s="1" t="n">
        <v>45625</v>
      </c>
      <c r="C17722" s="1" t="n">
        <v>45736</v>
      </c>
      <c r="D17722" t="inlineStr">
        <is>
          <t>VÄRMLANDS LÄN</t>
        </is>
      </c>
      <c r="E17722" t="inlineStr">
        <is>
          <t>TORSBY</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56651-2024</t>
        </is>
      </c>
      <c r="B17723" s="1" t="n">
        <v>45625</v>
      </c>
      <c r="C17723" s="1" t="n">
        <v>45736</v>
      </c>
      <c r="D17723" t="inlineStr">
        <is>
          <t>VÄRMLANDS LÄN</t>
        </is>
      </c>
      <c r="E17723" t="inlineStr">
        <is>
          <t>FILIPSTAD</t>
        </is>
      </c>
      <c r="F17723" t="inlineStr">
        <is>
          <t>Bergvik skog väst AB</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56655-2024</t>
        </is>
      </c>
      <c r="B17724" s="1" t="n">
        <v>45625</v>
      </c>
      <c r="C17724" s="1" t="n">
        <v>45736</v>
      </c>
      <c r="D17724" t="inlineStr">
        <is>
          <t>VÄRMLANDS LÄN</t>
        </is>
      </c>
      <c r="E17724" t="inlineStr">
        <is>
          <t>ÅRJÄNG</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56652-2024</t>
        </is>
      </c>
      <c r="B17725" s="1" t="n">
        <v>45625</v>
      </c>
      <c r="C17725" s="1" t="n">
        <v>45736</v>
      </c>
      <c r="D17725" t="inlineStr">
        <is>
          <t>VÄRMLANDS LÄN</t>
        </is>
      </c>
      <c r="E17725" t="inlineStr">
        <is>
          <t>FILIPSTAD</t>
        </is>
      </c>
      <c r="F17725" t="inlineStr">
        <is>
          <t>Bergvik skog väst AB</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56656-2024</t>
        </is>
      </c>
      <c r="B17726" s="1" t="n">
        <v>45625</v>
      </c>
      <c r="C17726" s="1" t="n">
        <v>45736</v>
      </c>
      <c r="D17726" t="inlineStr">
        <is>
          <t>VÄRMLANDS LÄN</t>
        </is>
      </c>
      <c r="E17726" t="inlineStr">
        <is>
          <t>KRISTINEHAMN</t>
        </is>
      </c>
      <c r="G17726" t="n">
        <v>8.800000000000001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56469-2024</t>
        </is>
      </c>
      <c r="B17727" s="1" t="n">
        <v>45625</v>
      </c>
      <c r="C17727" s="1" t="n">
        <v>45736</v>
      </c>
      <c r="D17727" t="inlineStr">
        <is>
          <t>VÄRMLANDS LÄN</t>
        </is>
      </c>
      <c r="E17727" t="inlineStr">
        <is>
          <t>EDA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56552-2024</t>
        </is>
      </c>
      <c r="B17728" s="1" t="n">
        <v>45625</v>
      </c>
      <c r="C17728" s="1" t="n">
        <v>45736</v>
      </c>
      <c r="D17728" t="inlineStr">
        <is>
          <t>VÄRMLANDS LÄN</t>
        </is>
      </c>
      <c r="E17728" t="inlineStr">
        <is>
          <t>SÄFFLE</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56572-2024</t>
        </is>
      </c>
      <c r="B17729" s="1" t="n">
        <v>45625</v>
      </c>
      <c r="C17729" s="1" t="n">
        <v>45736</v>
      </c>
      <c r="D17729" t="inlineStr">
        <is>
          <t>VÄRMLANDS LÄN</t>
        </is>
      </c>
      <c r="E17729" t="inlineStr">
        <is>
          <t>KRISTINEHAMN</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56567-2024</t>
        </is>
      </c>
      <c r="B17730" s="1" t="n">
        <v>45625</v>
      </c>
      <c r="C17730" s="1" t="n">
        <v>45736</v>
      </c>
      <c r="D17730" t="inlineStr">
        <is>
          <t>VÄRMLANDS LÄN</t>
        </is>
      </c>
      <c r="E17730" t="inlineStr">
        <is>
          <t>HAGFORS</t>
        </is>
      </c>
      <c r="F17730" t="inlineStr">
        <is>
          <t>Bergvik skog väst AB</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56571-2024</t>
        </is>
      </c>
      <c r="B17731" s="1" t="n">
        <v>45625</v>
      </c>
      <c r="C17731" s="1" t="n">
        <v>45736</v>
      </c>
      <c r="D17731" t="inlineStr">
        <is>
          <t>VÄRMLANDS LÄN</t>
        </is>
      </c>
      <c r="E17731" t="inlineStr">
        <is>
          <t>TORSBY</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56611-2024</t>
        </is>
      </c>
      <c r="B17732" s="1" t="n">
        <v>45625</v>
      </c>
      <c r="C17732" s="1" t="n">
        <v>45736</v>
      </c>
      <c r="D17732" t="inlineStr">
        <is>
          <t>VÄRMLANDS LÄN</t>
        </is>
      </c>
      <c r="E17732" t="inlineStr">
        <is>
          <t>TORSBY</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56653-2024</t>
        </is>
      </c>
      <c r="B17733" s="1" t="n">
        <v>45625</v>
      </c>
      <c r="C17733" s="1" t="n">
        <v>45736</v>
      </c>
      <c r="D17733" t="inlineStr">
        <is>
          <t>VÄRMLANDS LÄN</t>
        </is>
      </c>
      <c r="E17733" t="inlineStr">
        <is>
          <t>FILIPSTAD</t>
        </is>
      </c>
      <c r="F17733" t="inlineStr">
        <is>
          <t>Bergvik skog väst AB</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56630-2024</t>
        </is>
      </c>
      <c r="B17734" s="1" t="n">
        <v>45625</v>
      </c>
      <c r="C17734" s="1" t="n">
        <v>45736</v>
      </c>
      <c r="D17734" t="inlineStr">
        <is>
          <t>VÄRMLANDS LÄN</t>
        </is>
      </c>
      <c r="E17734" t="inlineStr">
        <is>
          <t>TORSBY</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56634-2024</t>
        </is>
      </c>
      <c r="B17735" s="1" t="n">
        <v>45625</v>
      </c>
      <c r="C17735" s="1" t="n">
        <v>45736</v>
      </c>
      <c r="D17735" t="inlineStr">
        <is>
          <t>VÄRMLANDS LÄN</t>
        </is>
      </c>
      <c r="E17735" t="inlineStr">
        <is>
          <t>TORSBY</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56650-2024</t>
        </is>
      </c>
      <c r="B17736" s="1" t="n">
        <v>45625</v>
      </c>
      <c r="C17736" s="1" t="n">
        <v>45736</v>
      </c>
      <c r="D17736" t="inlineStr">
        <is>
          <t>VÄRMLANDS LÄN</t>
        </is>
      </c>
      <c r="E17736" t="inlineStr">
        <is>
          <t>FILIPSTAD</t>
        </is>
      </c>
      <c r="F17736" t="inlineStr">
        <is>
          <t>Bergvik skog väst AB</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56654-2024</t>
        </is>
      </c>
      <c r="B17737" s="1" t="n">
        <v>45625</v>
      </c>
      <c r="C17737" s="1" t="n">
        <v>45736</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56715-2024</t>
        </is>
      </c>
      <c r="B17738" s="1" t="n">
        <v>45628</v>
      </c>
      <c r="C17738" s="1" t="n">
        <v>45736</v>
      </c>
      <c r="D17738" t="inlineStr">
        <is>
          <t>VÄRMLANDS LÄN</t>
        </is>
      </c>
      <c r="E17738" t="inlineStr">
        <is>
          <t>EDA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56719-2024</t>
        </is>
      </c>
      <c r="B17739" s="1" t="n">
        <v>45628</v>
      </c>
      <c r="C17739" s="1" t="n">
        <v>45736</v>
      </c>
      <c r="D17739" t="inlineStr">
        <is>
          <t>VÄRMLANDS LÄN</t>
        </is>
      </c>
      <c r="E17739" t="inlineStr">
        <is>
          <t>EDA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56727-2024</t>
        </is>
      </c>
      <c r="B17740" s="1" t="n">
        <v>45628</v>
      </c>
      <c r="C17740" s="1" t="n">
        <v>45736</v>
      </c>
      <c r="D17740" t="inlineStr">
        <is>
          <t>VÄRMLANDS LÄN</t>
        </is>
      </c>
      <c r="E17740" t="inlineStr">
        <is>
          <t>SUNNE</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56731-2024</t>
        </is>
      </c>
      <c r="B17741" s="1" t="n">
        <v>45628</v>
      </c>
      <c r="C17741" s="1" t="n">
        <v>45736</v>
      </c>
      <c r="D17741" t="inlineStr">
        <is>
          <t>VÄRMLANDS LÄN</t>
        </is>
      </c>
      <c r="E17741" t="inlineStr">
        <is>
          <t>SUNNE</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56747-2024</t>
        </is>
      </c>
      <c r="B17742" s="1" t="n">
        <v>45628</v>
      </c>
      <c r="C17742" s="1" t="n">
        <v>45736</v>
      </c>
      <c r="D17742" t="inlineStr">
        <is>
          <t>VÄRMLANDS LÄN</t>
        </is>
      </c>
      <c r="E17742" t="inlineStr">
        <is>
          <t>HAGFORS</t>
        </is>
      </c>
      <c r="F17742" t="inlineStr">
        <is>
          <t>Bergvik skog väst AB</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56773-2024</t>
        </is>
      </c>
      <c r="B17743" s="1" t="n">
        <v>45628</v>
      </c>
      <c r="C17743" s="1" t="n">
        <v>45736</v>
      </c>
      <c r="D17743" t="inlineStr">
        <is>
          <t>VÄRMLANDS LÄN</t>
        </is>
      </c>
      <c r="E17743" t="inlineStr">
        <is>
          <t>SUNNE</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56736-2024</t>
        </is>
      </c>
      <c r="B17744" s="1" t="n">
        <v>45628</v>
      </c>
      <c r="C17744" s="1" t="n">
        <v>45736</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56740-2024</t>
        </is>
      </c>
      <c r="B17745" s="1" t="n">
        <v>45628</v>
      </c>
      <c r="C17745" s="1" t="n">
        <v>45736</v>
      </c>
      <c r="D17745" t="inlineStr">
        <is>
          <t>VÄRMLANDS LÄN</t>
        </is>
      </c>
      <c r="E17745" t="inlineStr">
        <is>
          <t>SUNNE</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56718-2024</t>
        </is>
      </c>
      <c r="B17746" s="1" t="n">
        <v>45628</v>
      </c>
      <c r="C17746" s="1" t="n">
        <v>45736</v>
      </c>
      <c r="D17746" t="inlineStr">
        <is>
          <t>VÄRMLANDS LÄN</t>
        </is>
      </c>
      <c r="E17746" t="inlineStr">
        <is>
          <t>KARLSTAD</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56738-2024</t>
        </is>
      </c>
      <c r="B17747" s="1" t="n">
        <v>45628</v>
      </c>
      <c r="C17747" s="1" t="n">
        <v>45736</v>
      </c>
      <c r="D17747" t="inlineStr">
        <is>
          <t>VÄRMLANDS LÄN</t>
        </is>
      </c>
      <c r="E17747" t="inlineStr">
        <is>
          <t>SUNNE</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56776-2024</t>
        </is>
      </c>
      <c r="B17748" s="1" t="n">
        <v>45628</v>
      </c>
      <c r="C17748" s="1" t="n">
        <v>45736</v>
      </c>
      <c r="D17748" t="inlineStr">
        <is>
          <t>VÄRMLANDS LÄN</t>
        </is>
      </c>
      <c r="E17748" t="inlineStr">
        <is>
          <t>MUNKFORS</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56808-2024</t>
        </is>
      </c>
      <c r="B17749" s="1" t="n">
        <v>45628</v>
      </c>
      <c r="C17749" s="1" t="n">
        <v>45736</v>
      </c>
      <c r="D17749" t="inlineStr">
        <is>
          <t>VÄRMLANDS LÄN</t>
        </is>
      </c>
      <c r="E17749" t="inlineStr">
        <is>
          <t>TORSBY</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56817-2024</t>
        </is>
      </c>
      <c r="B17750" s="1" t="n">
        <v>45628</v>
      </c>
      <c r="C17750" s="1" t="n">
        <v>45736</v>
      </c>
      <c r="D17750" t="inlineStr">
        <is>
          <t>VÄRMLANDS LÄN</t>
        </is>
      </c>
      <c r="E17750" t="inlineStr">
        <is>
          <t>FILIPSTAD</t>
        </is>
      </c>
      <c r="F17750" t="inlineStr">
        <is>
          <t>Bergvik skog väst AB</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56891-2024</t>
        </is>
      </c>
      <c r="B17751" s="1" t="n">
        <v>45628</v>
      </c>
      <c r="C17751" s="1" t="n">
        <v>45736</v>
      </c>
      <c r="D17751" t="inlineStr">
        <is>
          <t>VÄRMLANDS LÄN</t>
        </is>
      </c>
      <c r="E17751" t="inlineStr">
        <is>
          <t>FILIPSTAD</t>
        </is>
      </c>
      <c r="F17751" t="inlineStr">
        <is>
          <t>Bergvik skog väst AB</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56920-2024</t>
        </is>
      </c>
      <c r="B17752" s="1" t="n">
        <v>45628</v>
      </c>
      <c r="C17752" s="1" t="n">
        <v>45736</v>
      </c>
      <c r="D17752" t="inlineStr">
        <is>
          <t>VÄRMLANDS LÄN</t>
        </is>
      </c>
      <c r="E17752" t="inlineStr">
        <is>
          <t>STORFORS</t>
        </is>
      </c>
      <c r="F17752" t="inlineStr">
        <is>
          <t>Bergvik skog väst AB</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57002-2024</t>
        </is>
      </c>
      <c r="B17753" s="1" t="n">
        <v>45628</v>
      </c>
      <c r="C17753" s="1" t="n">
        <v>45736</v>
      </c>
      <c r="D17753" t="inlineStr">
        <is>
          <t>VÄRMLANDS LÄN</t>
        </is>
      </c>
      <c r="E17753" t="inlineStr">
        <is>
          <t>KRISTINEHAMN</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57007-2024</t>
        </is>
      </c>
      <c r="B17754" s="1" t="n">
        <v>45628</v>
      </c>
      <c r="C17754" s="1" t="n">
        <v>45736</v>
      </c>
      <c r="D17754" t="inlineStr">
        <is>
          <t>VÄRMLANDS LÄN</t>
        </is>
      </c>
      <c r="E17754" t="inlineStr">
        <is>
          <t>SÄFFLE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57147-2024</t>
        </is>
      </c>
      <c r="B17755" s="1" t="n">
        <v>45628</v>
      </c>
      <c r="C17755" s="1" t="n">
        <v>45736</v>
      </c>
      <c r="D17755" t="inlineStr">
        <is>
          <t>VÄRMLANDS LÄN</t>
        </is>
      </c>
      <c r="E17755" t="inlineStr">
        <is>
          <t>ÅRJÄNG</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56725-2024</t>
        </is>
      </c>
      <c r="B17756" s="1" t="n">
        <v>45628</v>
      </c>
      <c r="C17756" s="1" t="n">
        <v>45736</v>
      </c>
      <c r="D17756" t="inlineStr">
        <is>
          <t>VÄRMLANDS LÄN</t>
        </is>
      </c>
      <c r="E17756" t="inlineStr">
        <is>
          <t>HAGFORS</t>
        </is>
      </c>
      <c r="F17756" t="inlineStr">
        <is>
          <t>Bergvik skog väst AB</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56729-2024</t>
        </is>
      </c>
      <c r="B17757" s="1" t="n">
        <v>45628</v>
      </c>
      <c r="C17757" s="1" t="n">
        <v>45736</v>
      </c>
      <c r="D17757" t="inlineStr">
        <is>
          <t>VÄRMLANDS LÄN</t>
        </is>
      </c>
      <c r="E17757" t="inlineStr">
        <is>
          <t>HAGFORS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56758-2024</t>
        </is>
      </c>
      <c r="B17758" s="1" t="n">
        <v>45628</v>
      </c>
      <c r="C17758" s="1" t="n">
        <v>45736</v>
      </c>
      <c r="D17758" t="inlineStr">
        <is>
          <t>VÄRMLANDS LÄN</t>
        </is>
      </c>
      <c r="E17758" t="inlineStr">
        <is>
          <t>HAGFORS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56840-2024</t>
        </is>
      </c>
      <c r="B17759" s="1" t="n">
        <v>45628</v>
      </c>
      <c r="C17759" s="1" t="n">
        <v>45736</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56852-2024</t>
        </is>
      </c>
      <c r="B17760" s="1" t="n">
        <v>45628</v>
      </c>
      <c r="C17760" s="1" t="n">
        <v>45736</v>
      </c>
      <c r="D17760" t="inlineStr">
        <is>
          <t>VÄRMLANDS LÄN</t>
        </is>
      </c>
      <c r="E17760" t="inlineStr">
        <is>
          <t>FILIPSTAD</t>
        </is>
      </c>
      <c r="F17760" t="inlineStr">
        <is>
          <t>Bergvik skog väst AB</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56744-2024</t>
        </is>
      </c>
      <c r="B17761" s="1" t="n">
        <v>45628</v>
      </c>
      <c r="C17761" s="1" t="n">
        <v>45736</v>
      </c>
      <c r="D17761" t="inlineStr">
        <is>
          <t>VÄRMLANDS LÄN</t>
        </is>
      </c>
      <c r="E17761" t="inlineStr">
        <is>
          <t>SUNNE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56748-2024</t>
        </is>
      </c>
      <c r="B17762" s="1" t="n">
        <v>45628</v>
      </c>
      <c r="C17762" s="1" t="n">
        <v>45736</v>
      </c>
      <c r="D17762" t="inlineStr">
        <is>
          <t>VÄRMLANDS LÄN</t>
        </is>
      </c>
      <c r="E17762" t="inlineStr">
        <is>
          <t>SUNNE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56752-2024</t>
        </is>
      </c>
      <c r="B17763" s="1" t="n">
        <v>45628</v>
      </c>
      <c r="C17763" s="1" t="n">
        <v>45736</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56757-2024</t>
        </is>
      </c>
      <c r="B17764" s="1" t="n">
        <v>45628</v>
      </c>
      <c r="C17764" s="1" t="n">
        <v>45736</v>
      </c>
      <c r="D17764" t="inlineStr">
        <is>
          <t>VÄRMLANDS LÄN</t>
        </is>
      </c>
      <c r="E17764" t="inlineStr">
        <is>
          <t>HAGFORS</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56769-2024</t>
        </is>
      </c>
      <c r="B17765" s="1" t="n">
        <v>45628</v>
      </c>
      <c r="C17765" s="1" t="n">
        <v>45736</v>
      </c>
      <c r="D17765" t="inlineStr">
        <is>
          <t>VÄRMLANDS LÄN</t>
        </is>
      </c>
      <c r="E17765" t="inlineStr">
        <is>
          <t>ÅRJÄNG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56778-2024</t>
        </is>
      </c>
      <c r="B17766" s="1" t="n">
        <v>45628</v>
      </c>
      <c r="C17766" s="1" t="n">
        <v>45736</v>
      </c>
      <c r="D17766" t="inlineStr">
        <is>
          <t>VÄRMLANDS LÄN</t>
        </is>
      </c>
      <c r="E17766" t="inlineStr">
        <is>
          <t>ÅRJÄNG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56802-2024</t>
        </is>
      </c>
      <c r="B17767" s="1" t="n">
        <v>45628</v>
      </c>
      <c r="C17767" s="1" t="n">
        <v>45736</v>
      </c>
      <c r="D17767" t="inlineStr">
        <is>
          <t>VÄRMLANDS LÄN</t>
        </is>
      </c>
      <c r="E17767" t="inlineStr">
        <is>
          <t>KRISTINEHAMN</t>
        </is>
      </c>
      <c r="F17767" t="inlineStr">
        <is>
          <t>Kommuner</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56885-2024</t>
        </is>
      </c>
      <c r="B17768" s="1" t="n">
        <v>45628</v>
      </c>
      <c r="C17768" s="1" t="n">
        <v>45736</v>
      </c>
      <c r="D17768" t="inlineStr">
        <is>
          <t>VÄRMLANDS LÄN</t>
        </is>
      </c>
      <c r="E17768" t="inlineStr">
        <is>
          <t>ÅRJÄNG</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56897-2024</t>
        </is>
      </c>
      <c r="B17769" s="1" t="n">
        <v>45628</v>
      </c>
      <c r="C17769" s="1" t="n">
        <v>45736</v>
      </c>
      <c r="D17769" t="inlineStr">
        <is>
          <t>VÄRMLANDS LÄN</t>
        </is>
      </c>
      <c r="E17769" t="inlineStr">
        <is>
          <t>ÅRJÄNG</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56918-2024</t>
        </is>
      </c>
      <c r="B17770" s="1" t="n">
        <v>45628</v>
      </c>
      <c r="C17770" s="1" t="n">
        <v>45736</v>
      </c>
      <c r="D17770" t="inlineStr">
        <is>
          <t>VÄRMLANDS LÄN</t>
        </is>
      </c>
      <c r="E17770" t="inlineStr">
        <is>
          <t>FILIPSTAD</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56971-2024</t>
        </is>
      </c>
      <c r="B17771" s="1" t="n">
        <v>45628</v>
      </c>
      <c r="C17771" s="1" t="n">
        <v>45736</v>
      </c>
      <c r="D17771" t="inlineStr">
        <is>
          <t>VÄRMLANDS LÄN</t>
        </is>
      </c>
      <c r="E17771" t="inlineStr">
        <is>
          <t>EDA</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56976-2024</t>
        </is>
      </c>
      <c r="B17772" s="1" t="n">
        <v>45628</v>
      </c>
      <c r="C17772" s="1" t="n">
        <v>45736</v>
      </c>
      <c r="D17772" t="inlineStr">
        <is>
          <t>VÄRMLANDS LÄN</t>
        </is>
      </c>
      <c r="E17772" t="inlineStr">
        <is>
          <t>ARVIKA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56999-2024</t>
        </is>
      </c>
      <c r="B17773" s="1" t="n">
        <v>45628</v>
      </c>
      <c r="C17773" s="1" t="n">
        <v>45736</v>
      </c>
      <c r="D17773" t="inlineStr">
        <is>
          <t>VÄRMLANDS LÄN</t>
        </is>
      </c>
      <c r="E17773" t="inlineStr">
        <is>
          <t>SÄFFLE</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57161-2024</t>
        </is>
      </c>
      <c r="B17774" s="1" t="n">
        <v>45628</v>
      </c>
      <c r="C17774" s="1" t="n">
        <v>45736</v>
      </c>
      <c r="D17774" t="inlineStr">
        <is>
          <t>VÄRMLANDS LÄN</t>
        </is>
      </c>
      <c r="E17774" t="inlineStr">
        <is>
          <t>ÅRJÄNG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56917-2024</t>
        </is>
      </c>
      <c r="B17775" s="1" t="n">
        <v>45628</v>
      </c>
      <c r="C17775" s="1" t="n">
        <v>45736</v>
      </c>
      <c r="D17775" t="inlineStr">
        <is>
          <t>VÄRMLANDS LÄN</t>
        </is>
      </c>
      <c r="E17775" t="inlineStr">
        <is>
          <t>ÅRJÄNG</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56940-2024</t>
        </is>
      </c>
      <c r="B17776" s="1" t="n">
        <v>45628</v>
      </c>
      <c r="C17776" s="1" t="n">
        <v>45736</v>
      </c>
      <c r="D17776" t="inlineStr">
        <is>
          <t>VÄRMLANDS LÄN</t>
        </is>
      </c>
      <c r="E17776" t="inlineStr">
        <is>
          <t>ÅRJÄNG</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56946-2024</t>
        </is>
      </c>
      <c r="B17777" s="1" t="n">
        <v>45628</v>
      </c>
      <c r="C17777" s="1" t="n">
        <v>45736</v>
      </c>
      <c r="D17777" t="inlineStr">
        <is>
          <t>VÄRMLANDS LÄN</t>
        </is>
      </c>
      <c r="E17777" t="inlineStr">
        <is>
          <t>HAGFORS</t>
        </is>
      </c>
      <c r="F17777" t="inlineStr">
        <is>
          <t>Bergvik skog väst AB</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57152-2024</t>
        </is>
      </c>
      <c r="B17778" s="1" t="n">
        <v>45628</v>
      </c>
      <c r="C17778" s="1" t="n">
        <v>45736</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57142-2024</t>
        </is>
      </c>
      <c r="B17779" s="1" t="n">
        <v>45628</v>
      </c>
      <c r="C17779" s="1" t="n">
        <v>45736</v>
      </c>
      <c r="D17779" t="inlineStr">
        <is>
          <t>VÄRMLANDS LÄN</t>
        </is>
      </c>
      <c r="E17779" t="inlineStr">
        <is>
          <t>ÅRJÄNG</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57145-2024</t>
        </is>
      </c>
      <c r="B17780" s="1" t="n">
        <v>45629</v>
      </c>
      <c r="C17780" s="1" t="n">
        <v>45736</v>
      </c>
      <c r="D17780" t="inlineStr">
        <is>
          <t>VÄRMLANDS LÄN</t>
        </is>
      </c>
      <c r="E17780" t="inlineStr">
        <is>
          <t>KARLSTAD</t>
        </is>
      </c>
      <c r="G17780" t="n">
        <v>16.5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57040-2024</t>
        </is>
      </c>
      <c r="B17781" s="1" t="n">
        <v>45629</v>
      </c>
      <c r="C17781" s="1" t="n">
        <v>45736</v>
      </c>
      <c r="D17781" t="inlineStr">
        <is>
          <t>VÄRMLANDS LÄN</t>
        </is>
      </c>
      <c r="E17781" t="inlineStr">
        <is>
          <t>HAGFORS</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57038-2024</t>
        </is>
      </c>
      <c r="B17782" s="1" t="n">
        <v>45629</v>
      </c>
      <c r="C17782" s="1" t="n">
        <v>45736</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57126-2024</t>
        </is>
      </c>
      <c r="B17783" s="1" t="n">
        <v>45629</v>
      </c>
      <c r="C17783" s="1" t="n">
        <v>45736</v>
      </c>
      <c r="D17783" t="inlineStr">
        <is>
          <t>VÄRMLANDS LÄN</t>
        </is>
      </c>
      <c r="E17783" t="inlineStr">
        <is>
          <t>ÅRJÄNG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57148-2024</t>
        </is>
      </c>
      <c r="B17784" s="1" t="n">
        <v>45629</v>
      </c>
      <c r="C17784" s="1" t="n">
        <v>45736</v>
      </c>
      <c r="D17784" t="inlineStr">
        <is>
          <t>VÄRMLANDS LÄN</t>
        </is>
      </c>
      <c r="E17784" t="inlineStr">
        <is>
          <t>KARLSTAD</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57153-2024</t>
        </is>
      </c>
      <c r="B17785" s="1" t="n">
        <v>45629</v>
      </c>
      <c r="C17785" s="1" t="n">
        <v>45736</v>
      </c>
      <c r="D17785" t="inlineStr">
        <is>
          <t>VÄRMLANDS LÄN</t>
        </is>
      </c>
      <c r="E17785" t="inlineStr">
        <is>
          <t>KARLSTAD</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57201-2024</t>
        </is>
      </c>
      <c r="B17786" s="1" t="n">
        <v>45629</v>
      </c>
      <c r="C17786" s="1" t="n">
        <v>45736</v>
      </c>
      <c r="D17786" t="inlineStr">
        <is>
          <t>VÄRMLANDS LÄN</t>
        </is>
      </c>
      <c r="E17786" t="inlineStr">
        <is>
          <t>ARVIKA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57205-2024</t>
        </is>
      </c>
      <c r="B17787" s="1" t="n">
        <v>45629</v>
      </c>
      <c r="C17787" s="1" t="n">
        <v>45736</v>
      </c>
      <c r="D17787" t="inlineStr">
        <is>
          <t>VÄRMLANDS LÄN</t>
        </is>
      </c>
      <c r="E17787" t="inlineStr">
        <is>
          <t>ARVIKA</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57213-2024</t>
        </is>
      </c>
      <c r="B17788" s="1" t="n">
        <v>45629</v>
      </c>
      <c r="C17788" s="1" t="n">
        <v>45736</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57329-2024</t>
        </is>
      </c>
      <c r="B17789" s="1" t="n">
        <v>45629</v>
      </c>
      <c r="C17789" s="1" t="n">
        <v>45736</v>
      </c>
      <c r="D17789" t="inlineStr">
        <is>
          <t>VÄRMLANDS LÄN</t>
        </is>
      </c>
      <c r="E17789" t="inlineStr">
        <is>
          <t>TORSBY</t>
        </is>
      </c>
      <c r="F17789" t="inlineStr">
        <is>
          <t>Kyrkan</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57129-2024</t>
        </is>
      </c>
      <c r="B17790" s="1" t="n">
        <v>45629</v>
      </c>
      <c r="C17790" s="1" t="n">
        <v>45736</v>
      </c>
      <c r="D17790" t="inlineStr">
        <is>
          <t>VÄRMLANDS LÄN</t>
        </is>
      </c>
      <c r="E17790" t="inlineStr">
        <is>
          <t>KARLSTAD</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57146-2024</t>
        </is>
      </c>
      <c r="B17791" s="1" t="n">
        <v>45629</v>
      </c>
      <c r="C17791" s="1" t="n">
        <v>45736</v>
      </c>
      <c r="D17791" t="inlineStr">
        <is>
          <t>VÄRMLANDS LÄN</t>
        </is>
      </c>
      <c r="E17791" t="inlineStr">
        <is>
          <t>KARLSTAD</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57162-2024</t>
        </is>
      </c>
      <c r="B17792" s="1" t="n">
        <v>45629</v>
      </c>
      <c r="C17792" s="1" t="n">
        <v>45736</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57190-2024</t>
        </is>
      </c>
      <c r="B17793" s="1" t="n">
        <v>45629</v>
      </c>
      <c r="C17793" s="1" t="n">
        <v>45736</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57208-2024</t>
        </is>
      </c>
      <c r="B17794" s="1" t="n">
        <v>45629</v>
      </c>
      <c r="C17794" s="1" t="n">
        <v>45736</v>
      </c>
      <c r="D17794" t="inlineStr">
        <is>
          <t>VÄRMLANDS LÄN</t>
        </is>
      </c>
      <c r="E17794" t="inlineStr">
        <is>
          <t>ARVIKA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57220-2024</t>
        </is>
      </c>
      <c r="B17795" s="1" t="n">
        <v>45629</v>
      </c>
      <c r="C17795" s="1" t="n">
        <v>45736</v>
      </c>
      <c r="D17795" t="inlineStr">
        <is>
          <t>VÄRMLANDS LÄN</t>
        </is>
      </c>
      <c r="E17795" t="inlineStr">
        <is>
          <t>KIL</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57198-2024</t>
        </is>
      </c>
      <c r="B17796" s="1" t="n">
        <v>45629</v>
      </c>
      <c r="C17796" s="1" t="n">
        <v>45736</v>
      </c>
      <c r="D17796" t="inlineStr">
        <is>
          <t>VÄRMLANDS LÄN</t>
        </is>
      </c>
      <c r="E17796" t="inlineStr">
        <is>
          <t>KIL</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57203-2024</t>
        </is>
      </c>
      <c r="B17797" s="1" t="n">
        <v>45629</v>
      </c>
      <c r="C17797" s="1" t="n">
        <v>45736</v>
      </c>
      <c r="D17797" t="inlineStr">
        <is>
          <t>VÄRMLANDS LÄN</t>
        </is>
      </c>
      <c r="E17797" t="inlineStr">
        <is>
          <t>ARVIKA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57211-2024</t>
        </is>
      </c>
      <c r="B17798" s="1" t="n">
        <v>45629</v>
      </c>
      <c r="C17798" s="1" t="n">
        <v>45736</v>
      </c>
      <c r="D17798" t="inlineStr">
        <is>
          <t>VÄRMLANDS LÄN</t>
        </is>
      </c>
      <c r="E17798" t="inlineStr">
        <is>
          <t>KIL</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57219-2024</t>
        </is>
      </c>
      <c r="B17799" s="1" t="n">
        <v>45629</v>
      </c>
      <c r="C17799" s="1" t="n">
        <v>45736</v>
      </c>
      <c r="D17799" t="inlineStr">
        <is>
          <t>VÄRMLANDS LÄN</t>
        </is>
      </c>
      <c r="E17799" t="inlineStr">
        <is>
          <t>HAGFORS</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57223-2024</t>
        </is>
      </c>
      <c r="B17800" s="1" t="n">
        <v>45629</v>
      </c>
      <c r="C17800" s="1" t="n">
        <v>45736</v>
      </c>
      <c r="D17800" t="inlineStr">
        <is>
          <t>VÄRMLANDS LÄN</t>
        </is>
      </c>
      <c r="E17800" t="inlineStr">
        <is>
          <t>HAGFORS</t>
        </is>
      </c>
      <c r="F17800" t="inlineStr">
        <is>
          <t>Bergvik skog väst AB</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57323-2024</t>
        </is>
      </c>
      <c r="B17801" s="1" t="n">
        <v>45629</v>
      </c>
      <c r="C17801" s="1" t="n">
        <v>45736</v>
      </c>
      <c r="D17801" t="inlineStr">
        <is>
          <t>VÄRMLANDS LÄN</t>
        </is>
      </c>
      <c r="E17801" t="inlineStr">
        <is>
          <t>EDA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57355-2024</t>
        </is>
      </c>
      <c r="B17802" s="1" t="n">
        <v>45629</v>
      </c>
      <c r="C17802" s="1" t="n">
        <v>45736</v>
      </c>
      <c r="D17802" t="inlineStr">
        <is>
          <t>VÄRMLANDS LÄN</t>
        </is>
      </c>
      <c r="E17802" t="inlineStr">
        <is>
          <t>ARVIKA</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57149-2024</t>
        </is>
      </c>
      <c r="B17803" s="1" t="n">
        <v>45629</v>
      </c>
      <c r="C17803" s="1" t="n">
        <v>45736</v>
      </c>
      <c r="D17803" t="inlineStr">
        <is>
          <t>VÄRMLANDS LÄN</t>
        </is>
      </c>
      <c r="E17803" t="inlineStr">
        <is>
          <t>KARLSTAD</t>
        </is>
      </c>
      <c r="G17803" t="n">
        <v>7.8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57159-2024</t>
        </is>
      </c>
      <c r="B17804" s="1" t="n">
        <v>45629</v>
      </c>
      <c r="C17804" s="1" t="n">
        <v>45736</v>
      </c>
      <c r="D17804" t="inlineStr">
        <is>
          <t>VÄRMLANDS LÄN</t>
        </is>
      </c>
      <c r="E17804" t="inlineStr">
        <is>
          <t>HAGFORS</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57257-2024</t>
        </is>
      </c>
      <c r="B17805" s="1" t="n">
        <v>45629</v>
      </c>
      <c r="C17805" s="1" t="n">
        <v>45736</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57314-2024</t>
        </is>
      </c>
      <c r="B17806" s="1" t="n">
        <v>45629</v>
      </c>
      <c r="C17806" s="1" t="n">
        <v>45736</v>
      </c>
      <c r="D17806" t="inlineStr">
        <is>
          <t>VÄRMLANDS LÄN</t>
        </is>
      </c>
      <c r="E17806" t="inlineStr">
        <is>
          <t>EDA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57322-2024</t>
        </is>
      </c>
      <c r="B17807" s="1" t="n">
        <v>45629</v>
      </c>
      <c r="C17807" s="1" t="n">
        <v>45736</v>
      </c>
      <c r="D17807" t="inlineStr">
        <is>
          <t>VÄRMLANDS LÄN</t>
        </is>
      </c>
      <c r="E17807" t="inlineStr">
        <is>
          <t>KARLSTAD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57346-2024</t>
        </is>
      </c>
      <c r="B17808" s="1" t="n">
        <v>45629</v>
      </c>
      <c r="C17808" s="1" t="n">
        <v>45736</v>
      </c>
      <c r="D17808" t="inlineStr">
        <is>
          <t>VÄRMLANDS LÄN</t>
        </is>
      </c>
      <c r="E17808" t="inlineStr">
        <is>
          <t>ARVIKA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57354-2024</t>
        </is>
      </c>
      <c r="B17809" s="1" t="n">
        <v>45629</v>
      </c>
      <c r="C17809" s="1" t="n">
        <v>45736</v>
      </c>
      <c r="D17809" t="inlineStr">
        <is>
          <t>VÄRMLANDS LÄN</t>
        </is>
      </c>
      <c r="E17809" t="inlineStr">
        <is>
          <t>EDA</t>
        </is>
      </c>
      <c r="F17809" t="inlineStr">
        <is>
          <t>Bergvik skog väst AB</t>
        </is>
      </c>
      <c r="G17809" t="n">
        <v>12.7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57386-2024</t>
        </is>
      </c>
      <c r="B17810" s="1" t="n">
        <v>45629</v>
      </c>
      <c r="C17810" s="1" t="n">
        <v>45736</v>
      </c>
      <c r="D17810" t="inlineStr">
        <is>
          <t>VÄRMLANDS LÄN</t>
        </is>
      </c>
      <c r="E17810" t="inlineStr">
        <is>
          <t>KIL</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57293-2024</t>
        </is>
      </c>
      <c r="B17811" s="1" t="n">
        <v>45629</v>
      </c>
      <c r="C17811" s="1" t="n">
        <v>45736</v>
      </c>
      <c r="D17811" t="inlineStr">
        <is>
          <t>VÄRMLANDS LÄN</t>
        </is>
      </c>
      <c r="E17811" t="inlineStr">
        <is>
          <t>EDA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57320-2024</t>
        </is>
      </c>
      <c r="B17812" s="1" t="n">
        <v>45629</v>
      </c>
      <c r="C17812" s="1" t="n">
        <v>45736</v>
      </c>
      <c r="D17812" t="inlineStr">
        <is>
          <t>VÄRMLANDS LÄN</t>
        </is>
      </c>
      <c r="E17812" t="inlineStr">
        <is>
          <t>HAGFORS</t>
        </is>
      </c>
      <c r="F17812" t="inlineStr">
        <is>
          <t>Bergvik skog väst AB</t>
        </is>
      </c>
      <c r="G17812" t="n">
        <v>16.6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57348-2024</t>
        </is>
      </c>
      <c r="B17813" s="1" t="n">
        <v>45629</v>
      </c>
      <c r="C17813" s="1" t="n">
        <v>45736</v>
      </c>
      <c r="D17813" t="inlineStr">
        <is>
          <t>VÄRMLANDS LÄN</t>
        </is>
      </c>
      <c r="E17813" t="inlineStr">
        <is>
          <t>ARVIKA</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57546-2024</t>
        </is>
      </c>
      <c r="B17814" s="1" t="n">
        <v>45629</v>
      </c>
      <c r="C17814" s="1" t="n">
        <v>45736</v>
      </c>
      <c r="D17814" t="inlineStr">
        <is>
          <t>VÄRMLANDS LÄN</t>
        </is>
      </c>
      <c r="E17814" t="inlineStr">
        <is>
          <t>ÅRJÄNG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57446-2024</t>
        </is>
      </c>
      <c r="B17815" s="1" t="n">
        <v>45629</v>
      </c>
      <c r="C17815" s="1" t="n">
        <v>45736</v>
      </c>
      <c r="D17815" t="inlineStr">
        <is>
          <t>VÄRMLANDS LÄN</t>
        </is>
      </c>
      <c r="E17815" t="inlineStr">
        <is>
          <t>FILIPSTAD</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57455-2024</t>
        </is>
      </c>
      <c r="B17816" s="1" t="n">
        <v>45630</v>
      </c>
      <c r="C17816" s="1" t="n">
        <v>45736</v>
      </c>
      <c r="D17816" t="inlineStr">
        <is>
          <t>VÄRMLANDS LÄN</t>
        </is>
      </c>
      <c r="E17816" t="inlineStr">
        <is>
          <t>ARVIKA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57457-2024</t>
        </is>
      </c>
      <c r="B17817" s="1" t="n">
        <v>45630</v>
      </c>
      <c r="C17817" s="1" t="n">
        <v>45736</v>
      </c>
      <c r="D17817" t="inlineStr">
        <is>
          <t>VÄRMLANDS LÄN</t>
        </is>
      </c>
      <c r="E17817" t="inlineStr">
        <is>
          <t>ARVIKA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57469-2024</t>
        </is>
      </c>
      <c r="B17818" s="1" t="n">
        <v>45630</v>
      </c>
      <c r="C17818" s="1" t="n">
        <v>45736</v>
      </c>
      <c r="D17818" t="inlineStr">
        <is>
          <t>VÄRMLANDS LÄN</t>
        </is>
      </c>
      <c r="E17818" t="inlineStr">
        <is>
          <t>TORSBY</t>
        </is>
      </c>
      <c r="F17818" t="inlineStr">
        <is>
          <t>Bergvik skog väst AB</t>
        </is>
      </c>
      <c r="G17818" t="n">
        <v>12.8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57481-2024</t>
        </is>
      </c>
      <c r="B17819" s="1" t="n">
        <v>45630</v>
      </c>
      <c r="C17819" s="1" t="n">
        <v>45736</v>
      </c>
      <c r="D17819" t="inlineStr">
        <is>
          <t>VÄRMLANDS LÄN</t>
        </is>
      </c>
      <c r="E17819" t="inlineStr">
        <is>
          <t>TORSBY</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57517-2024</t>
        </is>
      </c>
      <c r="B17820" s="1" t="n">
        <v>45630</v>
      </c>
      <c r="C17820" s="1" t="n">
        <v>45736</v>
      </c>
      <c r="D17820" t="inlineStr">
        <is>
          <t>VÄRMLANDS LÄN</t>
        </is>
      </c>
      <c r="E17820" t="inlineStr">
        <is>
          <t>SÄFFLE</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57531-2024</t>
        </is>
      </c>
      <c r="B17821" s="1" t="n">
        <v>45630</v>
      </c>
      <c r="C17821" s="1" t="n">
        <v>45736</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57548-2024</t>
        </is>
      </c>
      <c r="B17822" s="1" t="n">
        <v>45630</v>
      </c>
      <c r="C17822" s="1" t="n">
        <v>45736</v>
      </c>
      <c r="D17822" t="inlineStr">
        <is>
          <t>VÄRMLANDS LÄN</t>
        </is>
      </c>
      <c r="E17822" t="inlineStr">
        <is>
          <t>KARLSTAD</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57503-2024</t>
        </is>
      </c>
      <c r="B17823" s="1" t="n">
        <v>45630</v>
      </c>
      <c r="C17823" s="1" t="n">
        <v>45736</v>
      </c>
      <c r="D17823" t="inlineStr">
        <is>
          <t>VÄRMLANDS LÄN</t>
        </is>
      </c>
      <c r="E17823" t="inlineStr">
        <is>
          <t>KARLSTAD</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57460-2024</t>
        </is>
      </c>
      <c r="B17824" s="1" t="n">
        <v>45630</v>
      </c>
      <c r="C17824" s="1" t="n">
        <v>45736</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57502-2024</t>
        </is>
      </c>
      <c r="B17825" s="1" t="n">
        <v>45630</v>
      </c>
      <c r="C17825" s="1" t="n">
        <v>45736</v>
      </c>
      <c r="D17825" t="inlineStr">
        <is>
          <t>VÄRMLANDS LÄN</t>
        </is>
      </c>
      <c r="E17825" t="inlineStr">
        <is>
          <t>TORSBY</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57532-2024</t>
        </is>
      </c>
      <c r="B17826" s="1" t="n">
        <v>45630</v>
      </c>
      <c r="C17826" s="1" t="n">
        <v>45736</v>
      </c>
      <c r="D17826" t="inlineStr">
        <is>
          <t>VÄRMLANDS LÄN</t>
        </is>
      </c>
      <c r="E17826" t="inlineStr">
        <is>
          <t>TORSBY</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57536-2024</t>
        </is>
      </c>
      <c r="B17827" s="1" t="n">
        <v>45630</v>
      </c>
      <c r="C17827" s="1" t="n">
        <v>45736</v>
      </c>
      <c r="D17827" t="inlineStr">
        <is>
          <t>VÄRMLANDS LÄN</t>
        </is>
      </c>
      <c r="E17827" t="inlineStr">
        <is>
          <t>TORSBY</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57544-2024</t>
        </is>
      </c>
      <c r="B17828" s="1" t="n">
        <v>45630</v>
      </c>
      <c r="C17828" s="1" t="n">
        <v>45736</v>
      </c>
      <c r="D17828" t="inlineStr">
        <is>
          <t>VÄRMLANDS LÄN</t>
        </is>
      </c>
      <c r="E17828" t="inlineStr">
        <is>
          <t>FILIPSTAD</t>
        </is>
      </c>
      <c r="F17828" t="inlineStr">
        <is>
          <t>Bergvik skog väst AB</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57593-2024</t>
        </is>
      </c>
      <c r="B17829" s="1" t="n">
        <v>45630</v>
      </c>
      <c r="C17829" s="1" t="n">
        <v>45736</v>
      </c>
      <c r="D17829" t="inlineStr">
        <is>
          <t>VÄRMLANDS LÄN</t>
        </is>
      </c>
      <c r="E17829" t="inlineStr">
        <is>
          <t>HAGFORS</t>
        </is>
      </c>
      <c r="F17829" t="inlineStr">
        <is>
          <t>Bergvik skog väst AB</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57651-2024</t>
        </is>
      </c>
      <c r="B17830" s="1" t="n">
        <v>45630</v>
      </c>
      <c r="C17830" s="1" t="n">
        <v>45736</v>
      </c>
      <c r="D17830" t="inlineStr">
        <is>
          <t>VÄRMLANDS LÄN</t>
        </is>
      </c>
      <c r="E17830" t="inlineStr">
        <is>
          <t>ÅRJÄNG</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57722-2024</t>
        </is>
      </c>
      <c r="B17831" s="1" t="n">
        <v>45630</v>
      </c>
      <c r="C17831" s="1" t="n">
        <v>45736</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57738-2024</t>
        </is>
      </c>
      <c r="B17832" s="1" t="n">
        <v>45630</v>
      </c>
      <c r="C17832" s="1" t="n">
        <v>45736</v>
      </c>
      <c r="D17832" t="inlineStr">
        <is>
          <t>VÄRMLANDS LÄN</t>
        </is>
      </c>
      <c r="E17832" t="inlineStr">
        <is>
          <t>SÄFFLE</t>
        </is>
      </c>
      <c r="F17832" t="inlineStr">
        <is>
          <t>Kyrkan</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57564-2024</t>
        </is>
      </c>
      <c r="B17833" s="1" t="n">
        <v>45630</v>
      </c>
      <c r="C17833" s="1" t="n">
        <v>45736</v>
      </c>
      <c r="D17833" t="inlineStr">
        <is>
          <t>VÄRMLANDS LÄN</t>
        </is>
      </c>
      <c r="E17833" t="inlineStr">
        <is>
          <t>SÄFFLE</t>
        </is>
      </c>
      <c r="G17833" t="n">
        <v>9.6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57620-2024</t>
        </is>
      </c>
      <c r="B17834" s="1" t="n">
        <v>45630</v>
      </c>
      <c r="C17834" s="1" t="n">
        <v>45736</v>
      </c>
      <c r="D17834" t="inlineStr">
        <is>
          <t>VÄRMLANDS LÄN</t>
        </is>
      </c>
      <c r="E17834" t="inlineStr">
        <is>
          <t>ARVIKA</t>
        </is>
      </c>
      <c r="F17834" t="inlineStr">
        <is>
          <t>Bergvik skog väst AB</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57624-2024</t>
        </is>
      </c>
      <c r="B17835" s="1" t="n">
        <v>45630</v>
      </c>
      <c r="C17835" s="1" t="n">
        <v>45736</v>
      </c>
      <c r="D17835" t="inlineStr">
        <is>
          <t>VÄRMLANDS LÄN</t>
        </is>
      </c>
      <c r="E17835" t="inlineStr">
        <is>
          <t>EDA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57662-2024</t>
        </is>
      </c>
      <c r="B17836" s="1" t="n">
        <v>45630</v>
      </c>
      <c r="C17836" s="1" t="n">
        <v>45736</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57666-2024</t>
        </is>
      </c>
      <c r="B17837" s="1" t="n">
        <v>45630</v>
      </c>
      <c r="C17837" s="1" t="n">
        <v>45736</v>
      </c>
      <c r="D17837" t="inlineStr">
        <is>
          <t>VÄRMLANDS LÄN</t>
        </is>
      </c>
      <c r="E17837" t="inlineStr">
        <is>
          <t>SUNNE</t>
        </is>
      </c>
      <c r="F17837" t="inlineStr">
        <is>
          <t>Kyrkan</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57678-2024</t>
        </is>
      </c>
      <c r="B17838" s="1" t="n">
        <v>45630</v>
      </c>
      <c r="C17838" s="1" t="n">
        <v>45736</v>
      </c>
      <c r="D17838" t="inlineStr">
        <is>
          <t>VÄRMLANDS LÄN</t>
        </is>
      </c>
      <c r="E17838" t="inlineStr">
        <is>
          <t>SUNNE</t>
        </is>
      </c>
      <c r="F17838" t="inlineStr">
        <is>
          <t>Kyrkan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57682-2024</t>
        </is>
      </c>
      <c r="B17839" s="1" t="n">
        <v>45630</v>
      </c>
      <c r="C17839" s="1" t="n">
        <v>45736</v>
      </c>
      <c r="D17839" t="inlineStr">
        <is>
          <t>VÄRMLANDS LÄN</t>
        </is>
      </c>
      <c r="E17839" t="inlineStr">
        <is>
          <t>EDA</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57709-2024</t>
        </is>
      </c>
      <c r="B17840" s="1" t="n">
        <v>45630</v>
      </c>
      <c r="C17840" s="1" t="n">
        <v>45736</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57725-2024</t>
        </is>
      </c>
      <c r="B17841" s="1" t="n">
        <v>45630</v>
      </c>
      <c r="C17841" s="1" t="n">
        <v>45736</v>
      </c>
      <c r="D17841" t="inlineStr">
        <is>
          <t>VÄRMLANDS LÄN</t>
        </is>
      </c>
      <c r="E17841" t="inlineStr">
        <is>
          <t>TORSBY</t>
        </is>
      </c>
      <c r="G17841" t="n">
        <v>4.7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57541-2024</t>
        </is>
      </c>
      <c r="B17842" s="1" t="n">
        <v>45630</v>
      </c>
      <c r="C17842" s="1" t="n">
        <v>45736</v>
      </c>
      <c r="D17842" t="inlineStr">
        <is>
          <t>VÄRMLANDS LÄN</t>
        </is>
      </c>
      <c r="E17842" t="inlineStr">
        <is>
          <t>KARLSTAD</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57545-2024</t>
        </is>
      </c>
      <c r="B17843" s="1" t="n">
        <v>45630</v>
      </c>
      <c r="C17843" s="1" t="n">
        <v>45736</v>
      </c>
      <c r="D17843" t="inlineStr">
        <is>
          <t>VÄRMLANDS LÄN</t>
        </is>
      </c>
      <c r="E17843" t="inlineStr">
        <is>
          <t>TORSBY</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57554-2024</t>
        </is>
      </c>
      <c r="B17844" s="1" t="n">
        <v>45630</v>
      </c>
      <c r="C17844" s="1" t="n">
        <v>45736</v>
      </c>
      <c r="D17844" t="inlineStr">
        <is>
          <t>VÄRMLANDS LÄN</t>
        </is>
      </c>
      <c r="E17844" t="inlineStr">
        <is>
          <t>ARVIKA</t>
        </is>
      </c>
      <c r="F17844" t="inlineStr">
        <is>
          <t>Bergvik skog väst AB</t>
        </is>
      </c>
      <c r="G17844" t="n">
        <v>5.3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57482-2024</t>
        </is>
      </c>
      <c r="B17845" s="1" t="n">
        <v>45630</v>
      </c>
      <c r="C17845" s="1" t="n">
        <v>45736</v>
      </c>
      <c r="D17845" t="inlineStr">
        <is>
          <t>VÄRMLANDS LÄN</t>
        </is>
      </c>
      <c r="E17845" t="inlineStr">
        <is>
          <t>FILIPSTAD</t>
        </is>
      </c>
      <c r="F17845" t="inlineStr">
        <is>
          <t>Bergvik skog väst AB</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57723-2024</t>
        </is>
      </c>
      <c r="B17846" s="1" t="n">
        <v>45630</v>
      </c>
      <c r="C17846" s="1" t="n">
        <v>45736</v>
      </c>
      <c r="D17846" t="inlineStr">
        <is>
          <t>VÄRMLANDS LÄN</t>
        </is>
      </c>
      <c r="E17846" t="inlineStr">
        <is>
          <t>TORSBY</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57587-2024</t>
        </is>
      </c>
      <c r="B17847" s="1" t="n">
        <v>45630</v>
      </c>
      <c r="C17847" s="1" t="n">
        <v>45736</v>
      </c>
      <c r="D17847" t="inlineStr">
        <is>
          <t>VÄRMLANDS LÄN</t>
        </is>
      </c>
      <c r="E17847" t="inlineStr">
        <is>
          <t>KARLSTAD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57607-2024</t>
        </is>
      </c>
      <c r="B17848" s="1" t="n">
        <v>45630</v>
      </c>
      <c r="C17848" s="1" t="n">
        <v>45736</v>
      </c>
      <c r="D17848" t="inlineStr">
        <is>
          <t>VÄRMLANDS LÄN</t>
        </is>
      </c>
      <c r="E17848" t="inlineStr">
        <is>
          <t>KARLSTAD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57611-2024</t>
        </is>
      </c>
      <c r="B17849" s="1" t="n">
        <v>45630</v>
      </c>
      <c r="C17849" s="1" t="n">
        <v>45736</v>
      </c>
      <c r="D17849" t="inlineStr">
        <is>
          <t>VÄRMLANDS LÄN</t>
        </is>
      </c>
      <c r="E17849" t="inlineStr">
        <is>
          <t>KARLSTAD</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57708-2024</t>
        </is>
      </c>
      <c r="B17850" s="1" t="n">
        <v>45630</v>
      </c>
      <c r="C17850" s="1" t="n">
        <v>45736</v>
      </c>
      <c r="D17850" t="inlineStr">
        <is>
          <t>VÄRMLANDS LÄN</t>
        </is>
      </c>
      <c r="E17850" t="inlineStr">
        <is>
          <t>ÅRJÄNG</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57750-2024</t>
        </is>
      </c>
      <c r="B17851" s="1" t="n">
        <v>45630</v>
      </c>
      <c r="C17851" s="1" t="n">
        <v>45736</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57774-2024</t>
        </is>
      </c>
      <c r="B17852" s="1" t="n">
        <v>45630</v>
      </c>
      <c r="C17852" s="1" t="n">
        <v>45736</v>
      </c>
      <c r="D17852" t="inlineStr">
        <is>
          <t>VÄRMLANDS LÄN</t>
        </is>
      </c>
      <c r="E17852" t="inlineStr">
        <is>
          <t>TORSBY</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57785-2024</t>
        </is>
      </c>
      <c r="B17853" s="1" t="n">
        <v>45631</v>
      </c>
      <c r="C17853" s="1" t="n">
        <v>45736</v>
      </c>
      <c r="D17853" t="inlineStr">
        <is>
          <t>VÄRMLANDS LÄN</t>
        </is>
      </c>
      <c r="E17853" t="inlineStr">
        <is>
          <t>TORSBY</t>
        </is>
      </c>
      <c r="F17853" t="inlineStr">
        <is>
          <t>Bergvik skog väst AB</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57809-2024</t>
        </is>
      </c>
      <c r="B17854" s="1" t="n">
        <v>45631</v>
      </c>
      <c r="C17854" s="1" t="n">
        <v>45736</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57788-2024</t>
        </is>
      </c>
      <c r="B17855" s="1" t="n">
        <v>45631</v>
      </c>
      <c r="C17855" s="1" t="n">
        <v>45736</v>
      </c>
      <c r="D17855" t="inlineStr">
        <is>
          <t>VÄRMLANDS LÄN</t>
        </is>
      </c>
      <c r="E17855" t="inlineStr">
        <is>
          <t>HAGFORS</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57786-2024</t>
        </is>
      </c>
      <c r="B17856" s="1" t="n">
        <v>45631</v>
      </c>
      <c r="C17856" s="1" t="n">
        <v>45736</v>
      </c>
      <c r="D17856" t="inlineStr">
        <is>
          <t>VÄRMLANDS LÄN</t>
        </is>
      </c>
      <c r="E17856" t="inlineStr">
        <is>
          <t>KIL</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57926-2024</t>
        </is>
      </c>
      <c r="B17857" s="1" t="n">
        <v>45631</v>
      </c>
      <c r="C17857" s="1" t="n">
        <v>45736</v>
      </c>
      <c r="D17857" t="inlineStr">
        <is>
          <t>VÄRMLANDS LÄN</t>
        </is>
      </c>
      <c r="E17857" t="inlineStr">
        <is>
          <t>STORFORS</t>
        </is>
      </c>
      <c r="F17857" t="inlineStr">
        <is>
          <t>Kyrkan</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57997-2024</t>
        </is>
      </c>
      <c r="B17858" s="1" t="n">
        <v>45631</v>
      </c>
      <c r="C17858" s="1" t="n">
        <v>45736</v>
      </c>
      <c r="D17858" t="inlineStr">
        <is>
          <t>VÄRMLANDS LÄN</t>
        </is>
      </c>
      <c r="E17858" t="inlineStr">
        <is>
          <t>ÅRJÄNG</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57873-2024</t>
        </is>
      </c>
      <c r="B17859" s="1" t="n">
        <v>45631</v>
      </c>
      <c r="C17859" s="1" t="n">
        <v>45736</v>
      </c>
      <c r="D17859" t="inlineStr">
        <is>
          <t>VÄRMLANDS LÄN</t>
        </is>
      </c>
      <c r="E17859" t="inlineStr">
        <is>
          <t>SÄFFLE</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57912-2024</t>
        </is>
      </c>
      <c r="B17860" s="1" t="n">
        <v>45631</v>
      </c>
      <c r="C17860" s="1" t="n">
        <v>45736</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57885-2024</t>
        </is>
      </c>
      <c r="B17861" s="1" t="n">
        <v>45631</v>
      </c>
      <c r="C17861" s="1" t="n">
        <v>45736</v>
      </c>
      <c r="D17861" t="inlineStr">
        <is>
          <t>VÄRMLANDS LÄN</t>
        </is>
      </c>
      <c r="E17861" t="inlineStr">
        <is>
          <t>SÄFFLE</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57902-2024</t>
        </is>
      </c>
      <c r="B17862" s="1" t="n">
        <v>45631</v>
      </c>
      <c r="C17862" s="1" t="n">
        <v>45736</v>
      </c>
      <c r="D17862" t="inlineStr">
        <is>
          <t>VÄRMLANDS LÄN</t>
        </is>
      </c>
      <c r="E17862" t="inlineStr">
        <is>
          <t>SÄFFLE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57966-2024</t>
        </is>
      </c>
      <c r="B17863" s="1" t="n">
        <v>45631</v>
      </c>
      <c r="C17863" s="1" t="n">
        <v>45736</v>
      </c>
      <c r="D17863" t="inlineStr">
        <is>
          <t>VÄRMLANDS LÄN</t>
        </is>
      </c>
      <c r="E17863" t="inlineStr">
        <is>
          <t>EDA</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58020-2024</t>
        </is>
      </c>
      <c r="B17864" s="1" t="n">
        <v>45631</v>
      </c>
      <c r="C17864" s="1" t="n">
        <v>45736</v>
      </c>
      <c r="D17864" t="inlineStr">
        <is>
          <t>VÄRMLANDS LÄN</t>
        </is>
      </c>
      <c r="E17864" t="inlineStr">
        <is>
          <t>SÄFFLE</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58024-2024</t>
        </is>
      </c>
      <c r="B17865" s="1" t="n">
        <v>45631</v>
      </c>
      <c r="C17865" s="1" t="n">
        <v>45736</v>
      </c>
      <c r="D17865" t="inlineStr">
        <is>
          <t>VÄRMLANDS LÄN</t>
        </is>
      </c>
      <c r="E17865" t="inlineStr">
        <is>
          <t>SÄFFLE</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58002-2024</t>
        </is>
      </c>
      <c r="B17866" s="1" t="n">
        <v>45631</v>
      </c>
      <c r="C17866" s="1" t="n">
        <v>45736</v>
      </c>
      <c r="D17866" t="inlineStr">
        <is>
          <t>VÄRMLANDS LÄN</t>
        </is>
      </c>
      <c r="E17866" t="inlineStr">
        <is>
          <t>ARVIKA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58050-2024</t>
        </is>
      </c>
      <c r="B17867" s="1" t="n">
        <v>45631</v>
      </c>
      <c r="C17867" s="1" t="n">
        <v>45736</v>
      </c>
      <c r="D17867" t="inlineStr">
        <is>
          <t>VÄRMLANDS LÄN</t>
        </is>
      </c>
      <c r="E17867" t="inlineStr">
        <is>
          <t>MUNKFORS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58058-2024</t>
        </is>
      </c>
      <c r="B17868" s="1" t="n">
        <v>45631</v>
      </c>
      <c r="C17868" s="1" t="n">
        <v>45736</v>
      </c>
      <c r="D17868" t="inlineStr">
        <is>
          <t>VÄRMLANDS LÄN</t>
        </is>
      </c>
      <c r="E17868" t="inlineStr">
        <is>
          <t>ARVIKA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58033-2024</t>
        </is>
      </c>
      <c r="B17869" s="1" t="n">
        <v>45631</v>
      </c>
      <c r="C17869" s="1" t="n">
        <v>45736</v>
      </c>
      <c r="D17869" t="inlineStr">
        <is>
          <t>VÄRMLANDS LÄN</t>
        </is>
      </c>
      <c r="E17869" t="inlineStr">
        <is>
          <t>TORSBY</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58049-2024</t>
        </is>
      </c>
      <c r="B17870" s="1" t="n">
        <v>45631</v>
      </c>
      <c r="C17870" s="1" t="n">
        <v>45736</v>
      </c>
      <c r="D17870" t="inlineStr">
        <is>
          <t>VÄRMLANDS LÄN</t>
        </is>
      </c>
      <c r="E17870" t="inlineStr">
        <is>
          <t>MUNKFORS</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58057-2024</t>
        </is>
      </c>
      <c r="B17871" s="1" t="n">
        <v>45631</v>
      </c>
      <c r="C17871" s="1" t="n">
        <v>45736</v>
      </c>
      <c r="D17871" t="inlineStr">
        <is>
          <t>VÄRMLANDS LÄN</t>
        </is>
      </c>
      <c r="E17871" t="inlineStr">
        <is>
          <t>ÅRJÄNG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58023-2024</t>
        </is>
      </c>
      <c r="B17872" s="1" t="n">
        <v>45631</v>
      </c>
      <c r="C17872" s="1" t="n">
        <v>45736</v>
      </c>
      <c r="D17872" t="inlineStr">
        <is>
          <t>VÄRMLANDS LÄN</t>
        </is>
      </c>
      <c r="E17872" t="inlineStr">
        <is>
          <t>TORSBY</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58051-2024</t>
        </is>
      </c>
      <c r="B17873" s="1" t="n">
        <v>45631</v>
      </c>
      <c r="C17873" s="1" t="n">
        <v>45736</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58059-2024</t>
        </is>
      </c>
      <c r="B17874" s="1" t="n">
        <v>45631</v>
      </c>
      <c r="C17874" s="1" t="n">
        <v>45736</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58067-2024</t>
        </is>
      </c>
      <c r="B17875" s="1" t="n">
        <v>45631</v>
      </c>
      <c r="C17875" s="1" t="n">
        <v>45736</v>
      </c>
      <c r="D17875" t="inlineStr">
        <is>
          <t>VÄRMLANDS LÄN</t>
        </is>
      </c>
      <c r="E17875" t="inlineStr">
        <is>
          <t>SÄFFLE</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58294-2024</t>
        </is>
      </c>
      <c r="B17876" s="1" t="n">
        <v>45631</v>
      </c>
      <c r="C17876" s="1" t="n">
        <v>45736</v>
      </c>
      <c r="D17876" t="inlineStr">
        <is>
          <t>VÄRMLANDS LÄN</t>
        </is>
      </c>
      <c r="E17876" t="inlineStr">
        <is>
          <t>KRISTINEHAMN</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58062-2024</t>
        </is>
      </c>
      <c r="B17877" s="1" t="n">
        <v>45631</v>
      </c>
      <c r="C17877" s="1" t="n">
        <v>45736</v>
      </c>
      <c r="D17877" t="inlineStr">
        <is>
          <t>VÄRMLANDS LÄN</t>
        </is>
      </c>
      <c r="E17877" t="inlineStr">
        <is>
          <t>ARVIKA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58066-2024</t>
        </is>
      </c>
      <c r="B17878" s="1" t="n">
        <v>45631</v>
      </c>
      <c r="C17878" s="1" t="n">
        <v>45736</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58284-2024</t>
        </is>
      </c>
      <c r="B17879" s="1" t="n">
        <v>45631</v>
      </c>
      <c r="C17879" s="1" t="n">
        <v>45736</v>
      </c>
      <c r="D17879" t="inlineStr">
        <is>
          <t>VÄRMLANDS LÄN</t>
        </is>
      </c>
      <c r="E17879" t="inlineStr">
        <is>
          <t>KRISTINEHAMN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58060-2024</t>
        </is>
      </c>
      <c r="B17880" s="1" t="n">
        <v>45631</v>
      </c>
      <c r="C17880" s="1" t="n">
        <v>45736</v>
      </c>
      <c r="D17880" t="inlineStr">
        <is>
          <t>VÄRMLANDS LÄN</t>
        </is>
      </c>
      <c r="E17880" t="inlineStr">
        <is>
          <t>ARVIKA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58064-2024</t>
        </is>
      </c>
      <c r="B17881" s="1" t="n">
        <v>45631</v>
      </c>
      <c r="C17881" s="1" t="n">
        <v>45736</v>
      </c>
      <c r="D17881" t="inlineStr">
        <is>
          <t>VÄRMLANDS LÄN</t>
        </is>
      </c>
      <c r="E17881" t="inlineStr">
        <is>
          <t>ARVIKA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58316-2024</t>
        </is>
      </c>
      <c r="B17882" s="1" t="n">
        <v>45631</v>
      </c>
      <c r="C17882" s="1" t="n">
        <v>45736</v>
      </c>
      <c r="D17882" t="inlineStr">
        <is>
          <t>VÄRMLANDS LÄN</t>
        </is>
      </c>
      <c r="E17882" t="inlineStr">
        <is>
          <t>KRISTINEHAMN</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58061-2024</t>
        </is>
      </c>
      <c r="B17883" s="1" t="n">
        <v>45631</v>
      </c>
      <c r="C17883" s="1" t="n">
        <v>45736</v>
      </c>
      <c r="D17883" t="inlineStr">
        <is>
          <t>VÄRMLANDS LÄN</t>
        </is>
      </c>
      <c r="E17883" t="inlineStr">
        <is>
          <t>ARVIKA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58319-2024</t>
        </is>
      </c>
      <c r="B17884" s="1" t="n">
        <v>45631</v>
      </c>
      <c r="C17884" s="1" t="n">
        <v>45736</v>
      </c>
      <c r="D17884" t="inlineStr">
        <is>
          <t>VÄRMLANDS LÄN</t>
        </is>
      </c>
      <c r="E17884" t="inlineStr">
        <is>
          <t>KRISTINEHAMN</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58084-2024</t>
        </is>
      </c>
      <c r="B17885" s="1" t="n">
        <v>45632</v>
      </c>
      <c r="C17885" s="1" t="n">
        <v>45736</v>
      </c>
      <c r="D17885" t="inlineStr">
        <is>
          <t>VÄRMLANDS LÄN</t>
        </is>
      </c>
      <c r="E17885" t="inlineStr">
        <is>
          <t>HAGFORS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58109-2024</t>
        </is>
      </c>
      <c r="B17886" s="1" t="n">
        <v>45632</v>
      </c>
      <c r="C17886" s="1" t="n">
        <v>45736</v>
      </c>
      <c r="D17886" t="inlineStr">
        <is>
          <t>VÄRMLANDS LÄN</t>
        </is>
      </c>
      <c r="E17886" t="inlineStr">
        <is>
          <t>KARLSTAD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58121-2024</t>
        </is>
      </c>
      <c r="B17887" s="1" t="n">
        <v>45632</v>
      </c>
      <c r="C17887" s="1" t="n">
        <v>45736</v>
      </c>
      <c r="D17887" t="inlineStr">
        <is>
          <t>VÄRMLANDS LÄN</t>
        </is>
      </c>
      <c r="E17887" t="inlineStr">
        <is>
          <t>FORSHAGA</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58186-2024</t>
        </is>
      </c>
      <c r="B17888" s="1" t="n">
        <v>45632</v>
      </c>
      <c r="C17888" s="1" t="n">
        <v>45736</v>
      </c>
      <c r="D17888" t="inlineStr">
        <is>
          <t>VÄRMLANDS LÄN</t>
        </is>
      </c>
      <c r="E17888" t="inlineStr">
        <is>
          <t>EDA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58194-2024</t>
        </is>
      </c>
      <c r="B17889" s="1" t="n">
        <v>45632</v>
      </c>
      <c r="C17889" s="1" t="n">
        <v>45736</v>
      </c>
      <c r="D17889" t="inlineStr">
        <is>
          <t>VÄRMLANDS LÄN</t>
        </is>
      </c>
      <c r="E17889" t="inlineStr">
        <is>
          <t>EDA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58081-2024</t>
        </is>
      </c>
      <c r="B17890" s="1" t="n">
        <v>45632</v>
      </c>
      <c r="C17890" s="1" t="n">
        <v>45736</v>
      </c>
      <c r="D17890" t="inlineStr">
        <is>
          <t>VÄRMLANDS LÄN</t>
        </is>
      </c>
      <c r="E17890" t="inlineStr">
        <is>
          <t>HAGFORS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58285-2024</t>
        </is>
      </c>
      <c r="B17891" s="1" t="n">
        <v>45632</v>
      </c>
      <c r="C17891" s="1" t="n">
        <v>45736</v>
      </c>
      <c r="D17891" t="inlineStr">
        <is>
          <t>VÄRMLANDS LÄN</t>
        </is>
      </c>
      <c r="E17891" t="inlineStr">
        <is>
          <t>ÅRJÄNG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58348-2024</t>
        </is>
      </c>
      <c r="B17892" s="1" t="n">
        <v>45632</v>
      </c>
      <c r="C17892" s="1" t="n">
        <v>45736</v>
      </c>
      <c r="D17892" t="inlineStr">
        <is>
          <t>VÄRMLANDS LÄN</t>
        </is>
      </c>
      <c r="E17892" t="inlineStr">
        <is>
          <t>SUNNE</t>
        </is>
      </c>
      <c r="F17892" t="inlineStr">
        <is>
          <t>Bergvik skog väst AB</t>
        </is>
      </c>
      <c r="G17892" t="n">
        <v>6.3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58367-2024</t>
        </is>
      </c>
      <c r="B17893" s="1" t="n">
        <v>45632</v>
      </c>
      <c r="C17893" s="1" t="n">
        <v>45736</v>
      </c>
      <c r="D17893" t="inlineStr">
        <is>
          <t>VÄRMLANDS LÄN</t>
        </is>
      </c>
      <c r="E17893" t="inlineStr">
        <is>
          <t>SUNNE</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58383-2024</t>
        </is>
      </c>
      <c r="B17894" s="1" t="n">
        <v>45632</v>
      </c>
      <c r="C17894" s="1" t="n">
        <v>45736</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58114-2024</t>
        </is>
      </c>
      <c r="B17895" s="1" t="n">
        <v>45632</v>
      </c>
      <c r="C17895" s="1" t="n">
        <v>45736</v>
      </c>
      <c r="D17895" t="inlineStr">
        <is>
          <t>VÄRMLANDS LÄN</t>
        </is>
      </c>
      <c r="E17895" t="inlineStr">
        <is>
          <t>FORSHAGA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58134-2024</t>
        </is>
      </c>
      <c r="B17896" s="1" t="n">
        <v>45632</v>
      </c>
      <c r="C17896" s="1" t="n">
        <v>45736</v>
      </c>
      <c r="D17896" t="inlineStr">
        <is>
          <t>VÄRMLANDS LÄN</t>
        </is>
      </c>
      <c r="E17896" t="inlineStr">
        <is>
          <t>TORSBY</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58139-2024</t>
        </is>
      </c>
      <c r="B17897" s="1" t="n">
        <v>45632</v>
      </c>
      <c r="C17897" s="1" t="n">
        <v>45736</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58151-2024</t>
        </is>
      </c>
      <c r="B17898" s="1" t="n">
        <v>45632</v>
      </c>
      <c r="C17898" s="1" t="n">
        <v>45736</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58195-2024</t>
        </is>
      </c>
      <c r="B17899" s="1" t="n">
        <v>45632</v>
      </c>
      <c r="C17899" s="1" t="n">
        <v>45736</v>
      </c>
      <c r="D17899" t="inlineStr">
        <is>
          <t>VÄRMLANDS LÄN</t>
        </is>
      </c>
      <c r="E17899" t="inlineStr">
        <is>
          <t>EDA</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58223-2024</t>
        </is>
      </c>
      <c r="B17900" s="1" t="n">
        <v>45632</v>
      </c>
      <c r="C17900" s="1" t="n">
        <v>45736</v>
      </c>
      <c r="D17900" t="inlineStr">
        <is>
          <t>VÄRMLANDS LÄN</t>
        </is>
      </c>
      <c r="E17900" t="inlineStr">
        <is>
          <t>STORFORS</t>
        </is>
      </c>
      <c r="F17900" t="inlineStr">
        <is>
          <t>Bergvik skog väst AB</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58269-2024</t>
        </is>
      </c>
      <c r="B17901" s="1" t="n">
        <v>45632</v>
      </c>
      <c r="C17901" s="1" t="n">
        <v>45736</v>
      </c>
      <c r="D17901" t="inlineStr">
        <is>
          <t>VÄRMLANDS LÄN</t>
        </is>
      </c>
      <c r="E17901" t="inlineStr">
        <is>
          <t>FILIPSTAD</t>
        </is>
      </c>
      <c r="F17901" t="inlineStr">
        <is>
          <t>Bergvik skog väst AB</t>
        </is>
      </c>
      <c r="G17901" t="n">
        <v>14.9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58273-2024</t>
        </is>
      </c>
      <c r="B17902" s="1" t="n">
        <v>45632</v>
      </c>
      <c r="C17902" s="1" t="n">
        <v>45736</v>
      </c>
      <c r="D17902" t="inlineStr">
        <is>
          <t>VÄRMLANDS LÄN</t>
        </is>
      </c>
      <c r="E17902" t="inlineStr">
        <is>
          <t>ARVIKA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58290-2024</t>
        </is>
      </c>
      <c r="B17903" s="1" t="n">
        <v>45632</v>
      </c>
      <c r="C17903" s="1" t="n">
        <v>45736</v>
      </c>
      <c r="D17903" t="inlineStr">
        <is>
          <t>VÄRMLANDS LÄN</t>
        </is>
      </c>
      <c r="E17903" t="inlineStr">
        <is>
          <t>ÅRJÄNG</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58304-2024</t>
        </is>
      </c>
      <c r="B17904" s="1" t="n">
        <v>45632</v>
      </c>
      <c r="C17904" s="1" t="n">
        <v>45736</v>
      </c>
      <c r="D17904" t="inlineStr">
        <is>
          <t>VÄRMLANDS LÄN</t>
        </is>
      </c>
      <c r="E17904" t="inlineStr">
        <is>
          <t>TORSBY</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58124-2024</t>
        </is>
      </c>
      <c r="B17905" s="1" t="n">
        <v>45632</v>
      </c>
      <c r="C17905" s="1" t="n">
        <v>45736</v>
      </c>
      <c r="D17905" t="inlineStr">
        <is>
          <t>VÄRMLANDS LÄN</t>
        </is>
      </c>
      <c r="E17905" t="inlineStr">
        <is>
          <t>HAGFORS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58132-2024</t>
        </is>
      </c>
      <c r="B17906" s="1" t="n">
        <v>45632</v>
      </c>
      <c r="C17906" s="1" t="n">
        <v>45736</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58153-2024</t>
        </is>
      </c>
      <c r="B17907" s="1" t="n">
        <v>45632</v>
      </c>
      <c r="C17907" s="1" t="n">
        <v>45736</v>
      </c>
      <c r="D17907" t="inlineStr">
        <is>
          <t>VÄRMLANDS LÄN</t>
        </is>
      </c>
      <c r="E17907" t="inlineStr">
        <is>
          <t>ARVIKA</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58181-2024</t>
        </is>
      </c>
      <c r="B17908" s="1" t="n">
        <v>45632</v>
      </c>
      <c r="C17908" s="1" t="n">
        <v>45736</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58209-2024</t>
        </is>
      </c>
      <c r="B17909" s="1" t="n">
        <v>45632</v>
      </c>
      <c r="C17909" s="1" t="n">
        <v>45736</v>
      </c>
      <c r="D17909" t="inlineStr">
        <is>
          <t>VÄRMLANDS LÄN</t>
        </is>
      </c>
      <c r="E17909" t="inlineStr">
        <is>
          <t>SUNNE</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58246-2024</t>
        </is>
      </c>
      <c r="B17910" s="1" t="n">
        <v>45632</v>
      </c>
      <c r="C17910" s="1" t="n">
        <v>45736</v>
      </c>
      <c r="D17910" t="inlineStr">
        <is>
          <t>VÄRMLANDS LÄN</t>
        </is>
      </c>
      <c r="E17910" t="inlineStr">
        <is>
          <t>SUNNE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58255-2024</t>
        </is>
      </c>
      <c r="B17911" s="1" t="n">
        <v>45632</v>
      </c>
      <c r="C17911" s="1" t="n">
        <v>45736</v>
      </c>
      <c r="D17911" t="inlineStr">
        <is>
          <t>VÄRMLANDS LÄN</t>
        </is>
      </c>
      <c r="E17911" t="inlineStr">
        <is>
          <t>TORSBY</t>
        </is>
      </c>
      <c r="F17911" t="inlineStr">
        <is>
          <t>Bergvik skog väst AB</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58259-2024</t>
        </is>
      </c>
      <c r="B17912" s="1" t="n">
        <v>45632</v>
      </c>
      <c r="C17912" s="1" t="n">
        <v>45736</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58288-2024</t>
        </is>
      </c>
      <c r="B17913" s="1" t="n">
        <v>45632</v>
      </c>
      <c r="C17913" s="1" t="n">
        <v>45736</v>
      </c>
      <c r="D17913" t="inlineStr">
        <is>
          <t>VÄRMLANDS LÄN</t>
        </is>
      </c>
      <c r="E17913" t="inlineStr">
        <is>
          <t>TORSBY</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58152-2024</t>
        </is>
      </c>
      <c r="B17914" s="1" t="n">
        <v>45632</v>
      </c>
      <c r="C17914" s="1" t="n">
        <v>45736</v>
      </c>
      <c r="D17914" t="inlineStr">
        <is>
          <t>VÄRMLANDS LÄN</t>
        </is>
      </c>
      <c r="E17914" t="inlineStr">
        <is>
          <t>ÅRJÄNG</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58224-2024</t>
        </is>
      </c>
      <c r="B17915" s="1" t="n">
        <v>45632</v>
      </c>
      <c r="C17915" s="1" t="n">
        <v>45736</v>
      </c>
      <c r="D17915" t="inlineStr">
        <is>
          <t>VÄRMLANDS LÄN</t>
        </is>
      </c>
      <c r="E17915" t="inlineStr">
        <is>
          <t>SUNNE</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58240-2024</t>
        </is>
      </c>
      <c r="B17916" s="1" t="n">
        <v>45632</v>
      </c>
      <c r="C17916" s="1" t="n">
        <v>45736</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58245-2024</t>
        </is>
      </c>
      <c r="B17917" s="1" t="n">
        <v>45632</v>
      </c>
      <c r="C17917" s="1" t="n">
        <v>45736</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58258-2024</t>
        </is>
      </c>
      <c r="B17918" s="1" t="n">
        <v>45632</v>
      </c>
      <c r="C17918" s="1" t="n">
        <v>45736</v>
      </c>
      <c r="D17918" t="inlineStr">
        <is>
          <t>VÄRMLANDS LÄN</t>
        </is>
      </c>
      <c r="E17918" t="inlineStr">
        <is>
          <t>ARVIKA</t>
        </is>
      </c>
      <c r="F17918" t="inlineStr">
        <is>
          <t>Bergvik skog väst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58270-2024</t>
        </is>
      </c>
      <c r="B17919" s="1" t="n">
        <v>45632</v>
      </c>
      <c r="C17919" s="1" t="n">
        <v>45736</v>
      </c>
      <c r="D17919" t="inlineStr">
        <is>
          <t>VÄRMLANDS LÄN</t>
        </is>
      </c>
      <c r="E17919" t="inlineStr">
        <is>
          <t>ÅRJÄNG</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58382-2024</t>
        </is>
      </c>
      <c r="B17920" s="1" t="n">
        <v>45632</v>
      </c>
      <c r="C17920" s="1" t="n">
        <v>45736</v>
      </c>
      <c r="D17920" t="inlineStr">
        <is>
          <t>VÄRMLANDS LÄN</t>
        </is>
      </c>
      <c r="E17920" t="inlineStr">
        <is>
          <t>HAMMARÖ</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58425-2024</t>
        </is>
      </c>
      <c r="B17921" s="1" t="n">
        <v>45634</v>
      </c>
      <c r="C17921" s="1" t="n">
        <v>45736</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58424-2024</t>
        </is>
      </c>
      <c r="B17922" s="1" t="n">
        <v>45634</v>
      </c>
      <c r="C17922" s="1" t="n">
        <v>45736</v>
      </c>
      <c r="D17922" t="inlineStr">
        <is>
          <t>VÄRMLANDS LÄN</t>
        </is>
      </c>
      <c r="E17922" t="inlineStr">
        <is>
          <t>SUNNE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58428-2024</t>
        </is>
      </c>
      <c r="B17923" s="1" t="n">
        <v>45634</v>
      </c>
      <c r="C17923" s="1" t="n">
        <v>45736</v>
      </c>
      <c r="D17923" t="inlineStr">
        <is>
          <t>VÄRMLANDS LÄN</t>
        </is>
      </c>
      <c r="E17923" t="inlineStr">
        <is>
          <t>ÅRJÄNG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58423-2024</t>
        </is>
      </c>
      <c r="B17924" s="1" t="n">
        <v>45634</v>
      </c>
      <c r="C17924" s="1" t="n">
        <v>45736</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58427-2024</t>
        </is>
      </c>
      <c r="B17925" s="1" t="n">
        <v>45634</v>
      </c>
      <c r="C17925" s="1" t="n">
        <v>45736</v>
      </c>
      <c r="D17925" t="inlineStr">
        <is>
          <t>VÄRMLANDS LÄN</t>
        </is>
      </c>
      <c r="E17925" t="inlineStr">
        <is>
          <t>ÅRJÄNG</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58435-2024</t>
        </is>
      </c>
      <c r="B17926" s="1" t="n">
        <v>45634</v>
      </c>
      <c r="C17926" s="1" t="n">
        <v>45736</v>
      </c>
      <c r="D17926" t="inlineStr">
        <is>
          <t>VÄRMLANDS LÄN</t>
        </is>
      </c>
      <c r="E17926" t="inlineStr">
        <is>
          <t>ÅRJÄNG</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58492-2024</t>
        </is>
      </c>
      <c r="B17927" s="1" t="n">
        <v>45635</v>
      </c>
      <c r="C17927" s="1" t="n">
        <v>45736</v>
      </c>
      <c r="D17927" t="inlineStr">
        <is>
          <t>VÄRMLANDS LÄN</t>
        </is>
      </c>
      <c r="E17927" t="inlineStr">
        <is>
          <t>FORSHAGA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58576-2024</t>
        </is>
      </c>
      <c r="B17928" s="1" t="n">
        <v>45635</v>
      </c>
      <c r="C17928" s="1" t="n">
        <v>45736</v>
      </c>
      <c r="D17928" t="inlineStr">
        <is>
          <t>VÄRMLANDS LÄN</t>
        </is>
      </c>
      <c r="E17928" t="inlineStr">
        <is>
          <t>EDA</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58447-2024</t>
        </is>
      </c>
      <c r="B17929" s="1" t="n">
        <v>45635</v>
      </c>
      <c r="C17929" s="1" t="n">
        <v>45736</v>
      </c>
      <c r="D17929" t="inlineStr">
        <is>
          <t>VÄRMLANDS LÄN</t>
        </is>
      </c>
      <c r="E17929" t="inlineStr">
        <is>
          <t>FORSHAGA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58451-2024</t>
        </is>
      </c>
      <c r="B17930" s="1" t="n">
        <v>45635</v>
      </c>
      <c r="C17930" s="1" t="n">
        <v>45736</v>
      </c>
      <c r="D17930" t="inlineStr">
        <is>
          <t>VÄRMLANDS LÄN</t>
        </is>
      </c>
      <c r="E17930" t="inlineStr">
        <is>
          <t>FORSHAGA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58455-2024</t>
        </is>
      </c>
      <c r="B17931" s="1" t="n">
        <v>45635</v>
      </c>
      <c r="C17931" s="1" t="n">
        <v>45736</v>
      </c>
      <c r="D17931" t="inlineStr">
        <is>
          <t>VÄRMLANDS LÄN</t>
        </is>
      </c>
      <c r="E17931" t="inlineStr">
        <is>
          <t>SUNNE</t>
        </is>
      </c>
      <c r="F17931" t="inlineStr">
        <is>
          <t>Kyrkan</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58656-2024</t>
        </is>
      </c>
      <c r="B17932" s="1" t="n">
        <v>45635</v>
      </c>
      <c r="C17932" s="1" t="n">
        <v>45736</v>
      </c>
      <c r="D17932" t="inlineStr">
        <is>
          <t>VÄRMLANDS LÄN</t>
        </is>
      </c>
      <c r="E17932" t="inlineStr">
        <is>
          <t>KARLSTAD</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58705-2024</t>
        </is>
      </c>
      <c r="B17933" s="1" t="n">
        <v>45635</v>
      </c>
      <c r="C17933" s="1" t="n">
        <v>45736</v>
      </c>
      <c r="D17933" t="inlineStr">
        <is>
          <t>VÄRMLANDS LÄN</t>
        </is>
      </c>
      <c r="E17933" t="inlineStr">
        <is>
          <t>GRUMS</t>
        </is>
      </c>
      <c r="F17933" t="inlineStr">
        <is>
          <t>Bergvik skog väst AB</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58540-2024</t>
        </is>
      </c>
      <c r="B17934" s="1" t="n">
        <v>45635</v>
      </c>
      <c r="C17934" s="1" t="n">
        <v>45736</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58696-2024</t>
        </is>
      </c>
      <c r="B17935" s="1" t="n">
        <v>45635</v>
      </c>
      <c r="C17935" s="1" t="n">
        <v>45736</v>
      </c>
      <c r="D17935" t="inlineStr">
        <is>
          <t>VÄRMLANDS LÄN</t>
        </is>
      </c>
      <c r="E17935" t="inlineStr">
        <is>
          <t>SUNNE</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58586-2024</t>
        </is>
      </c>
      <c r="B17936" s="1" t="n">
        <v>45635</v>
      </c>
      <c r="C17936" s="1" t="n">
        <v>45736</v>
      </c>
      <c r="D17936" t="inlineStr">
        <is>
          <t>VÄRMLANDS LÄN</t>
        </is>
      </c>
      <c r="E17936" t="inlineStr">
        <is>
          <t>STORFORS</t>
        </is>
      </c>
      <c r="F17936" t="inlineStr">
        <is>
          <t>Bergvik skog väst AB</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58653-2024</t>
        </is>
      </c>
      <c r="B17937" s="1" t="n">
        <v>45635</v>
      </c>
      <c r="C17937" s="1" t="n">
        <v>45736</v>
      </c>
      <c r="D17937" t="inlineStr">
        <is>
          <t>VÄRMLANDS LÄN</t>
        </is>
      </c>
      <c r="E17937" t="inlineStr">
        <is>
          <t>KARLSTAD</t>
        </is>
      </c>
      <c r="G17937" t="n">
        <v>18.5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58767-2024</t>
        </is>
      </c>
      <c r="B17938" s="1" t="n">
        <v>45635</v>
      </c>
      <c r="C17938" s="1" t="n">
        <v>45736</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58682-2024</t>
        </is>
      </c>
      <c r="B17939" s="1" t="n">
        <v>45635</v>
      </c>
      <c r="C17939" s="1" t="n">
        <v>45736</v>
      </c>
      <c r="D17939" t="inlineStr">
        <is>
          <t>VÄRMLANDS LÄN</t>
        </is>
      </c>
      <c r="E17939" t="inlineStr">
        <is>
          <t>EDA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58788-2024</t>
        </is>
      </c>
      <c r="B17940" s="1" t="n">
        <v>45636</v>
      </c>
      <c r="C17940" s="1" t="n">
        <v>45736</v>
      </c>
      <c r="D17940" t="inlineStr">
        <is>
          <t>VÄRMLANDS LÄN</t>
        </is>
      </c>
      <c r="E17940" t="inlineStr">
        <is>
          <t>ÅRJÄNG</t>
        </is>
      </c>
      <c r="G17940" t="n">
        <v>12.4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58639-2024</t>
        </is>
      </c>
      <c r="B17941" s="1" t="n">
        <v>45635</v>
      </c>
      <c r="C17941" s="1" t="n">
        <v>45736</v>
      </c>
      <c r="D17941" t="inlineStr">
        <is>
          <t>VÄRMLANDS LÄN</t>
        </is>
      </c>
      <c r="E17941" t="inlineStr">
        <is>
          <t>SÄFFLE</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58664-2024</t>
        </is>
      </c>
      <c r="B17942" s="1" t="n">
        <v>45635</v>
      </c>
      <c r="C17942" s="1" t="n">
        <v>45736</v>
      </c>
      <c r="D17942" t="inlineStr">
        <is>
          <t>VÄRMLANDS LÄN</t>
        </is>
      </c>
      <c r="E17942" t="inlineStr">
        <is>
          <t>SUNNE</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58707-2024</t>
        </is>
      </c>
      <c r="B17943" s="1" t="n">
        <v>45635</v>
      </c>
      <c r="C17943" s="1" t="n">
        <v>45736</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58769-2024</t>
        </is>
      </c>
      <c r="B17944" s="1" t="n">
        <v>45635</v>
      </c>
      <c r="C17944" s="1" t="n">
        <v>45736</v>
      </c>
      <c r="D17944" t="inlineStr">
        <is>
          <t>VÄRMLANDS LÄN</t>
        </is>
      </c>
      <c r="E17944" t="inlineStr">
        <is>
          <t>ÅRJÄNG</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58789-2024</t>
        </is>
      </c>
      <c r="B17945" s="1" t="n">
        <v>45636</v>
      </c>
      <c r="C17945" s="1" t="n">
        <v>45736</v>
      </c>
      <c r="D17945" t="inlineStr">
        <is>
          <t>VÄRMLANDS LÄN</t>
        </is>
      </c>
      <c r="E17945" t="inlineStr">
        <is>
          <t>ÅRJÄNG</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58786-2024</t>
        </is>
      </c>
      <c r="B17946" s="1" t="n">
        <v>45635</v>
      </c>
      <c r="C17946" s="1" t="n">
        <v>45736</v>
      </c>
      <c r="D17946" t="inlineStr">
        <is>
          <t>VÄRMLANDS LÄN</t>
        </is>
      </c>
      <c r="E17946" t="inlineStr">
        <is>
          <t>TORSBY</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58822-2024</t>
        </is>
      </c>
      <c r="B17947" s="1" t="n">
        <v>45636</v>
      </c>
      <c r="C17947" s="1" t="n">
        <v>45736</v>
      </c>
      <c r="D17947" t="inlineStr">
        <is>
          <t>VÄRMLANDS LÄN</t>
        </is>
      </c>
      <c r="E17947" t="inlineStr">
        <is>
          <t>SUNNE</t>
        </is>
      </c>
      <c r="G17947" t="n">
        <v>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58976-2024</t>
        </is>
      </c>
      <c r="B17948" s="1" t="n">
        <v>45636</v>
      </c>
      <c r="C17948" s="1" t="n">
        <v>45736</v>
      </c>
      <c r="D17948" t="inlineStr">
        <is>
          <t>VÄRMLANDS LÄN</t>
        </is>
      </c>
      <c r="E17948" t="inlineStr">
        <is>
          <t>TORSBY</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59012-2024</t>
        </is>
      </c>
      <c r="B17949" s="1" t="n">
        <v>45636</v>
      </c>
      <c r="C17949" s="1" t="n">
        <v>45736</v>
      </c>
      <c r="D17949" t="inlineStr">
        <is>
          <t>VÄRMLANDS LÄN</t>
        </is>
      </c>
      <c r="E17949" t="inlineStr">
        <is>
          <t>KIL</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58964-2024</t>
        </is>
      </c>
      <c r="B17950" s="1" t="n">
        <v>45636</v>
      </c>
      <c r="C17950" s="1" t="n">
        <v>45736</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59047-2024</t>
        </is>
      </c>
      <c r="B17951" s="1" t="n">
        <v>45636</v>
      </c>
      <c r="C17951" s="1" t="n">
        <v>45736</v>
      </c>
      <c r="D17951" t="inlineStr">
        <is>
          <t>VÄRMLANDS LÄN</t>
        </is>
      </c>
      <c r="E17951" t="inlineStr">
        <is>
          <t>SUNNE</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59071-2024</t>
        </is>
      </c>
      <c r="B17952" s="1" t="n">
        <v>45637</v>
      </c>
      <c r="C17952" s="1" t="n">
        <v>45736</v>
      </c>
      <c r="D17952" t="inlineStr">
        <is>
          <t>VÄRMLANDS LÄN</t>
        </is>
      </c>
      <c r="E17952" t="inlineStr">
        <is>
          <t>ÅRJÄNG</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58935-2024</t>
        </is>
      </c>
      <c r="B17953" s="1" t="n">
        <v>45636</v>
      </c>
      <c r="C17953" s="1" t="n">
        <v>45736</v>
      </c>
      <c r="D17953" t="inlineStr">
        <is>
          <t>VÄRMLANDS LÄN</t>
        </is>
      </c>
      <c r="E17953" t="inlineStr">
        <is>
          <t>KIL</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59044-2024</t>
        </is>
      </c>
      <c r="B17954" s="1" t="n">
        <v>45636</v>
      </c>
      <c r="C17954" s="1" t="n">
        <v>45736</v>
      </c>
      <c r="D17954" t="inlineStr">
        <is>
          <t>VÄRMLANDS LÄN</t>
        </is>
      </c>
      <c r="E17954" t="inlineStr">
        <is>
          <t>SUNNE</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59068-2024</t>
        </is>
      </c>
      <c r="B17955" s="1" t="n">
        <v>45636</v>
      </c>
      <c r="C17955" s="1" t="n">
        <v>45736</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58948-2024</t>
        </is>
      </c>
      <c r="B17956" s="1" t="n">
        <v>45636</v>
      </c>
      <c r="C17956" s="1" t="n">
        <v>45736</v>
      </c>
      <c r="D17956" t="inlineStr">
        <is>
          <t>VÄRMLANDS LÄN</t>
        </is>
      </c>
      <c r="E17956" t="inlineStr">
        <is>
          <t>TORSBY</t>
        </is>
      </c>
      <c r="F17956" t="inlineStr">
        <is>
          <t>Bergvik skog väst AB</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58868-2024</t>
        </is>
      </c>
      <c r="B17957" s="1" t="n">
        <v>45636</v>
      </c>
      <c r="C17957" s="1" t="n">
        <v>45736</v>
      </c>
      <c r="D17957" t="inlineStr">
        <is>
          <t>VÄRMLANDS LÄN</t>
        </is>
      </c>
      <c r="E17957" t="inlineStr">
        <is>
          <t>FORSHAGA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59055-2024</t>
        </is>
      </c>
      <c r="B17958" s="1" t="n">
        <v>45636</v>
      </c>
      <c r="C17958" s="1" t="n">
        <v>45736</v>
      </c>
      <c r="D17958" t="inlineStr">
        <is>
          <t>VÄRMLANDS LÄN</t>
        </is>
      </c>
      <c r="E17958" t="inlineStr">
        <is>
          <t>KARLSTAD</t>
        </is>
      </c>
      <c r="G17958" t="n">
        <v>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59035-2024</t>
        </is>
      </c>
      <c r="B17959" s="1" t="n">
        <v>45636</v>
      </c>
      <c r="C17959" s="1" t="n">
        <v>45736</v>
      </c>
      <c r="D17959" t="inlineStr">
        <is>
          <t>VÄRMLANDS LÄN</t>
        </is>
      </c>
      <c r="E17959" t="inlineStr">
        <is>
          <t>KIL</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58860-2024</t>
        </is>
      </c>
      <c r="B17960" s="1" t="n">
        <v>45636</v>
      </c>
      <c r="C17960" s="1" t="n">
        <v>45736</v>
      </c>
      <c r="D17960" t="inlineStr">
        <is>
          <t>VÄRMLANDS LÄN</t>
        </is>
      </c>
      <c r="E17960" t="inlineStr">
        <is>
          <t>SUNNE</t>
        </is>
      </c>
      <c r="F17960" t="inlineStr">
        <is>
          <t>Kyrkan</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58815-2024</t>
        </is>
      </c>
      <c r="B17961" s="1" t="n">
        <v>45636</v>
      </c>
      <c r="C17961" s="1" t="n">
        <v>45736</v>
      </c>
      <c r="D17961" t="inlineStr">
        <is>
          <t>VÄRMLANDS LÄN</t>
        </is>
      </c>
      <c r="E17961" t="inlineStr">
        <is>
          <t>EDA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59288-2024</t>
        </is>
      </c>
      <c r="B17962" s="1" t="n">
        <v>45636</v>
      </c>
      <c r="C17962" s="1" t="n">
        <v>45736</v>
      </c>
      <c r="D17962" t="inlineStr">
        <is>
          <t>VÄRMLANDS LÄN</t>
        </is>
      </c>
      <c r="E17962" t="inlineStr">
        <is>
          <t>SUNNE</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59070-2024</t>
        </is>
      </c>
      <c r="B17963" s="1" t="n">
        <v>45636</v>
      </c>
      <c r="C17963" s="1" t="n">
        <v>45736</v>
      </c>
      <c r="D17963" t="inlineStr">
        <is>
          <t>VÄRMLANDS LÄN</t>
        </is>
      </c>
      <c r="E17963" t="inlineStr">
        <is>
          <t>ÅRJÄNG</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59295-2024</t>
        </is>
      </c>
      <c r="B17964" s="1" t="n">
        <v>45636</v>
      </c>
      <c r="C17964" s="1" t="n">
        <v>45736</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59034-2024</t>
        </is>
      </c>
      <c r="B17965" s="1" t="n">
        <v>45636</v>
      </c>
      <c r="C17965" s="1" t="n">
        <v>45736</v>
      </c>
      <c r="D17965" t="inlineStr">
        <is>
          <t>VÄRMLANDS LÄN</t>
        </is>
      </c>
      <c r="E17965" t="inlineStr">
        <is>
          <t>SUNNE</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59014-2024</t>
        </is>
      </c>
      <c r="B17966" s="1" t="n">
        <v>45636</v>
      </c>
      <c r="C17966" s="1" t="n">
        <v>45736</v>
      </c>
      <c r="D17966" t="inlineStr">
        <is>
          <t>VÄRMLANDS LÄN</t>
        </is>
      </c>
      <c r="E17966" t="inlineStr">
        <is>
          <t>ÅRJÄNG</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59005-2024</t>
        </is>
      </c>
      <c r="B17967" s="1" t="n">
        <v>45636</v>
      </c>
      <c r="C17967" s="1" t="n">
        <v>45736</v>
      </c>
      <c r="D17967" t="inlineStr">
        <is>
          <t>VÄRMLANDS LÄN</t>
        </is>
      </c>
      <c r="E17967" t="inlineStr">
        <is>
          <t>TORSBY</t>
        </is>
      </c>
      <c r="G17967" t="n">
        <v>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58945-2024</t>
        </is>
      </c>
      <c r="B17968" s="1" t="n">
        <v>45636</v>
      </c>
      <c r="C17968" s="1" t="n">
        <v>45736</v>
      </c>
      <c r="D17968" t="inlineStr">
        <is>
          <t>VÄRMLANDS LÄN</t>
        </is>
      </c>
      <c r="E17968" t="inlineStr">
        <is>
          <t>TORSBY</t>
        </is>
      </c>
      <c r="F17968" t="inlineStr">
        <is>
          <t>Bergvik skog väst AB</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59045-2024</t>
        </is>
      </c>
      <c r="B17969" s="1" t="n">
        <v>45636</v>
      </c>
      <c r="C17969" s="1" t="n">
        <v>45736</v>
      </c>
      <c r="D17969" t="inlineStr">
        <is>
          <t>VÄRMLANDS LÄN</t>
        </is>
      </c>
      <c r="E17969" t="inlineStr">
        <is>
          <t>ARVIKA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59073-2024</t>
        </is>
      </c>
      <c r="B17970" s="1" t="n">
        <v>45637</v>
      </c>
      <c r="C17970" s="1" t="n">
        <v>45736</v>
      </c>
      <c r="D17970" t="inlineStr">
        <is>
          <t>VÄRMLANDS LÄN</t>
        </is>
      </c>
      <c r="E17970" t="inlineStr">
        <is>
          <t>ÅRJÄNG</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59190-2024</t>
        </is>
      </c>
      <c r="B17971" s="1" t="n">
        <v>45636</v>
      </c>
      <c r="C17971" s="1" t="n">
        <v>45736</v>
      </c>
      <c r="D17971" t="inlineStr">
        <is>
          <t>VÄRMLANDS LÄN</t>
        </is>
      </c>
      <c r="E17971" t="inlineStr">
        <is>
          <t>KRISTINEHAMN</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59203-2024</t>
        </is>
      </c>
      <c r="B17972" s="1" t="n">
        <v>45636</v>
      </c>
      <c r="C17972" s="1" t="n">
        <v>45736</v>
      </c>
      <c r="D17972" t="inlineStr">
        <is>
          <t>VÄRMLANDS LÄN</t>
        </is>
      </c>
      <c r="E17972" t="inlineStr">
        <is>
          <t>KRISTINEHAMN</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59261-2024</t>
        </is>
      </c>
      <c r="B17973" s="1" t="n">
        <v>45636</v>
      </c>
      <c r="C17973" s="1" t="n">
        <v>45736</v>
      </c>
      <c r="D17973" t="inlineStr">
        <is>
          <t>VÄRMLANDS LÄN</t>
        </is>
      </c>
      <c r="E17973" t="inlineStr">
        <is>
          <t>SUNNE</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59291-2024</t>
        </is>
      </c>
      <c r="B17974" s="1" t="n">
        <v>45636</v>
      </c>
      <c r="C17974" s="1" t="n">
        <v>45736</v>
      </c>
      <c r="D17974" t="inlineStr">
        <is>
          <t>VÄRMLANDS LÄN</t>
        </is>
      </c>
      <c r="E17974" t="inlineStr">
        <is>
          <t>SUNNE</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59120-2024</t>
        </is>
      </c>
      <c r="B17975" s="1" t="n">
        <v>45637</v>
      </c>
      <c r="C17975" s="1" t="n">
        <v>45736</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59096-2024</t>
        </is>
      </c>
      <c r="B17976" s="1" t="n">
        <v>45637</v>
      </c>
      <c r="C17976" s="1" t="n">
        <v>45736</v>
      </c>
      <c r="D17976" t="inlineStr">
        <is>
          <t>VÄRMLANDS LÄN</t>
        </is>
      </c>
      <c r="E17976" t="inlineStr">
        <is>
          <t>KRISTINEHAMN</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59100-2024</t>
        </is>
      </c>
      <c r="B17977" s="1" t="n">
        <v>45637</v>
      </c>
      <c r="C17977" s="1" t="n">
        <v>45736</v>
      </c>
      <c r="D17977" t="inlineStr">
        <is>
          <t>VÄRMLANDS LÄN</t>
        </is>
      </c>
      <c r="E17977" t="inlineStr">
        <is>
          <t>ARVIKA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59104-2024</t>
        </is>
      </c>
      <c r="B17978" s="1" t="n">
        <v>45637</v>
      </c>
      <c r="C17978" s="1" t="n">
        <v>45736</v>
      </c>
      <c r="D17978" t="inlineStr">
        <is>
          <t>VÄRMLANDS LÄN</t>
        </is>
      </c>
      <c r="E17978" t="inlineStr">
        <is>
          <t>ARVIKA</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59143-2024</t>
        </is>
      </c>
      <c r="B17979" s="1" t="n">
        <v>45637</v>
      </c>
      <c r="C17979" s="1" t="n">
        <v>45736</v>
      </c>
      <c r="D17979" t="inlineStr">
        <is>
          <t>VÄRMLANDS LÄN</t>
        </is>
      </c>
      <c r="E17979" t="inlineStr">
        <is>
          <t>SUNNE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59172-2024</t>
        </is>
      </c>
      <c r="B17980" s="1" t="n">
        <v>45637</v>
      </c>
      <c r="C17980" s="1" t="n">
        <v>45736</v>
      </c>
      <c r="D17980" t="inlineStr">
        <is>
          <t>VÄRMLANDS LÄN</t>
        </is>
      </c>
      <c r="E17980" t="inlineStr">
        <is>
          <t>HAGFORS</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59223-2024</t>
        </is>
      </c>
      <c r="B17981" s="1" t="n">
        <v>45637</v>
      </c>
      <c r="C17981" s="1" t="n">
        <v>45736</v>
      </c>
      <c r="D17981" t="inlineStr">
        <is>
          <t>VÄRMLANDS LÄN</t>
        </is>
      </c>
      <c r="E17981" t="inlineStr">
        <is>
          <t>ÅRJÄNG</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59247-2024</t>
        </is>
      </c>
      <c r="B17982" s="1" t="n">
        <v>45637</v>
      </c>
      <c r="C17982" s="1" t="n">
        <v>45736</v>
      </c>
      <c r="D17982" t="inlineStr">
        <is>
          <t>VÄRMLANDS LÄN</t>
        </is>
      </c>
      <c r="E17982" t="inlineStr">
        <is>
          <t>HAGFORS</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59329-2024</t>
        </is>
      </c>
      <c r="B17983" s="1" t="n">
        <v>45637</v>
      </c>
      <c r="C17983" s="1" t="n">
        <v>45736</v>
      </c>
      <c r="D17983" t="inlineStr">
        <is>
          <t>VÄRMLANDS LÄN</t>
        </is>
      </c>
      <c r="E17983" t="inlineStr">
        <is>
          <t>HAGFORS</t>
        </is>
      </c>
      <c r="G17983" t="n">
        <v>3.8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59328-2024</t>
        </is>
      </c>
      <c r="B17984" s="1" t="n">
        <v>45637</v>
      </c>
      <c r="C17984" s="1" t="n">
        <v>45736</v>
      </c>
      <c r="D17984" t="inlineStr">
        <is>
          <t>VÄRMLANDS LÄN</t>
        </is>
      </c>
      <c r="E17984" t="inlineStr">
        <is>
          <t>HAGFORS</t>
        </is>
      </c>
      <c r="G17984" t="n">
        <v>4.4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59340-2024</t>
        </is>
      </c>
      <c r="B17985" s="1" t="n">
        <v>45637</v>
      </c>
      <c r="C17985" s="1" t="n">
        <v>45736</v>
      </c>
      <c r="D17985" t="inlineStr">
        <is>
          <t>VÄRMLANDS LÄN</t>
        </is>
      </c>
      <c r="E17985" t="inlineStr">
        <is>
          <t>MUNKFORS</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59080-2024</t>
        </is>
      </c>
      <c r="B17986" s="1" t="n">
        <v>45637</v>
      </c>
      <c r="C17986" s="1" t="n">
        <v>45736</v>
      </c>
      <c r="D17986" t="inlineStr">
        <is>
          <t>VÄRMLANDS LÄN</t>
        </is>
      </c>
      <c r="E17986" t="inlineStr">
        <is>
          <t>TORSBY</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59331-2024</t>
        </is>
      </c>
      <c r="B17987" s="1" t="n">
        <v>45637</v>
      </c>
      <c r="C17987" s="1" t="n">
        <v>45736</v>
      </c>
      <c r="D17987" t="inlineStr">
        <is>
          <t>VÄRMLANDS LÄN</t>
        </is>
      </c>
      <c r="E17987" t="inlineStr">
        <is>
          <t>HAGFORS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59335-2024</t>
        </is>
      </c>
      <c r="B17988" s="1" t="n">
        <v>45637</v>
      </c>
      <c r="C17988" s="1" t="n">
        <v>45736</v>
      </c>
      <c r="D17988" t="inlineStr">
        <is>
          <t>VÄRMLANDS LÄN</t>
        </is>
      </c>
      <c r="E17988" t="inlineStr">
        <is>
          <t>SUNNE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59423-2024</t>
        </is>
      </c>
      <c r="B17989" s="1" t="n">
        <v>45638</v>
      </c>
      <c r="C17989" s="1" t="n">
        <v>45736</v>
      </c>
      <c r="D17989" t="inlineStr">
        <is>
          <t>VÄRMLANDS LÄN</t>
        </is>
      </c>
      <c r="E17989" t="inlineStr">
        <is>
          <t>TORSBY</t>
        </is>
      </c>
      <c r="G17989" t="n">
        <v>23.7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59484-2024</t>
        </is>
      </c>
      <c r="B17990" s="1" t="n">
        <v>45638</v>
      </c>
      <c r="C17990" s="1" t="n">
        <v>45736</v>
      </c>
      <c r="D17990" t="inlineStr">
        <is>
          <t>VÄRMLANDS LÄN</t>
        </is>
      </c>
      <c r="E17990" t="inlineStr">
        <is>
          <t>ÅRJÄNG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59552-2024</t>
        </is>
      </c>
      <c r="B17991" s="1" t="n">
        <v>45638</v>
      </c>
      <c r="C17991" s="1" t="n">
        <v>45736</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59515-2024</t>
        </is>
      </c>
      <c r="B17992" s="1" t="n">
        <v>45638</v>
      </c>
      <c r="C17992" s="1" t="n">
        <v>45736</v>
      </c>
      <c r="D17992" t="inlineStr">
        <is>
          <t>VÄRMLANDS LÄN</t>
        </is>
      </c>
      <c r="E17992" t="inlineStr">
        <is>
          <t>EDA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59612-2024</t>
        </is>
      </c>
      <c r="B17993" s="1" t="n">
        <v>45638</v>
      </c>
      <c r="C17993" s="1" t="n">
        <v>45736</v>
      </c>
      <c r="D17993" t="inlineStr">
        <is>
          <t>VÄRMLANDS LÄN</t>
        </is>
      </c>
      <c r="E17993" t="inlineStr">
        <is>
          <t>KRISTINEHAMN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59625-2024</t>
        </is>
      </c>
      <c r="B17994" s="1" t="n">
        <v>45638</v>
      </c>
      <c r="C17994" s="1" t="n">
        <v>45736</v>
      </c>
      <c r="D17994" t="inlineStr">
        <is>
          <t>VÄRMLANDS LÄN</t>
        </is>
      </c>
      <c r="E17994" t="inlineStr">
        <is>
          <t>ARVIKA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59605-2024</t>
        </is>
      </c>
      <c r="B17995" s="1" t="n">
        <v>45638</v>
      </c>
      <c r="C17995" s="1" t="n">
        <v>45736</v>
      </c>
      <c r="D17995" t="inlineStr">
        <is>
          <t>VÄRMLANDS LÄN</t>
        </is>
      </c>
      <c r="E17995" t="inlineStr">
        <is>
          <t>ÅRJÄNG</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59613-2024</t>
        </is>
      </c>
      <c r="B17996" s="1" t="n">
        <v>45638</v>
      </c>
      <c r="C17996" s="1" t="n">
        <v>45736</v>
      </c>
      <c r="D17996" t="inlineStr">
        <is>
          <t>VÄRMLANDS LÄN</t>
        </is>
      </c>
      <c r="E17996" t="inlineStr">
        <is>
          <t>TORSBY</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59622-2024</t>
        </is>
      </c>
      <c r="B17997" s="1" t="n">
        <v>45638</v>
      </c>
      <c r="C17997" s="1" t="n">
        <v>45736</v>
      </c>
      <c r="D17997" t="inlineStr">
        <is>
          <t>VÄRMLANDS LÄN</t>
        </is>
      </c>
      <c r="E17997" t="inlineStr">
        <is>
          <t>FILIPSTAD</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59603-2024</t>
        </is>
      </c>
      <c r="B17998" s="1" t="n">
        <v>45638</v>
      </c>
      <c r="C17998" s="1" t="n">
        <v>45736</v>
      </c>
      <c r="D17998" t="inlineStr">
        <is>
          <t>VÄRMLANDS LÄN</t>
        </is>
      </c>
      <c r="E17998" t="inlineStr">
        <is>
          <t>TORSBY</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59624-2024</t>
        </is>
      </c>
      <c r="B17999" s="1" t="n">
        <v>45638</v>
      </c>
      <c r="C17999" s="1" t="n">
        <v>45736</v>
      </c>
      <c r="D17999" t="inlineStr">
        <is>
          <t>VÄRMLANDS LÄN</t>
        </is>
      </c>
      <c r="E17999" t="inlineStr">
        <is>
          <t>FORSHAGA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59479-2024</t>
        </is>
      </c>
      <c r="B18000" s="1" t="n">
        <v>45638</v>
      </c>
      <c r="C18000" s="1" t="n">
        <v>45736</v>
      </c>
      <c r="D18000" t="inlineStr">
        <is>
          <t>VÄRMLANDS LÄN</t>
        </is>
      </c>
      <c r="E18000" t="inlineStr">
        <is>
          <t>ÅRJÄNG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59438-2024</t>
        </is>
      </c>
      <c r="B18001" s="1" t="n">
        <v>45638</v>
      </c>
      <c r="C18001" s="1" t="n">
        <v>45736</v>
      </c>
      <c r="D18001" t="inlineStr">
        <is>
          <t>VÄRMLANDS LÄN</t>
        </is>
      </c>
      <c r="E18001" t="inlineStr">
        <is>
          <t>ÅRJÄNG</t>
        </is>
      </c>
      <c r="F18001" t="inlineStr">
        <is>
          <t>Bergvik skog väst AB</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59399-2024</t>
        </is>
      </c>
      <c r="B18002" s="1" t="n">
        <v>45638</v>
      </c>
      <c r="C18002" s="1" t="n">
        <v>45736</v>
      </c>
      <c r="D18002" t="inlineStr">
        <is>
          <t>VÄRMLANDS LÄN</t>
        </is>
      </c>
      <c r="E18002" t="inlineStr">
        <is>
          <t>ARVIKA</t>
        </is>
      </c>
      <c r="F18002" t="inlineStr">
        <is>
          <t>Bergvik skog väst AB</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59628-2024</t>
        </is>
      </c>
      <c r="B18003" s="1" t="n">
        <v>45638</v>
      </c>
      <c r="C18003" s="1" t="n">
        <v>45736</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59632-2024</t>
        </is>
      </c>
      <c r="B18004" s="1" t="n">
        <v>45638</v>
      </c>
      <c r="C18004" s="1" t="n">
        <v>45736</v>
      </c>
      <c r="D18004" t="inlineStr">
        <is>
          <t>VÄRMLANDS LÄN</t>
        </is>
      </c>
      <c r="E18004" t="inlineStr">
        <is>
          <t>SÄFFLE</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59610-2024</t>
        </is>
      </c>
      <c r="B18005" s="1" t="n">
        <v>45638</v>
      </c>
      <c r="C18005" s="1" t="n">
        <v>45736</v>
      </c>
      <c r="D18005" t="inlineStr">
        <is>
          <t>VÄRMLANDS LÄN</t>
        </is>
      </c>
      <c r="E18005" t="inlineStr">
        <is>
          <t>TORSBY</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59528-2024</t>
        </is>
      </c>
      <c r="B18006" s="1" t="n">
        <v>45638</v>
      </c>
      <c r="C18006" s="1" t="n">
        <v>45736</v>
      </c>
      <c r="D18006" t="inlineStr">
        <is>
          <t>VÄRMLANDS LÄN</t>
        </is>
      </c>
      <c r="E18006" t="inlineStr">
        <is>
          <t>KARLSTAD</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59481-2024</t>
        </is>
      </c>
      <c r="B18007" s="1" t="n">
        <v>45638</v>
      </c>
      <c r="C18007" s="1" t="n">
        <v>45736</v>
      </c>
      <c r="D18007" t="inlineStr">
        <is>
          <t>VÄRMLANDS LÄN</t>
        </is>
      </c>
      <c r="E18007" t="inlineStr">
        <is>
          <t>HAGFORS</t>
        </is>
      </c>
      <c r="F18007" t="inlineStr">
        <is>
          <t>Bergvik skog väst AB</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59436-2024</t>
        </is>
      </c>
      <c r="B18008" s="1" t="n">
        <v>45638</v>
      </c>
      <c r="C18008" s="1" t="n">
        <v>45736</v>
      </c>
      <c r="D18008" t="inlineStr">
        <is>
          <t>VÄRMLANDS LÄN</t>
        </is>
      </c>
      <c r="E18008" t="inlineStr">
        <is>
          <t>FILIPSTAD</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59428-2024</t>
        </is>
      </c>
      <c r="B18009" s="1" t="n">
        <v>45638</v>
      </c>
      <c r="C18009" s="1" t="n">
        <v>45736</v>
      </c>
      <c r="D18009" t="inlineStr">
        <is>
          <t>VÄRMLANDS LÄN</t>
        </is>
      </c>
      <c r="E18009" t="inlineStr">
        <is>
          <t>TORSBY</t>
        </is>
      </c>
      <c r="G18009" t="n">
        <v>8.699999999999999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59371-2024</t>
        </is>
      </c>
      <c r="B18010" s="1" t="n">
        <v>45638</v>
      </c>
      <c r="C18010" s="1" t="n">
        <v>45736</v>
      </c>
      <c r="D18010" t="inlineStr">
        <is>
          <t>VÄRMLANDS LÄN</t>
        </is>
      </c>
      <c r="E18010" t="inlineStr">
        <is>
          <t>SUNNE</t>
        </is>
      </c>
      <c r="F18010" t="inlineStr">
        <is>
          <t>Bergvik skog väst AB</t>
        </is>
      </c>
      <c r="G18010" t="n">
        <v>3.9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59449-2024</t>
        </is>
      </c>
      <c r="B18011" s="1" t="n">
        <v>45638</v>
      </c>
      <c r="C18011" s="1" t="n">
        <v>45736</v>
      </c>
      <c r="D18011" t="inlineStr">
        <is>
          <t>VÄRMLANDS LÄN</t>
        </is>
      </c>
      <c r="E18011" t="inlineStr">
        <is>
          <t>HAGFORS</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59723-2024</t>
        </is>
      </c>
      <c r="B18012" s="1" t="n">
        <v>45639</v>
      </c>
      <c r="C18012" s="1" t="n">
        <v>45736</v>
      </c>
      <c r="D18012" t="inlineStr">
        <is>
          <t>VÄRMLANDS LÄN</t>
        </is>
      </c>
      <c r="E18012" t="inlineStr">
        <is>
          <t>SÄFFLE</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59731-2024</t>
        </is>
      </c>
      <c r="B18013" s="1" t="n">
        <v>45639</v>
      </c>
      <c r="C18013" s="1" t="n">
        <v>45736</v>
      </c>
      <c r="D18013" t="inlineStr">
        <is>
          <t>VÄRMLANDS LÄN</t>
        </is>
      </c>
      <c r="E18013" t="inlineStr">
        <is>
          <t>SÄFFLE</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59812-2024</t>
        </is>
      </c>
      <c r="B18014" s="1" t="n">
        <v>45639</v>
      </c>
      <c r="C18014" s="1" t="n">
        <v>45736</v>
      </c>
      <c r="D18014" t="inlineStr">
        <is>
          <t>VÄRMLANDS LÄN</t>
        </is>
      </c>
      <c r="E18014" t="inlineStr">
        <is>
          <t>SÄFFLE</t>
        </is>
      </c>
      <c r="G18014" t="n">
        <v>8.1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59734-2024</t>
        </is>
      </c>
      <c r="B18015" s="1" t="n">
        <v>45639</v>
      </c>
      <c r="C18015" s="1" t="n">
        <v>45736</v>
      </c>
      <c r="D18015" t="inlineStr">
        <is>
          <t>VÄRMLANDS LÄN</t>
        </is>
      </c>
      <c r="E18015" t="inlineStr">
        <is>
          <t>SÄFFLE</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59810-2024</t>
        </is>
      </c>
      <c r="B18016" s="1" t="n">
        <v>45639</v>
      </c>
      <c r="C18016" s="1" t="n">
        <v>45736</v>
      </c>
      <c r="D18016" t="inlineStr">
        <is>
          <t>VÄRMLANDS LÄN</t>
        </is>
      </c>
      <c r="E18016" t="inlineStr">
        <is>
          <t>ÅRJÄNG</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59814-2024</t>
        </is>
      </c>
      <c r="B18017" s="1" t="n">
        <v>45639</v>
      </c>
      <c r="C18017" s="1" t="n">
        <v>45736</v>
      </c>
      <c r="D18017" t="inlineStr">
        <is>
          <t>VÄRMLANDS LÄN</t>
        </is>
      </c>
      <c r="E18017" t="inlineStr">
        <is>
          <t>HAGFORS</t>
        </is>
      </c>
      <c r="F18017" t="inlineStr">
        <is>
          <t>Bergvik skog väst AB</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59791-2024</t>
        </is>
      </c>
      <c r="B18018" s="1" t="n">
        <v>45639</v>
      </c>
      <c r="C18018" s="1" t="n">
        <v>45736</v>
      </c>
      <c r="D18018" t="inlineStr">
        <is>
          <t>VÄRMLANDS LÄN</t>
        </is>
      </c>
      <c r="E18018" t="inlineStr">
        <is>
          <t>KRISTINEHAMN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59807-2024</t>
        </is>
      </c>
      <c r="B18019" s="1" t="n">
        <v>45639</v>
      </c>
      <c r="C18019" s="1" t="n">
        <v>45736</v>
      </c>
      <c r="D18019" t="inlineStr">
        <is>
          <t>VÄRMLANDS LÄN</t>
        </is>
      </c>
      <c r="E18019" t="inlineStr">
        <is>
          <t>SÄFFLE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59737-2024</t>
        </is>
      </c>
      <c r="B18020" s="1" t="n">
        <v>45639</v>
      </c>
      <c r="C18020" s="1" t="n">
        <v>45736</v>
      </c>
      <c r="D18020" t="inlineStr">
        <is>
          <t>VÄRMLANDS LÄN</t>
        </is>
      </c>
      <c r="E18020" t="inlineStr">
        <is>
          <t>SÄFFLE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59729-2024</t>
        </is>
      </c>
      <c r="B18021" s="1" t="n">
        <v>45639</v>
      </c>
      <c r="C18021" s="1" t="n">
        <v>45736</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59708-2024</t>
        </is>
      </c>
      <c r="B18022" s="1" t="n">
        <v>45639</v>
      </c>
      <c r="C18022" s="1" t="n">
        <v>45736</v>
      </c>
      <c r="D18022" t="inlineStr">
        <is>
          <t>VÄRMLANDS LÄN</t>
        </is>
      </c>
      <c r="E18022" t="inlineStr">
        <is>
          <t>ARVIKA</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59862-2024</t>
        </is>
      </c>
      <c r="B18023" s="1" t="n">
        <v>45639</v>
      </c>
      <c r="C18023" s="1" t="n">
        <v>45736</v>
      </c>
      <c r="D18023" t="inlineStr">
        <is>
          <t>VÄRMLANDS LÄN</t>
        </is>
      </c>
      <c r="E18023" t="inlineStr">
        <is>
          <t>KRISTINEHAMN</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60083-2024</t>
        </is>
      </c>
      <c r="B18024" s="1" t="n">
        <v>45639</v>
      </c>
      <c r="C18024" s="1" t="n">
        <v>45736</v>
      </c>
      <c r="D18024" t="inlineStr">
        <is>
          <t>VÄRMLANDS LÄN</t>
        </is>
      </c>
      <c r="E18024" t="inlineStr">
        <is>
          <t>HAGFORS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60142-2024</t>
        </is>
      </c>
      <c r="B18025" s="1" t="n">
        <v>45639</v>
      </c>
      <c r="C18025" s="1" t="n">
        <v>45736</v>
      </c>
      <c r="D18025" t="inlineStr">
        <is>
          <t>VÄRMLANDS LÄN</t>
        </is>
      </c>
      <c r="E18025" t="inlineStr">
        <is>
          <t>HAGFORS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59666-2024</t>
        </is>
      </c>
      <c r="B18026" s="1" t="n">
        <v>45639</v>
      </c>
      <c r="C18026" s="1" t="n">
        <v>45736</v>
      </c>
      <c r="D18026" t="inlineStr">
        <is>
          <t>VÄRMLANDS LÄN</t>
        </is>
      </c>
      <c r="E18026" t="inlineStr">
        <is>
          <t>HAGFORS</t>
        </is>
      </c>
      <c r="F18026" t="inlineStr">
        <is>
          <t>Bergvik skog väst AB</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59780-2024</t>
        </is>
      </c>
      <c r="B18027" s="1" t="n">
        <v>45639</v>
      </c>
      <c r="C18027" s="1" t="n">
        <v>45736</v>
      </c>
      <c r="D18027" t="inlineStr">
        <is>
          <t>VÄRMLANDS LÄN</t>
        </is>
      </c>
      <c r="E18027" t="inlineStr">
        <is>
          <t>TORSBY</t>
        </is>
      </c>
      <c r="G18027" t="n">
        <v>13.1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59732-2024</t>
        </is>
      </c>
      <c r="B18028" s="1" t="n">
        <v>45639</v>
      </c>
      <c r="C18028" s="1" t="n">
        <v>45736</v>
      </c>
      <c r="D18028" t="inlineStr">
        <is>
          <t>VÄRMLANDS LÄN</t>
        </is>
      </c>
      <c r="E18028" t="inlineStr">
        <is>
          <t>SÄFFLE</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59686-2024</t>
        </is>
      </c>
      <c r="B18029" s="1" t="n">
        <v>45639</v>
      </c>
      <c r="C18029" s="1" t="n">
        <v>45736</v>
      </c>
      <c r="D18029" t="inlineStr">
        <is>
          <t>VÄRMLANDS LÄN</t>
        </is>
      </c>
      <c r="E18029" t="inlineStr">
        <is>
          <t>KRISTINEHAMN</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59645-2024</t>
        </is>
      </c>
      <c r="B18030" s="1" t="n">
        <v>45639</v>
      </c>
      <c r="C18030" s="1" t="n">
        <v>45736</v>
      </c>
      <c r="D18030" t="inlineStr">
        <is>
          <t>VÄRMLANDS LÄN</t>
        </is>
      </c>
      <c r="E18030" t="inlineStr">
        <is>
          <t>EDA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59871-2024</t>
        </is>
      </c>
      <c r="B18031" s="1" t="n">
        <v>45640</v>
      </c>
      <c r="C18031" s="1" t="n">
        <v>45736</v>
      </c>
      <c r="D18031" t="inlineStr">
        <is>
          <t>VÄRMLANDS LÄN</t>
        </is>
      </c>
      <c r="E18031" t="inlineStr">
        <is>
          <t>KIL</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59869-2024</t>
        </is>
      </c>
      <c r="B18032" s="1" t="n">
        <v>45640</v>
      </c>
      <c r="C18032" s="1" t="n">
        <v>45736</v>
      </c>
      <c r="D18032" t="inlineStr">
        <is>
          <t>VÄRMLANDS LÄN</t>
        </is>
      </c>
      <c r="E18032" t="inlineStr">
        <is>
          <t>FILIPSTAD</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59890-2024</t>
        </is>
      </c>
      <c r="B18033" s="1" t="n">
        <v>45641</v>
      </c>
      <c r="C18033" s="1" t="n">
        <v>45736</v>
      </c>
      <c r="D18033" t="inlineStr">
        <is>
          <t>VÄRMLANDS LÄN</t>
        </is>
      </c>
      <c r="E18033" t="inlineStr">
        <is>
          <t>KARLSTAD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59889-2024</t>
        </is>
      </c>
      <c r="B18034" s="1" t="n">
        <v>45641</v>
      </c>
      <c r="C18034" s="1" t="n">
        <v>45736</v>
      </c>
      <c r="D18034" t="inlineStr">
        <is>
          <t>VÄRMLANDS LÄN</t>
        </is>
      </c>
      <c r="E18034" t="inlineStr">
        <is>
          <t>ÅRJÄNG</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59892-2024</t>
        </is>
      </c>
      <c r="B18035" s="1" t="n">
        <v>45641</v>
      </c>
      <c r="C18035" s="1" t="n">
        <v>45736</v>
      </c>
      <c r="D18035" t="inlineStr">
        <is>
          <t>VÄRMLANDS LÄN</t>
        </is>
      </c>
      <c r="E18035" t="inlineStr">
        <is>
          <t>KARLSTAD</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59888-2024</t>
        </is>
      </c>
      <c r="B18036" s="1" t="n">
        <v>45641</v>
      </c>
      <c r="C18036" s="1" t="n">
        <v>45736</v>
      </c>
      <c r="D18036" t="inlineStr">
        <is>
          <t>VÄRMLANDS LÄN</t>
        </is>
      </c>
      <c r="E18036" t="inlineStr">
        <is>
          <t>KARLSTAD</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60207-2024</t>
        </is>
      </c>
      <c r="B18037" s="1" t="n">
        <v>45642</v>
      </c>
      <c r="C18037" s="1" t="n">
        <v>45736</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60651-2024</t>
        </is>
      </c>
      <c r="B18038" s="1" t="n">
        <v>45642</v>
      </c>
      <c r="C18038" s="1" t="n">
        <v>45736</v>
      </c>
      <c r="D18038" t="inlineStr">
        <is>
          <t>VÄRMLANDS LÄN</t>
        </is>
      </c>
      <c r="E18038" t="inlineStr">
        <is>
          <t>SÄFFLE</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60672-2024</t>
        </is>
      </c>
      <c r="B18039" s="1" t="n">
        <v>45642</v>
      </c>
      <c r="C18039" s="1" t="n">
        <v>45736</v>
      </c>
      <c r="D18039" t="inlineStr">
        <is>
          <t>VÄRMLANDS LÄN</t>
        </is>
      </c>
      <c r="E18039" t="inlineStr">
        <is>
          <t>KRISTINEHAMN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60796-2024</t>
        </is>
      </c>
      <c r="B18040" s="1" t="n">
        <v>45642</v>
      </c>
      <c r="C18040" s="1" t="n">
        <v>45736</v>
      </c>
      <c r="D18040" t="inlineStr">
        <is>
          <t>VÄRMLANDS LÄN</t>
        </is>
      </c>
      <c r="E18040" t="inlineStr">
        <is>
          <t>TORSBY</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60183-2024</t>
        </is>
      </c>
      <c r="B18041" s="1" t="n">
        <v>45642</v>
      </c>
      <c r="C18041" s="1" t="n">
        <v>45736</v>
      </c>
      <c r="D18041" t="inlineStr">
        <is>
          <t>VÄRMLANDS LÄN</t>
        </is>
      </c>
      <c r="E18041" t="inlineStr">
        <is>
          <t>SUNNE</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60281-2024</t>
        </is>
      </c>
      <c r="B18042" s="1" t="n">
        <v>45642</v>
      </c>
      <c r="C18042" s="1" t="n">
        <v>45736</v>
      </c>
      <c r="D18042" t="inlineStr">
        <is>
          <t>VÄRMLANDS LÄN</t>
        </is>
      </c>
      <c r="E18042" t="inlineStr">
        <is>
          <t>KARLSTAD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60278-2024</t>
        </is>
      </c>
      <c r="B18043" s="1" t="n">
        <v>45642</v>
      </c>
      <c r="C18043" s="1" t="n">
        <v>45736</v>
      </c>
      <c r="D18043" t="inlineStr">
        <is>
          <t>VÄRMLANDS LÄN</t>
        </is>
      </c>
      <c r="E18043" t="inlineStr">
        <is>
          <t>KARLSTAD</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60622-2024</t>
        </is>
      </c>
      <c r="B18044" s="1" t="n">
        <v>45642</v>
      </c>
      <c r="C18044" s="1" t="n">
        <v>45736</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60634-2024</t>
        </is>
      </c>
      <c r="B18045" s="1" t="n">
        <v>45642</v>
      </c>
      <c r="C18045" s="1" t="n">
        <v>45736</v>
      </c>
      <c r="D18045" t="inlineStr">
        <is>
          <t>VÄRMLANDS LÄN</t>
        </is>
      </c>
      <c r="E18045" t="inlineStr">
        <is>
          <t>SUNNE</t>
        </is>
      </c>
      <c r="G18045" t="n">
        <v>7.9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60272-2024</t>
        </is>
      </c>
      <c r="B18046" s="1" t="n">
        <v>45642</v>
      </c>
      <c r="C18046" s="1" t="n">
        <v>45736</v>
      </c>
      <c r="D18046" t="inlineStr">
        <is>
          <t>VÄRMLANDS LÄN</t>
        </is>
      </c>
      <c r="E18046" t="inlineStr">
        <is>
          <t>TORSBY</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60626-2024</t>
        </is>
      </c>
      <c r="B18047" s="1" t="n">
        <v>45642</v>
      </c>
      <c r="C18047" s="1" t="n">
        <v>45736</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60020-2024</t>
        </is>
      </c>
      <c r="B18048" s="1" t="n">
        <v>45642</v>
      </c>
      <c r="C18048" s="1" t="n">
        <v>45736</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60148-2024</t>
        </is>
      </c>
      <c r="B18049" s="1" t="n">
        <v>45642</v>
      </c>
      <c r="C18049" s="1" t="n">
        <v>45736</v>
      </c>
      <c r="D18049" t="inlineStr">
        <is>
          <t>VÄRMLANDS LÄN</t>
        </is>
      </c>
      <c r="E18049" t="inlineStr">
        <is>
          <t>TORSBY</t>
        </is>
      </c>
      <c r="G18049" t="n">
        <v>12.4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60126-2024</t>
        </is>
      </c>
      <c r="B18050" s="1" t="n">
        <v>45642</v>
      </c>
      <c r="C18050" s="1" t="n">
        <v>45736</v>
      </c>
      <c r="D18050" t="inlineStr">
        <is>
          <t>VÄRMLANDS LÄN</t>
        </is>
      </c>
      <c r="E18050" t="inlineStr">
        <is>
          <t>ÅRJÄNG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60104-2024</t>
        </is>
      </c>
      <c r="B18051" s="1" t="n">
        <v>45642</v>
      </c>
      <c r="C18051" s="1" t="n">
        <v>45736</v>
      </c>
      <c r="D18051" t="inlineStr">
        <is>
          <t>VÄRMLANDS LÄN</t>
        </is>
      </c>
      <c r="E18051" t="inlineStr">
        <is>
          <t>KIL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60124-2024</t>
        </is>
      </c>
      <c r="B18052" s="1" t="n">
        <v>45642</v>
      </c>
      <c r="C18052" s="1" t="n">
        <v>45736</v>
      </c>
      <c r="D18052" t="inlineStr">
        <is>
          <t>VÄRMLANDS LÄN</t>
        </is>
      </c>
      <c r="E18052" t="inlineStr">
        <is>
          <t>FILIPSTAD</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60039-2024</t>
        </is>
      </c>
      <c r="B18053" s="1" t="n">
        <v>45642</v>
      </c>
      <c r="C18053" s="1" t="n">
        <v>45736</v>
      </c>
      <c r="D18053" t="inlineStr">
        <is>
          <t>VÄRMLANDS LÄN</t>
        </is>
      </c>
      <c r="E18053" t="inlineStr">
        <is>
          <t>TORSBY</t>
        </is>
      </c>
      <c r="G18053" t="n">
        <v>10.4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60201-2024</t>
        </is>
      </c>
      <c r="B18054" s="1" t="n">
        <v>45642</v>
      </c>
      <c r="C18054" s="1" t="n">
        <v>45736</v>
      </c>
      <c r="D18054" t="inlineStr">
        <is>
          <t>VÄRMLANDS LÄN</t>
        </is>
      </c>
      <c r="E18054" t="inlineStr">
        <is>
          <t>KIL</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60145-2024</t>
        </is>
      </c>
      <c r="B18055" s="1" t="n">
        <v>45642</v>
      </c>
      <c r="C18055" s="1" t="n">
        <v>45736</v>
      </c>
      <c r="D18055" t="inlineStr">
        <is>
          <t>VÄRMLANDS LÄN</t>
        </is>
      </c>
      <c r="E18055" t="inlineStr">
        <is>
          <t>EDA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60120-2024</t>
        </is>
      </c>
      <c r="B18056" s="1" t="n">
        <v>45642</v>
      </c>
      <c r="C18056" s="1" t="n">
        <v>45736</v>
      </c>
      <c r="D18056" t="inlineStr">
        <is>
          <t>VÄRMLANDS LÄN</t>
        </is>
      </c>
      <c r="E18056" t="inlineStr">
        <is>
          <t>KRISTINEHAMN</t>
        </is>
      </c>
      <c r="G18056" t="n">
        <v>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59944-2024</t>
        </is>
      </c>
      <c r="B18057" s="1" t="n">
        <v>45642</v>
      </c>
      <c r="C18057" s="1" t="n">
        <v>45736</v>
      </c>
      <c r="D18057" t="inlineStr">
        <is>
          <t>VÄRMLANDS LÄN</t>
        </is>
      </c>
      <c r="E18057" t="inlineStr">
        <is>
          <t>KIL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59928-2024</t>
        </is>
      </c>
      <c r="B18058" s="1" t="n">
        <v>45642</v>
      </c>
      <c r="C18058" s="1" t="n">
        <v>45736</v>
      </c>
      <c r="D18058" t="inlineStr">
        <is>
          <t>VÄRMLANDS LÄN</t>
        </is>
      </c>
      <c r="E18058" t="inlineStr">
        <is>
          <t>TORSBY</t>
        </is>
      </c>
      <c r="F18058" t="inlineStr">
        <is>
          <t>Bergvik skog väst AB</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59938-2024</t>
        </is>
      </c>
      <c r="B18059" s="1" t="n">
        <v>45642</v>
      </c>
      <c r="C18059" s="1" t="n">
        <v>45736</v>
      </c>
      <c r="D18059" t="inlineStr">
        <is>
          <t>VÄRMLANDS LÄN</t>
        </is>
      </c>
      <c r="E18059" t="inlineStr">
        <is>
          <t>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59934-2024</t>
        </is>
      </c>
      <c r="B18060" s="1" t="n">
        <v>45642</v>
      </c>
      <c r="C18060" s="1" t="n">
        <v>45736</v>
      </c>
      <c r="D18060" t="inlineStr">
        <is>
          <t>VÄRMLANDS LÄN</t>
        </is>
      </c>
      <c r="E18060" t="inlineStr">
        <is>
          <t>KIL</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60781-2024</t>
        </is>
      </c>
      <c r="B18061" s="1" t="n">
        <v>45642</v>
      </c>
      <c r="C18061" s="1" t="n">
        <v>45736</v>
      </c>
      <c r="D18061" t="inlineStr">
        <is>
          <t>VÄRMLANDS LÄN</t>
        </is>
      </c>
      <c r="E18061" t="inlineStr">
        <is>
          <t>TORSBY</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60049-2024</t>
        </is>
      </c>
      <c r="B18062" s="1" t="n">
        <v>45642</v>
      </c>
      <c r="C18062" s="1" t="n">
        <v>45736</v>
      </c>
      <c r="D18062" t="inlineStr">
        <is>
          <t>VÄRMLANDS LÄN</t>
        </is>
      </c>
      <c r="E18062" t="inlineStr">
        <is>
          <t>EDA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60000-2024</t>
        </is>
      </c>
      <c r="B18063" s="1" t="n">
        <v>45642</v>
      </c>
      <c r="C18063" s="1" t="n">
        <v>45736</v>
      </c>
      <c r="D18063" t="inlineStr">
        <is>
          <t>VÄRMLANDS LÄN</t>
        </is>
      </c>
      <c r="E18063" t="inlineStr">
        <is>
          <t>ÅRJÄNG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59927-2024</t>
        </is>
      </c>
      <c r="B18064" s="1" t="n">
        <v>45642</v>
      </c>
      <c r="C18064" s="1" t="n">
        <v>45736</v>
      </c>
      <c r="D18064" t="inlineStr">
        <is>
          <t>VÄRMLANDS LÄN</t>
        </is>
      </c>
      <c r="E18064" t="inlineStr">
        <is>
          <t>TORSBY</t>
        </is>
      </c>
      <c r="F18064" t="inlineStr">
        <is>
          <t>Bergvik skog väst AB</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60385-2024</t>
        </is>
      </c>
      <c r="B18065" s="1" t="n">
        <v>45643</v>
      </c>
      <c r="C18065" s="1" t="n">
        <v>45736</v>
      </c>
      <c r="D18065" t="inlineStr">
        <is>
          <t>VÄRMLANDS LÄN</t>
        </is>
      </c>
      <c r="E18065" t="inlineStr">
        <is>
          <t>TORSBY</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60383-2024</t>
        </is>
      </c>
      <c r="B18066" s="1" t="n">
        <v>45643</v>
      </c>
      <c r="C18066" s="1" t="n">
        <v>45736</v>
      </c>
      <c r="D18066" t="inlineStr">
        <is>
          <t>VÄRMLANDS LÄN</t>
        </is>
      </c>
      <c r="E18066" t="inlineStr">
        <is>
          <t>TORSBY</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60454-2024</t>
        </is>
      </c>
      <c r="B18067" s="1" t="n">
        <v>45643</v>
      </c>
      <c r="C18067" s="1" t="n">
        <v>45736</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60458-2024</t>
        </is>
      </c>
      <c r="B18068" s="1" t="n">
        <v>45643</v>
      </c>
      <c r="C18068" s="1" t="n">
        <v>45736</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60435-2024</t>
        </is>
      </c>
      <c r="B18069" s="1" t="n">
        <v>45643</v>
      </c>
      <c r="C18069" s="1" t="n">
        <v>45736</v>
      </c>
      <c r="D18069" t="inlineStr">
        <is>
          <t>VÄRMLANDS LÄN</t>
        </is>
      </c>
      <c r="E18069" t="inlineStr">
        <is>
          <t>SUNNE</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60480-2024</t>
        </is>
      </c>
      <c r="B18070" s="1" t="n">
        <v>45643</v>
      </c>
      <c r="C18070" s="1" t="n">
        <v>45736</v>
      </c>
      <c r="D18070" t="inlineStr">
        <is>
          <t>VÄRMLANDS LÄN</t>
        </is>
      </c>
      <c r="E18070" t="inlineStr">
        <is>
          <t>KIL</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60488-2024</t>
        </is>
      </c>
      <c r="B18071" s="1" t="n">
        <v>45643</v>
      </c>
      <c r="C18071" s="1" t="n">
        <v>45736</v>
      </c>
      <c r="D18071" t="inlineStr">
        <is>
          <t>VÄRMLANDS LÄN</t>
        </is>
      </c>
      <c r="E18071" t="inlineStr">
        <is>
          <t>SUNNE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60512-2024</t>
        </is>
      </c>
      <c r="B18072" s="1" t="n">
        <v>45643</v>
      </c>
      <c r="C18072" s="1" t="n">
        <v>45736</v>
      </c>
      <c r="D18072" t="inlineStr">
        <is>
          <t>VÄRMLANDS LÄN</t>
        </is>
      </c>
      <c r="E18072" t="inlineStr">
        <is>
          <t>FILIPSTAD</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60516-2024</t>
        </is>
      </c>
      <c r="B18073" s="1" t="n">
        <v>45643</v>
      </c>
      <c r="C18073" s="1" t="n">
        <v>45736</v>
      </c>
      <c r="D18073" t="inlineStr">
        <is>
          <t>VÄRMLANDS LÄN</t>
        </is>
      </c>
      <c r="E18073" t="inlineStr">
        <is>
          <t>ARVIKA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60524-2024</t>
        </is>
      </c>
      <c r="B18074" s="1" t="n">
        <v>45643</v>
      </c>
      <c r="C18074" s="1" t="n">
        <v>45736</v>
      </c>
      <c r="D18074" t="inlineStr">
        <is>
          <t>VÄRMLANDS LÄN</t>
        </is>
      </c>
      <c r="E18074" t="inlineStr">
        <is>
          <t>FILIPSTAD</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60546-2024</t>
        </is>
      </c>
      <c r="B18075" s="1" t="n">
        <v>45643</v>
      </c>
      <c r="C18075" s="1" t="n">
        <v>45736</v>
      </c>
      <c r="D18075" t="inlineStr">
        <is>
          <t>VÄRMLANDS LÄN</t>
        </is>
      </c>
      <c r="E18075" t="inlineStr">
        <is>
          <t>KRISTINEHAMN</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60528-2024</t>
        </is>
      </c>
      <c r="B18076" s="1" t="n">
        <v>45643</v>
      </c>
      <c r="C18076" s="1" t="n">
        <v>45736</v>
      </c>
      <c r="D18076" t="inlineStr">
        <is>
          <t>VÄRMLANDS LÄN</t>
        </is>
      </c>
      <c r="E18076" t="inlineStr">
        <is>
          <t>ARVIKA</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60352-2024</t>
        </is>
      </c>
      <c r="B18077" s="1" t="n">
        <v>45643</v>
      </c>
      <c r="C18077" s="1" t="n">
        <v>45736</v>
      </c>
      <c r="D18077" t="inlineStr">
        <is>
          <t>VÄRMLANDS LÄN</t>
        </is>
      </c>
      <c r="E18077" t="inlineStr">
        <is>
          <t>EDA</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60710-2024</t>
        </is>
      </c>
      <c r="B18078" s="1" t="n">
        <v>45643</v>
      </c>
      <c r="C18078" s="1" t="n">
        <v>45736</v>
      </c>
      <c r="D18078" t="inlineStr">
        <is>
          <t>VÄRMLANDS LÄN</t>
        </is>
      </c>
      <c r="E18078" t="inlineStr">
        <is>
          <t>TORSBY</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60473-2024</t>
        </is>
      </c>
      <c r="B18079" s="1" t="n">
        <v>45643</v>
      </c>
      <c r="C18079" s="1" t="n">
        <v>45736</v>
      </c>
      <c r="D18079" t="inlineStr">
        <is>
          <t>VÄRMLANDS LÄN</t>
        </is>
      </c>
      <c r="E18079" t="inlineStr">
        <is>
          <t>KIL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60477-2024</t>
        </is>
      </c>
      <c r="B18080" s="1" t="n">
        <v>45643</v>
      </c>
      <c r="C18080" s="1" t="n">
        <v>45736</v>
      </c>
      <c r="D18080" t="inlineStr">
        <is>
          <t>VÄRMLANDS LÄN</t>
        </is>
      </c>
      <c r="E18080" t="inlineStr">
        <is>
          <t>TORSBY</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60374-2024</t>
        </is>
      </c>
      <c r="B18081" s="1" t="n">
        <v>45643</v>
      </c>
      <c r="C18081" s="1" t="n">
        <v>45736</v>
      </c>
      <c r="D18081" t="inlineStr">
        <is>
          <t>VÄRMLANDS LÄN</t>
        </is>
      </c>
      <c r="E18081" t="inlineStr">
        <is>
          <t>KARLSTAD</t>
        </is>
      </c>
      <c r="G18081" t="n">
        <v>16.1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60386-2024</t>
        </is>
      </c>
      <c r="B18082" s="1" t="n">
        <v>45643</v>
      </c>
      <c r="C18082" s="1" t="n">
        <v>45736</v>
      </c>
      <c r="D18082" t="inlineStr">
        <is>
          <t>VÄRMLANDS LÄN</t>
        </is>
      </c>
      <c r="E18082" t="inlineStr">
        <is>
          <t>TORSBY</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60513-2024</t>
        </is>
      </c>
      <c r="B18083" s="1" t="n">
        <v>45643</v>
      </c>
      <c r="C18083" s="1" t="n">
        <v>45736</v>
      </c>
      <c r="D18083" t="inlineStr">
        <is>
          <t>VÄRMLANDS LÄN</t>
        </is>
      </c>
      <c r="E18083" t="inlineStr">
        <is>
          <t>ARVIKA</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60521-2024</t>
        </is>
      </c>
      <c r="B18084" s="1" t="n">
        <v>45643</v>
      </c>
      <c r="C18084" s="1" t="n">
        <v>45736</v>
      </c>
      <c r="D18084" t="inlineStr">
        <is>
          <t>VÄRMLANDS LÄN</t>
        </is>
      </c>
      <c r="E18084" t="inlineStr">
        <is>
          <t>FILIPSTAD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60537-2024</t>
        </is>
      </c>
      <c r="B18085" s="1" t="n">
        <v>45643</v>
      </c>
      <c r="C18085" s="1" t="n">
        <v>45736</v>
      </c>
      <c r="D18085" t="inlineStr">
        <is>
          <t>VÄRMLANDS LÄN</t>
        </is>
      </c>
      <c r="E18085" t="inlineStr">
        <is>
          <t>TORSBY</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60701-2024</t>
        </is>
      </c>
      <c r="B18086" s="1" t="n">
        <v>45644</v>
      </c>
      <c r="C18086" s="1" t="n">
        <v>45736</v>
      </c>
      <c r="D18086" t="inlineStr">
        <is>
          <t>VÄRMLANDS LÄN</t>
        </is>
      </c>
      <c r="E18086" t="inlineStr">
        <is>
          <t>SUNNE</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60638-2024</t>
        </is>
      </c>
      <c r="B18087" s="1" t="n">
        <v>45644</v>
      </c>
      <c r="C18087" s="1" t="n">
        <v>45736</v>
      </c>
      <c r="D18087" t="inlineStr">
        <is>
          <t>VÄRMLANDS LÄN</t>
        </is>
      </c>
      <c r="E18087" t="inlineStr">
        <is>
          <t>FILIPSTAD</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60633-2024</t>
        </is>
      </c>
      <c r="B18088" s="1" t="n">
        <v>45644</v>
      </c>
      <c r="C18088" s="1" t="n">
        <v>45736</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60623-2024</t>
        </is>
      </c>
      <c r="B18089" s="1" t="n">
        <v>45644</v>
      </c>
      <c r="C18089" s="1" t="n">
        <v>45736</v>
      </c>
      <c r="D18089" t="inlineStr">
        <is>
          <t>VÄRMLANDS LÄN</t>
        </is>
      </c>
      <c r="E18089" t="inlineStr">
        <is>
          <t>HAGFORS</t>
        </is>
      </c>
      <c r="F18089" t="inlineStr">
        <is>
          <t>Bergvik skog väst AB</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60826-2024</t>
        </is>
      </c>
      <c r="B18090" s="1" t="n">
        <v>45644</v>
      </c>
      <c r="C18090" s="1" t="n">
        <v>45736</v>
      </c>
      <c r="D18090" t="inlineStr">
        <is>
          <t>VÄRMLANDS LÄN</t>
        </is>
      </c>
      <c r="E18090" t="inlineStr">
        <is>
          <t>ARVIKA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60854-2024</t>
        </is>
      </c>
      <c r="B18091" s="1" t="n">
        <v>45644</v>
      </c>
      <c r="C18091" s="1" t="n">
        <v>45736</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60582-2024</t>
        </is>
      </c>
      <c r="B18092" s="1" t="n">
        <v>45644</v>
      </c>
      <c r="C18092" s="1" t="n">
        <v>45736</v>
      </c>
      <c r="D18092" t="inlineStr">
        <is>
          <t>VÄRMLANDS LÄN</t>
        </is>
      </c>
      <c r="E18092" t="inlineStr">
        <is>
          <t>HAGFORS</t>
        </is>
      </c>
      <c r="F18092" t="inlineStr">
        <is>
          <t>Kyrkan</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60731-2024</t>
        </is>
      </c>
      <c r="B18093" s="1" t="n">
        <v>45644</v>
      </c>
      <c r="C18093" s="1" t="n">
        <v>45736</v>
      </c>
      <c r="D18093" t="inlineStr">
        <is>
          <t>VÄRMLANDS LÄN</t>
        </is>
      </c>
      <c r="E18093" t="inlineStr">
        <is>
          <t>FILIPSTAD</t>
        </is>
      </c>
      <c r="F18093" t="inlineStr">
        <is>
          <t>Bergvik skog väst AB</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60794-2024</t>
        </is>
      </c>
      <c r="B18094" s="1" t="n">
        <v>45644</v>
      </c>
      <c r="C18094" s="1" t="n">
        <v>45736</v>
      </c>
      <c r="D18094" t="inlineStr">
        <is>
          <t>VÄRMLANDS LÄN</t>
        </is>
      </c>
      <c r="E18094" t="inlineStr">
        <is>
          <t>MUNKFORS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60628-2024</t>
        </is>
      </c>
      <c r="B18095" s="1" t="n">
        <v>45644</v>
      </c>
      <c r="C18095" s="1" t="n">
        <v>45736</v>
      </c>
      <c r="D18095" t="inlineStr">
        <is>
          <t>VÄRMLANDS LÄN</t>
        </is>
      </c>
      <c r="E18095" t="inlineStr">
        <is>
          <t>HAGFORS</t>
        </is>
      </c>
      <c r="F18095" t="inlineStr">
        <is>
          <t>Bergvik skog väst AB</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60766-2024</t>
        </is>
      </c>
      <c r="B18096" s="1" t="n">
        <v>45644</v>
      </c>
      <c r="C18096" s="1" t="n">
        <v>45736</v>
      </c>
      <c r="D18096" t="inlineStr">
        <is>
          <t>VÄRMLANDS LÄN</t>
        </is>
      </c>
      <c r="E18096" t="inlineStr">
        <is>
          <t>ARVIKA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60567-2024</t>
        </is>
      </c>
      <c r="B18097" s="1" t="n">
        <v>45644</v>
      </c>
      <c r="C18097" s="1" t="n">
        <v>45736</v>
      </c>
      <c r="D18097" t="inlineStr">
        <is>
          <t>VÄRMLANDS LÄN</t>
        </is>
      </c>
      <c r="E18097" t="inlineStr">
        <is>
          <t>KRISTINEHAMN</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60965-2024</t>
        </is>
      </c>
      <c r="B18098" s="1" t="n">
        <v>45644</v>
      </c>
      <c r="C18098" s="1" t="n">
        <v>45736</v>
      </c>
      <c r="D18098" t="inlineStr">
        <is>
          <t>VÄRMLANDS LÄN</t>
        </is>
      </c>
      <c r="E18098" t="inlineStr">
        <is>
          <t>SÄFFLE</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60879-2024</t>
        </is>
      </c>
      <c r="B18099" s="1" t="n">
        <v>45644</v>
      </c>
      <c r="C18099" s="1" t="n">
        <v>45736</v>
      </c>
      <c r="D18099" t="inlineStr">
        <is>
          <t>VÄRMLANDS LÄN</t>
        </is>
      </c>
      <c r="E18099" t="inlineStr">
        <is>
          <t>SUNNE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60931-2024</t>
        </is>
      </c>
      <c r="B18100" s="1" t="n">
        <v>45644</v>
      </c>
      <c r="C18100" s="1" t="n">
        <v>45736</v>
      </c>
      <c r="D18100" t="inlineStr">
        <is>
          <t>VÄRMLANDS LÄN</t>
        </is>
      </c>
      <c r="E18100" t="inlineStr">
        <is>
          <t>SÄFFLE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60959-2024</t>
        </is>
      </c>
      <c r="B18101" s="1" t="n">
        <v>45644</v>
      </c>
      <c r="C18101" s="1" t="n">
        <v>45736</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60645-2024</t>
        </is>
      </c>
      <c r="B18102" s="1" t="n">
        <v>45644</v>
      </c>
      <c r="C18102" s="1" t="n">
        <v>45736</v>
      </c>
      <c r="D18102" t="inlineStr">
        <is>
          <t>VÄRMLANDS LÄN</t>
        </is>
      </c>
      <c r="E18102" t="inlineStr">
        <is>
          <t>FILIPSTAD</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60708-2024</t>
        </is>
      </c>
      <c r="B18103" s="1" t="n">
        <v>45644</v>
      </c>
      <c r="C18103" s="1" t="n">
        <v>45736</v>
      </c>
      <c r="D18103" t="inlineStr">
        <is>
          <t>VÄRMLANDS LÄN</t>
        </is>
      </c>
      <c r="E18103" t="inlineStr">
        <is>
          <t>SÄFFLE</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60763-2024</t>
        </is>
      </c>
      <c r="B18104" s="1" t="n">
        <v>45644</v>
      </c>
      <c r="C18104" s="1" t="n">
        <v>45736</v>
      </c>
      <c r="D18104" t="inlineStr">
        <is>
          <t>VÄRMLANDS LÄN</t>
        </is>
      </c>
      <c r="E18104" t="inlineStr">
        <is>
          <t>SUNNE</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60828-2024</t>
        </is>
      </c>
      <c r="B18105" s="1" t="n">
        <v>45644</v>
      </c>
      <c r="C18105" s="1" t="n">
        <v>45736</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60844-2024</t>
        </is>
      </c>
      <c r="B18106" s="1" t="n">
        <v>45644</v>
      </c>
      <c r="C18106" s="1" t="n">
        <v>45736</v>
      </c>
      <c r="D18106" t="inlineStr">
        <is>
          <t>VÄRMLANDS LÄN</t>
        </is>
      </c>
      <c r="E18106" t="inlineStr">
        <is>
          <t>ARVIKA</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60880-2024</t>
        </is>
      </c>
      <c r="B18107" s="1" t="n">
        <v>45644</v>
      </c>
      <c r="C18107" s="1" t="n">
        <v>45736</v>
      </c>
      <c r="D18107" t="inlineStr">
        <is>
          <t>VÄRMLANDS LÄN</t>
        </is>
      </c>
      <c r="E18107" t="inlineStr">
        <is>
          <t>SUNNE</t>
        </is>
      </c>
      <c r="G18107" t="n">
        <v>13.5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60950-2024</t>
        </is>
      </c>
      <c r="B18108" s="1" t="n">
        <v>45644</v>
      </c>
      <c r="C18108" s="1" t="n">
        <v>45736</v>
      </c>
      <c r="D18108" t="inlineStr">
        <is>
          <t>VÄRMLANDS LÄN</t>
        </is>
      </c>
      <c r="E18108" t="inlineStr">
        <is>
          <t>SÄFFLE</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61216-2024</t>
        </is>
      </c>
      <c r="B18109" s="1" t="n">
        <v>45644</v>
      </c>
      <c r="C18109" s="1" t="n">
        <v>45736</v>
      </c>
      <c r="D18109" t="inlineStr">
        <is>
          <t>VÄRMLANDS LÄN</t>
        </is>
      </c>
      <c r="E18109" t="inlineStr">
        <is>
          <t>SUNNE</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60897-2024</t>
        </is>
      </c>
      <c r="B18110" s="1" t="n">
        <v>45645</v>
      </c>
      <c r="C18110" s="1" t="n">
        <v>45736</v>
      </c>
      <c r="D18110" t="inlineStr">
        <is>
          <t>VÄRMLANDS LÄN</t>
        </is>
      </c>
      <c r="E18110" t="inlineStr">
        <is>
          <t>KARLSTAD</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60907-2024</t>
        </is>
      </c>
      <c r="B18111" s="1" t="n">
        <v>45645</v>
      </c>
      <c r="C18111" s="1" t="n">
        <v>45736</v>
      </c>
      <c r="D18111" t="inlineStr">
        <is>
          <t>VÄRMLANDS LÄN</t>
        </is>
      </c>
      <c r="E18111" t="inlineStr">
        <is>
          <t>KARLSTAD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60963-2024</t>
        </is>
      </c>
      <c r="B18112" s="1" t="n">
        <v>45645</v>
      </c>
      <c r="C18112" s="1" t="n">
        <v>45736</v>
      </c>
      <c r="D18112" t="inlineStr">
        <is>
          <t>VÄRMLANDS LÄN</t>
        </is>
      </c>
      <c r="E18112" t="inlineStr">
        <is>
          <t>EDA</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60968-2024</t>
        </is>
      </c>
      <c r="B18113" s="1" t="n">
        <v>45645</v>
      </c>
      <c r="C18113" s="1" t="n">
        <v>45736</v>
      </c>
      <c r="D18113" t="inlineStr">
        <is>
          <t>VÄRMLANDS LÄN</t>
        </is>
      </c>
      <c r="E18113" t="inlineStr">
        <is>
          <t>ARVIKA</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60974-2024</t>
        </is>
      </c>
      <c r="B18114" s="1" t="n">
        <v>45645</v>
      </c>
      <c r="C18114" s="1" t="n">
        <v>45736</v>
      </c>
      <c r="D18114" t="inlineStr">
        <is>
          <t>VÄRMLANDS LÄN</t>
        </is>
      </c>
      <c r="E18114" t="inlineStr">
        <is>
          <t>HAGFORS</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60998-2024</t>
        </is>
      </c>
      <c r="B18115" s="1" t="n">
        <v>45645</v>
      </c>
      <c r="C18115" s="1" t="n">
        <v>45736</v>
      </c>
      <c r="D18115" t="inlineStr">
        <is>
          <t>VÄRMLANDS LÄN</t>
        </is>
      </c>
      <c r="E18115" t="inlineStr">
        <is>
          <t>ARVIKA</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60999-2024</t>
        </is>
      </c>
      <c r="B18116" s="1" t="n">
        <v>45645</v>
      </c>
      <c r="C18116" s="1" t="n">
        <v>45736</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61203-2024</t>
        </is>
      </c>
      <c r="B18117" s="1" t="n">
        <v>45645</v>
      </c>
      <c r="C18117" s="1" t="n">
        <v>45736</v>
      </c>
      <c r="D18117" t="inlineStr">
        <is>
          <t>VÄRMLANDS LÄN</t>
        </is>
      </c>
      <c r="E18117" t="inlineStr">
        <is>
          <t>ARVIKA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61226-2024</t>
        </is>
      </c>
      <c r="B18118" s="1" t="n">
        <v>45645</v>
      </c>
      <c r="C18118" s="1" t="n">
        <v>45736</v>
      </c>
      <c r="D18118" t="inlineStr">
        <is>
          <t>VÄRMLANDS LÄN</t>
        </is>
      </c>
      <c r="E18118" t="inlineStr">
        <is>
          <t>ÅRJÄNG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61055-2024</t>
        </is>
      </c>
      <c r="B18119" s="1" t="n">
        <v>45645</v>
      </c>
      <c r="C18119" s="1" t="n">
        <v>45736</v>
      </c>
      <c r="D18119" t="inlineStr">
        <is>
          <t>VÄRMLANDS LÄN</t>
        </is>
      </c>
      <c r="E18119" t="inlineStr">
        <is>
          <t>SÄFFLE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61067-2024</t>
        </is>
      </c>
      <c r="B18120" s="1" t="n">
        <v>45645</v>
      </c>
      <c r="C18120" s="1" t="n">
        <v>45736</v>
      </c>
      <c r="D18120" t="inlineStr">
        <is>
          <t>VÄRMLANDS LÄN</t>
        </is>
      </c>
      <c r="E18120" t="inlineStr">
        <is>
          <t>ARVIKA</t>
        </is>
      </c>
      <c r="F18120" t="inlineStr">
        <is>
          <t>Bergvik skog väst AB</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60991-2024</t>
        </is>
      </c>
      <c r="B18121" s="1" t="n">
        <v>45645</v>
      </c>
      <c r="C18121" s="1" t="n">
        <v>45736</v>
      </c>
      <c r="D18121" t="inlineStr">
        <is>
          <t>VÄRMLANDS LÄN</t>
        </is>
      </c>
      <c r="E18121" t="inlineStr">
        <is>
          <t>HAGFORS</t>
        </is>
      </c>
      <c r="G18121" t="n">
        <v>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60995-2024</t>
        </is>
      </c>
      <c r="B18122" s="1" t="n">
        <v>45645</v>
      </c>
      <c r="C18122" s="1" t="n">
        <v>45736</v>
      </c>
      <c r="D18122" t="inlineStr">
        <is>
          <t>VÄRMLANDS LÄN</t>
        </is>
      </c>
      <c r="E18122" t="inlineStr">
        <is>
          <t>ARVIKA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61008-2024</t>
        </is>
      </c>
      <c r="B18123" s="1" t="n">
        <v>45645</v>
      </c>
      <c r="C18123" s="1" t="n">
        <v>45736</v>
      </c>
      <c r="D18123" t="inlineStr">
        <is>
          <t>VÄRMLANDS LÄN</t>
        </is>
      </c>
      <c r="E18123" t="inlineStr">
        <is>
          <t>ARVIKA</t>
        </is>
      </c>
      <c r="G18123" t="n">
        <v>38.7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61090-2024</t>
        </is>
      </c>
      <c r="B18124" s="1" t="n">
        <v>45645</v>
      </c>
      <c r="C18124" s="1" t="n">
        <v>45736</v>
      </c>
      <c r="D18124" t="inlineStr">
        <is>
          <t>VÄRMLANDS LÄN</t>
        </is>
      </c>
      <c r="E18124" t="inlineStr">
        <is>
          <t>ARVIKA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61094-2024</t>
        </is>
      </c>
      <c r="B18125" s="1" t="n">
        <v>45645</v>
      </c>
      <c r="C18125" s="1" t="n">
        <v>45736</v>
      </c>
      <c r="D18125" t="inlineStr">
        <is>
          <t>VÄRMLANDS LÄN</t>
        </is>
      </c>
      <c r="E18125" t="inlineStr">
        <is>
          <t>KIL</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61093-2024</t>
        </is>
      </c>
      <c r="B18126" s="1" t="n">
        <v>45645</v>
      </c>
      <c r="C18126" s="1" t="n">
        <v>45736</v>
      </c>
      <c r="D18126" t="inlineStr">
        <is>
          <t>VÄRMLANDS LÄN</t>
        </is>
      </c>
      <c r="E18126" t="inlineStr">
        <is>
          <t>HAGFORS</t>
        </is>
      </c>
      <c r="F18126" t="inlineStr">
        <is>
          <t>Bergvik skog väst AB</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61119-2024</t>
        </is>
      </c>
      <c r="B18127" s="1" t="n">
        <v>45645</v>
      </c>
      <c r="C18127" s="1" t="n">
        <v>45736</v>
      </c>
      <c r="D18127" t="inlineStr">
        <is>
          <t>VÄRMLANDS LÄN</t>
        </is>
      </c>
      <c r="E18127" t="inlineStr">
        <is>
          <t>ÅRJÄNG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61180-2024</t>
        </is>
      </c>
      <c r="B18128" s="1" t="n">
        <v>45645</v>
      </c>
      <c r="C18128" s="1" t="n">
        <v>45736</v>
      </c>
      <c r="D18128" t="inlineStr">
        <is>
          <t>VÄRMLANDS LÄN</t>
        </is>
      </c>
      <c r="E18128" t="inlineStr">
        <is>
          <t>HAGFORS</t>
        </is>
      </c>
      <c r="F18128" t="inlineStr">
        <is>
          <t>Bergvik skog väst AB</t>
        </is>
      </c>
      <c r="G18128" t="n">
        <v>5.2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61232-2024</t>
        </is>
      </c>
      <c r="B18129" s="1" t="n">
        <v>45645</v>
      </c>
      <c r="C18129" s="1" t="n">
        <v>45736</v>
      </c>
      <c r="D18129" t="inlineStr">
        <is>
          <t>VÄRMLANDS LÄN</t>
        </is>
      </c>
      <c r="E18129" t="inlineStr">
        <is>
          <t>HAGFORS</t>
        </is>
      </c>
      <c r="F18129" t="inlineStr">
        <is>
          <t>Bergvik skog väst AB</t>
        </is>
      </c>
      <c r="G18129" t="n">
        <v>6.4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61253-2024</t>
        </is>
      </c>
      <c r="B18130" s="1" t="n">
        <v>45645</v>
      </c>
      <c r="C18130" s="1" t="n">
        <v>45736</v>
      </c>
      <c r="D18130" t="inlineStr">
        <is>
          <t>VÄRMLANDS LÄN</t>
        </is>
      </c>
      <c r="E18130" t="inlineStr">
        <is>
          <t>TORSBY</t>
        </is>
      </c>
      <c r="G18130" t="n">
        <v>13.4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60909-2024</t>
        </is>
      </c>
      <c r="B18131" s="1" t="n">
        <v>45645</v>
      </c>
      <c r="C18131" s="1" t="n">
        <v>45736</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60932-2024</t>
        </is>
      </c>
      <c r="B18132" s="1" t="n">
        <v>45645</v>
      </c>
      <c r="C18132" s="1" t="n">
        <v>45736</v>
      </c>
      <c r="D18132" t="inlineStr">
        <is>
          <t>VÄRMLANDS LÄN</t>
        </is>
      </c>
      <c r="E18132" t="inlineStr">
        <is>
          <t>KARLSTAD</t>
        </is>
      </c>
      <c r="F18132" t="inlineStr">
        <is>
          <t>Bergvik skog väst AB</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60971-2024</t>
        </is>
      </c>
      <c r="B18133" s="1" t="n">
        <v>45645</v>
      </c>
      <c r="C18133" s="1" t="n">
        <v>45736</v>
      </c>
      <c r="D18133" t="inlineStr">
        <is>
          <t>VÄRMLANDS LÄN</t>
        </is>
      </c>
      <c r="E18133" t="inlineStr">
        <is>
          <t>ARVIKA</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60996-2024</t>
        </is>
      </c>
      <c r="B18134" s="1" t="n">
        <v>45645</v>
      </c>
      <c r="C18134" s="1" t="n">
        <v>45736</v>
      </c>
      <c r="D18134" t="inlineStr">
        <is>
          <t>VÄRMLANDS LÄN</t>
        </is>
      </c>
      <c r="E18134" t="inlineStr">
        <is>
          <t>SUNNE</t>
        </is>
      </c>
      <c r="G18134" t="n">
        <v>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61069-2024</t>
        </is>
      </c>
      <c r="B18135" s="1" t="n">
        <v>45645</v>
      </c>
      <c r="C18135" s="1" t="n">
        <v>45736</v>
      </c>
      <c r="D18135" t="inlineStr">
        <is>
          <t>VÄRMLANDS LÄN</t>
        </is>
      </c>
      <c r="E18135" t="inlineStr">
        <is>
          <t>TORSBY</t>
        </is>
      </c>
      <c r="F18135" t="inlineStr">
        <is>
          <t>Bergvik skog väst AB</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61073-2024</t>
        </is>
      </c>
      <c r="B18136" s="1" t="n">
        <v>45645</v>
      </c>
      <c r="C18136" s="1" t="n">
        <v>45736</v>
      </c>
      <c r="D18136" t="inlineStr">
        <is>
          <t>VÄRMLANDS LÄN</t>
        </is>
      </c>
      <c r="E18136" t="inlineStr">
        <is>
          <t>TORSBY</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61206-2024</t>
        </is>
      </c>
      <c r="B18137" s="1" t="n">
        <v>45645</v>
      </c>
      <c r="C18137" s="1" t="n">
        <v>45736</v>
      </c>
      <c r="D18137" t="inlineStr">
        <is>
          <t>VÄRMLANDS LÄN</t>
        </is>
      </c>
      <c r="E18137" t="inlineStr">
        <is>
          <t>TORSBY</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61546-2024</t>
        </is>
      </c>
      <c r="B18138" s="1" t="n">
        <v>45645</v>
      </c>
      <c r="C18138" s="1" t="n">
        <v>45736</v>
      </c>
      <c r="D18138" t="inlineStr">
        <is>
          <t>VÄRMLANDS LÄN</t>
        </is>
      </c>
      <c r="E18138" t="inlineStr">
        <is>
          <t>TORSBY</t>
        </is>
      </c>
      <c r="G18138" t="n">
        <v>7.5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61251-2024</t>
        </is>
      </c>
      <c r="B18139" s="1" t="n">
        <v>45645</v>
      </c>
      <c r="C18139" s="1" t="n">
        <v>45736</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61092-2024</t>
        </is>
      </c>
      <c r="B18140" s="1" t="n">
        <v>45645</v>
      </c>
      <c r="C18140" s="1" t="n">
        <v>45736</v>
      </c>
      <c r="D18140" t="inlineStr">
        <is>
          <t>VÄRMLANDS LÄN</t>
        </is>
      </c>
      <c r="E18140" t="inlineStr">
        <is>
          <t>SUNNE</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61169-2024</t>
        </is>
      </c>
      <c r="B18141" s="1" t="n">
        <v>45645</v>
      </c>
      <c r="C18141" s="1" t="n">
        <v>45736</v>
      </c>
      <c r="D18141" t="inlineStr">
        <is>
          <t>VÄRMLANDS LÄN</t>
        </is>
      </c>
      <c r="E18141" t="inlineStr">
        <is>
          <t>HAGFORS</t>
        </is>
      </c>
      <c r="F18141" t="inlineStr">
        <is>
          <t>Bergvik skog väst AB</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61259-2024</t>
        </is>
      </c>
      <c r="B18142" s="1" t="n">
        <v>45645</v>
      </c>
      <c r="C18142" s="1" t="n">
        <v>45736</v>
      </c>
      <c r="D18142" t="inlineStr">
        <is>
          <t>VÄRMLANDS LÄN</t>
        </is>
      </c>
      <c r="E18142" t="inlineStr">
        <is>
          <t>TORSBY</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61310-2024</t>
        </is>
      </c>
      <c r="B18143" s="1" t="n">
        <v>45646</v>
      </c>
      <c r="C18143" s="1" t="n">
        <v>45736</v>
      </c>
      <c r="D18143" t="inlineStr">
        <is>
          <t>VÄRMLANDS LÄN</t>
        </is>
      </c>
      <c r="E18143" t="inlineStr">
        <is>
          <t>EDA</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61441-2024</t>
        </is>
      </c>
      <c r="B18144" s="1" t="n">
        <v>45646</v>
      </c>
      <c r="C18144" s="1" t="n">
        <v>45736</v>
      </c>
      <c r="D18144" t="inlineStr">
        <is>
          <t>VÄRMLANDS LÄN</t>
        </is>
      </c>
      <c r="E18144" t="inlineStr">
        <is>
          <t>KARLSTAD</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61472-2024</t>
        </is>
      </c>
      <c r="B18145" s="1" t="n">
        <v>45646</v>
      </c>
      <c r="C18145" s="1" t="n">
        <v>45736</v>
      </c>
      <c r="D18145" t="inlineStr">
        <is>
          <t>VÄRMLANDS LÄN</t>
        </is>
      </c>
      <c r="E18145" t="inlineStr">
        <is>
          <t>EDA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61477-2024</t>
        </is>
      </c>
      <c r="B18146" s="1" t="n">
        <v>45646</v>
      </c>
      <c r="C18146" s="1" t="n">
        <v>45736</v>
      </c>
      <c r="D18146" t="inlineStr">
        <is>
          <t>VÄRMLANDS LÄN</t>
        </is>
      </c>
      <c r="E18146" t="inlineStr">
        <is>
          <t>EDA</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61311-2024</t>
        </is>
      </c>
      <c r="B18147" s="1" t="n">
        <v>45646</v>
      </c>
      <c r="C18147" s="1" t="n">
        <v>45736</v>
      </c>
      <c r="D18147" t="inlineStr">
        <is>
          <t>VÄRMLANDS LÄN</t>
        </is>
      </c>
      <c r="E18147" t="inlineStr">
        <is>
          <t>EDA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61545-2024</t>
        </is>
      </c>
      <c r="B18148" s="1" t="n">
        <v>45646</v>
      </c>
      <c r="C18148" s="1" t="n">
        <v>45736</v>
      </c>
      <c r="D18148" t="inlineStr">
        <is>
          <t>VÄRMLANDS LÄN</t>
        </is>
      </c>
      <c r="E18148" t="inlineStr">
        <is>
          <t>ÅRJÄNG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61608-2024</t>
        </is>
      </c>
      <c r="B18149" s="1" t="n">
        <v>45646</v>
      </c>
      <c r="C18149" s="1" t="n">
        <v>45736</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61614-2024</t>
        </is>
      </c>
      <c r="B18150" s="1" t="n">
        <v>45646</v>
      </c>
      <c r="C18150" s="1" t="n">
        <v>45736</v>
      </c>
      <c r="D18150" t="inlineStr">
        <is>
          <t>VÄRMLANDS LÄN</t>
        </is>
      </c>
      <c r="E18150" t="inlineStr">
        <is>
          <t>SÄFFLE</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61612-2024</t>
        </is>
      </c>
      <c r="B18151" s="1" t="n">
        <v>45646</v>
      </c>
      <c r="C18151" s="1" t="n">
        <v>45736</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61644-2024</t>
        </is>
      </c>
      <c r="B18152" s="1" t="n">
        <v>45646</v>
      </c>
      <c r="C18152" s="1" t="n">
        <v>45736</v>
      </c>
      <c r="D18152" t="inlineStr">
        <is>
          <t>VÄRMLANDS LÄN</t>
        </is>
      </c>
      <c r="E18152" t="inlineStr">
        <is>
          <t>KARLSTAD</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61642-2024</t>
        </is>
      </c>
      <c r="B18153" s="1" t="n">
        <v>45646</v>
      </c>
      <c r="C18153" s="1" t="n">
        <v>45736</v>
      </c>
      <c r="D18153" t="inlineStr">
        <is>
          <t>VÄRMLANDS LÄN</t>
        </is>
      </c>
      <c r="E18153" t="inlineStr">
        <is>
          <t>FILIPSTAD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61819-2024</t>
        </is>
      </c>
      <c r="B18154" s="1" t="n">
        <v>45646</v>
      </c>
      <c r="C18154" s="1" t="n">
        <v>45736</v>
      </c>
      <c r="D18154" t="inlineStr">
        <is>
          <t>VÄRMLANDS LÄN</t>
        </is>
      </c>
      <c r="E18154" t="inlineStr">
        <is>
          <t>SÄFFLE</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61478-2024</t>
        </is>
      </c>
      <c r="B18155" s="1" t="n">
        <v>45646</v>
      </c>
      <c r="C18155" s="1" t="n">
        <v>45736</v>
      </c>
      <c r="D18155" t="inlineStr">
        <is>
          <t>VÄRMLANDS LÄN</t>
        </is>
      </c>
      <c r="E18155" t="inlineStr">
        <is>
          <t>TORSBY</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61549-2024</t>
        </is>
      </c>
      <c r="B18156" s="1" t="n">
        <v>45646</v>
      </c>
      <c r="C18156" s="1" t="n">
        <v>45736</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61565-2024</t>
        </is>
      </c>
      <c r="B18157" s="1" t="n">
        <v>45646</v>
      </c>
      <c r="C18157" s="1" t="n">
        <v>45736</v>
      </c>
      <c r="D18157" t="inlineStr">
        <is>
          <t>VÄRMLANDS LÄN</t>
        </is>
      </c>
      <c r="E18157" t="inlineStr">
        <is>
          <t>TORSBY</t>
        </is>
      </c>
      <c r="F18157" t="inlineStr">
        <is>
          <t>Bergvik skog väst AB</t>
        </is>
      </c>
      <c r="G18157" t="n">
        <v>14.1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61811-2024</t>
        </is>
      </c>
      <c r="B18158" s="1" t="n">
        <v>45646</v>
      </c>
      <c r="C18158" s="1" t="n">
        <v>45736</v>
      </c>
      <c r="D18158" t="inlineStr">
        <is>
          <t>VÄRMLANDS LÄN</t>
        </is>
      </c>
      <c r="E18158" t="inlineStr">
        <is>
          <t>ÅRJÄNG</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61381-2024</t>
        </is>
      </c>
      <c r="B18159" s="1" t="n">
        <v>45646</v>
      </c>
      <c r="C18159" s="1" t="n">
        <v>45736</v>
      </c>
      <c r="D18159" t="inlineStr">
        <is>
          <t>VÄRMLANDS LÄN</t>
        </is>
      </c>
      <c r="E18159" t="inlineStr">
        <is>
          <t>EDA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61413-2024</t>
        </is>
      </c>
      <c r="B18160" s="1" t="n">
        <v>45646</v>
      </c>
      <c r="C18160" s="1" t="n">
        <v>45736</v>
      </c>
      <c r="D18160" t="inlineStr">
        <is>
          <t>VÄRMLANDS LÄN</t>
        </is>
      </c>
      <c r="E18160" t="inlineStr">
        <is>
          <t>EDA</t>
        </is>
      </c>
      <c r="G18160" t="n">
        <v>4.8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61631-2024</t>
        </is>
      </c>
      <c r="B18161" s="1" t="n">
        <v>45646</v>
      </c>
      <c r="C18161" s="1" t="n">
        <v>45736</v>
      </c>
      <c r="D18161" t="inlineStr">
        <is>
          <t>VÄRMLANDS LÄN</t>
        </is>
      </c>
      <c r="E18161" t="inlineStr">
        <is>
          <t>KRISTINEHAMN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61635-2024</t>
        </is>
      </c>
      <c r="B18162" s="1" t="n">
        <v>45646</v>
      </c>
      <c r="C18162" s="1" t="n">
        <v>45736</v>
      </c>
      <c r="D18162" t="inlineStr">
        <is>
          <t>VÄRMLANDS LÄN</t>
        </is>
      </c>
      <c r="E18162" t="inlineStr">
        <is>
          <t>KARLSTAD</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61643-2024</t>
        </is>
      </c>
      <c r="B18163" s="1" t="n">
        <v>45646</v>
      </c>
      <c r="C18163" s="1" t="n">
        <v>45736</v>
      </c>
      <c r="D18163" t="inlineStr">
        <is>
          <t>VÄRMLANDS LÄN</t>
        </is>
      </c>
      <c r="E18163" t="inlineStr">
        <is>
          <t>FILIPSTAD</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61824-2024</t>
        </is>
      </c>
      <c r="B18164" s="1" t="n">
        <v>45646</v>
      </c>
      <c r="C18164" s="1" t="n">
        <v>45736</v>
      </c>
      <c r="D18164" t="inlineStr">
        <is>
          <t>VÄRMLANDS LÄN</t>
        </is>
      </c>
      <c r="E18164" t="inlineStr">
        <is>
          <t>SÄFFLE</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62149-2024</t>
        </is>
      </c>
      <c r="B18165" s="1" t="n">
        <v>45646</v>
      </c>
      <c r="C18165" s="1" t="n">
        <v>45736</v>
      </c>
      <c r="D18165" t="inlineStr">
        <is>
          <t>VÄRMLANDS LÄN</t>
        </is>
      </c>
      <c r="E18165" t="inlineStr">
        <is>
          <t>SUNNE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61645-2024</t>
        </is>
      </c>
      <c r="B18166" s="1" t="n">
        <v>45646</v>
      </c>
      <c r="C18166" s="1" t="n">
        <v>45736</v>
      </c>
      <c r="D18166" t="inlineStr">
        <is>
          <t>VÄRMLANDS LÄN</t>
        </is>
      </c>
      <c r="E18166" t="inlineStr">
        <is>
          <t>SUNNE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61814-2024</t>
        </is>
      </c>
      <c r="B18167" s="1" t="n">
        <v>45646</v>
      </c>
      <c r="C18167" s="1" t="n">
        <v>45736</v>
      </c>
      <c r="D18167" t="inlineStr">
        <is>
          <t>VÄRMLANDS LÄN</t>
        </is>
      </c>
      <c r="E18167" t="inlineStr">
        <is>
          <t>ÅRJÄNG</t>
        </is>
      </c>
      <c r="G18167" t="n">
        <v>5.3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61672-2024</t>
        </is>
      </c>
      <c r="B18168" s="1" t="n">
        <v>45647</v>
      </c>
      <c r="C18168" s="1" t="n">
        <v>45736</v>
      </c>
      <c r="D18168" t="inlineStr">
        <is>
          <t>VÄRMLANDS LÄN</t>
        </is>
      </c>
      <c r="E18168" t="inlineStr">
        <is>
          <t>TORSBY</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61678-2024</t>
        </is>
      </c>
      <c r="B18169" s="1" t="n">
        <v>45647</v>
      </c>
      <c r="C18169" s="1" t="n">
        <v>45736</v>
      </c>
      <c r="D18169" t="inlineStr">
        <is>
          <t>VÄRMLANDS LÄN</t>
        </is>
      </c>
      <c r="E18169" t="inlineStr">
        <is>
          <t>KRISTINEHAMN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61674-2024</t>
        </is>
      </c>
      <c r="B18170" s="1" t="n">
        <v>45647</v>
      </c>
      <c r="C18170" s="1" t="n">
        <v>45736</v>
      </c>
      <c r="D18170" t="inlineStr">
        <is>
          <t>VÄRMLANDS LÄN</t>
        </is>
      </c>
      <c r="E18170" t="inlineStr">
        <is>
          <t>KRISTINEHAMN</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61675-2024</t>
        </is>
      </c>
      <c r="B18171" s="1" t="n">
        <v>45647</v>
      </c>
      <c r="C18171" s="1" t="n">
        <v>45736</v>
      </c>
      <c r="D18171" t="inlineStr">
        <is>
          <t>VÄRMLANDS LÄN</t>
        </is>
      </c>
      <c r="E18171" t="inlineStr">
        <is>
          <t>KRISTINEHAMN</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61712-2024</t>
        </is>
      </c>
      <c r="B18172" s="1" t="n">
        <v>45648</v>
      </c>
      <c r="C18172" s="1" t="n">
        <v>45736</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61713-2024</t>
        </is>
      </c>
      <c r="B18173" s="1" t="n">
        <v>45648</v>
      </c>
      <c r="C18173" s="1" t="n">
        <v>45736</v>
      </c>
      <c r="D18173" t="inlineStr">
        <is>
          <t>VÄRMLANDS LÄN</t>
        </is>
      </c>
      <c r="E18173" t="inlineStr">
        <is>
          <t>TORSBY</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61705-2024</t>
        </is>
      </c>
      <c r="B18174" s="1" t="n">
        <v>45648</v>
      </c>
      <c r="C18174" s="1" t="n">
        <v>45736</v>
      </c>
      <c r="D18174" t="inlineStr">
        <is>
          <t>VÄRMLANDS LÄN</t>
        </is>
      </c>
      <c r="E18174" t="inlineStr">
        <is>
          <t>ARVIKA</t>
        </is>
      </c>
      <c r="F18174" t="inlineStr">
        <is>
          <t>Bergvik skog väst AB</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61706-2024</t>
        </is>
      </c>
      <c r="B18175" s="1" t="n">
        <v>45648</v>
      </c>
      <c r="C18175" s="1" t="n">
        <v>45736</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61747-2024</t>
        </is>
      </c>
      <c r="B18176" s="1" t="n">
        <v>45649</v>
      </c>
      <c r="C18176" s="1" t="n">
        <v>45736</v>
      </c>
      <c r="D18176" t="inlineStr">
        <is>
          <t>VÄRMLANDS LÄN</t>
        </is>
      </c>
      <c r="E18176" t="inlineStr">
        <is>
          <t>KARLSTAD</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99-2025</t>
        </is>
      </c>
      <c r="B18177" s="1" t="n">
        <v>45649</v>
      </c>
      <c r="C18177" s="1" t="n">
        <v>45736</v>
      </c>
      <c r="D18177" t="inlineStr">
        <is>
          <t>VÄRMLANDS LÄN</t>
        </is>
      </c>
      <c r="E18177" t="inlineStr">
        <is>
          <t>ÅRJÄNG</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61855-2024</t>
        </is>
      </c>
      <c r="B18178" s="1" t="n">
        <v>45649</v>
      </c>
      <c r="C18178" s="1" t="n">
        <v>45736</v>
      </c>
      <c r="D18178" t="inlineStr">
        <is>
          <t>VÄRMLANDS LÄN</t>
        </is>
      </c>
      <c r="E18178" t="inlineStr">
        <is>
          <t>TORSBY</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61851-2024</t>
        </is>
      </c>
      <c r="B18179" s="1" t="n">
        <v>45649</v>
      </c>
      <c r="C18179" s="1" t="n">
        <v>45736</v>
      </c>
      <c r="D18179" t="inlineStr">
        <is>
          <t>VÄRMLANDS LÄN</t>
        </is>
      </c>
      <c r="E18179" t="inlineStr">
        <is>
          <t>TORSBY</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61793-2024</t>
        </is>
      </c>
      <c r="B18180" s="1" t="n">
        <v>45649</v>
      </c>
      <c r="C18180" s="1" t="n">
        <v>45736</v>
      </c>
      <c r="D18180" t="inlineStr">
        <is>
          <t>VÄRMLANDS LÄN</t>
        </is>
      </c>
      <c r="E18180" t="inlineStr">
        <is>
          <t>ÅRJÄNG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61736-2024</t>
        </is>
      </c>
      <c r="B18181" s="1" t="n">
        <v>45649</v>
      </c>
      <c r="C18181" s="1" t="n">
        <v>45736</v>
      </c>
      <c r="D18181" t="inlineStr">
        <is>
          <t>VÄRMLANDS LÄN</t>
        </is>
      </c>
      <c r="E18181" t="inlineStr">
        <is>
          <t>STORFORS</t>
        </is>
      </c>
      <c r="F18181" t="inlineStr">
        <is>
          <t>Bergvik skog väst AB</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61728-2024</t>
        </is>
      </c>
      <c r="B18182" s="1" t="n">
        <v>45649</v>
      </c>
      <c r="C18182" s="1" t="n">
        <v>45736</v>
      </c>
      <c r="D18182" t="inlineStr">
        <is>
          <t>VÄRMLANDS LÄN</t>
        </is>
      </c>
      <c r="E18182" t="inlineStr">
        <is>
          <t>STORFORS</t>
        </is>
      </c>
      <c r="F18182" t="inlineStr">
        <is>
          <t>Bergvik skog väst AB</t>
        </is>
      </c>
      <c r="G18182" t="n">
        <v>23.3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61856-2024</t>
        </is>
      </c>
      <c r="B18183" s="1" t="n">
        <v>45649</v>
      </c>
      <c r="C18183" s="1" t="n">
        <v>45736</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61791-2024</t>
        </is>
      </c>
      <c r="B18184" s="1" t="n">
        <v>45649</v>
      </c>
      <c r="C18184" s="1" t="n">
        <v>45736</v>
      </c>
      <c r="D18184" t="inlineStr">
        <is>
          <t>VÄRMLANDS LÄN</t>
        </is>
      </c>
      <c r="E18184" t="inlineStr">
        <is>
          <t>EDA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61754-2024</t>
        </is>
      </c>
      <c r="B18185" s="1" t="n">
        <v>45649</v>
      </c>
      <c r="C18185" s="1" t="n">
        <v>45736</v>
      </c>
      <c r="D18185" t="inlineStr">
        <is>
          <t>VÄRMLANDS LÄN</t>
        </is>
      </c>
      <c r="E18185" t="inlineStr">
        <is>
          <t>KRISTINEHAMN</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61746-2024</t>
        </is>
      </c>
      <c r="B18186" s="1" t="n">
        <v>45649</v>
      </c>
      <c r="C18186" s="1" t="n">
        <v>45736</v>
      </c>
      <c r="D18186" t="inlineStr">
        <is>
          <t>VÄRMLANDS LÄN</t>
        </is>
      </c>
      <c r="E18186" t="inlineStr">
        <is>
          <t>STORFORS</t>
        </is>
      </c>
      <c r="F18186" t="inlineStr">
        <is>
          <t>Bergvik skog väst AB</t>
        </is>
      </c>
      <c r="G18186" t="n">
        <v>10.7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61765-2024</t>
        </is>
      </c>
      <c r="B18187" s="1" t="n">
        <v>45649</v>
      </c>
      <c r="C18187" s="1" t="n">
        <v>45736</v>
      </c>
      <c r="D18187" t="inlineStr">
        <is>
          <t>VÄRMLANDS LÄN</t>
        </is>
      </c>
      <c r="E18187" t="inlineStr">
        <is>
          <t>STORFORS</t>
        </is>
      </c>
      <c r="F18187" t="inlineStr">
        <is>
          <t>Bergvik skog väst AB</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61741-2024</t>
        </is>
      </c>
      <c r="B18188" s="1" t="n">
        <v>45649</v>
      </c>
      <c r="C18188" s="1" t="n">
        <v>45736</v>
      </c>
      <c r="D18188" t="inlineStr">
        <is>
          <t>VÄRMLANDS LÄN</t>
        </is>
      </c>
      <c r="E18188" t="inlineStr">
        <is>
          <t>STORFORS</t>
        </is>
      </c>
      <c r="F18188" t="inlineStr">
        <is>
          <t>Bergvik skog väst AB</t>
        </is>
      </c>
      <c r="G18188" t="n">
        <v>7.6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61864-2024</t>
        </is>
      </c>
      <c r="B18189" s="1" t="n">
        <v>45650</v>
      </c>
      <c r="C18189" s="1" t="n">
        <v>45736</v>
      </c>
      <c r="D18189" t="inlineStr">
        <is>
          <t>VÄRMLANDS LÄN</t>
        </is>
      </c>
      <c r="E18189" t="inlineStr">
        <is>
          <t>ARVIKA</t>
        </is>
      </c>
      <c r="G18189" t="n">
        <v>13.3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61862-2024</t>
        </is>
      </c>
      <c r="B18190" s="1" t="n">
        <v>45650</v>
      </c>
      <c r="C18190" s="1" t="n">
        <v>45736</v>
      </c>
      <c r="D18190" t="inlineStr">
        <is>
          <t>VÄRMLANDS LÄN</t>
        </is>
      </c>
      <c r="E18190" t="inlineStr">
        <is>
          <t>SUNNE</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61865-2024</t>
        </is>
      </c>
      <c r="B18191" s="1" t="n">
        <v>45651</v>
      </c>
      <c r="C18191" s="1" t="n">
        <v>45736</v>
      </c>
      <c r="D18191" t="inlineStr">
        <is>
          <t>VÄRMLANDS LÄN</t>
        </is>
      </c>
      <c r="E18191" t="inlineStr">
        <is>
          <t>ARVIKA</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61868-2024</t>
        </is>
      </c>
      <c r="B18192" s="1" t="n">
        <v>45651</v>
      </c>
      <c r="C18192" s="1" t="n">
        <v>45736</v>
      </c>
      <c r="D18192" t="inlineStr">
        <is>
          <t>VÄRMLANDS LÄN</t>
        </is>
      </c>
      <c r="E18192" t="inlineStr">
        <is>
          <t>ÅRJÄNG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61866-2024</t>
        </is>
      </c>
      <c r="B18193" s="1" t="n">
        <v>45651</v>
      </c>
      <c r="C18193" s="1" t="n">
        <v>45736</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61885-2024</t>
        </is>
      </c>
      <c r="B18194" s="1" t="n">
        <v>45652</v>
      </c>
      <c r="C18194" s="1" t="n">
        <v>45736</v>
      </c>
      <c r="D18194" t="inlineStr">
        <is>
          <t>VÄRMLANDS LÄN</t>
        </is>
      </c>
      <c r="E18194" t="inlineStr">
        <is>
          <t>ARVIKA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235-2025</t>
        </is>
      </c>
      <c r="B18195" s="1" t="n">
        <v>45652</v>
      </c>
      <c r="C18195" s="1" t="n">
        <v>45736</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236-2025</t>
        </is>
      </c>
      <c r="B18196" s="1" t="n">
        <v>45653</v>
      </c>
      <c r="C18196" s="1" t="n">
        <v>45736</v>
      </c>
      <c r="D18196" t="inlineStr">
        <is>
          <t>VÄRMLANDS LÄN</t>
        </is>
      </c>
      <c r="E18196" t="inlineStr">
        <is>
          <t>ÅRJÄNG</t>
        </is>
      </c>
      <c r="F18196" t="inlineStr">
        <is>
          <t>Övriga Aktiebolag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61939-2024</t>
        </is>
      </c>
      <c r="B18197" s="1" t="n">
        <v>45653</v>
      </c>
      <c r="C18197" s="1" t="n">
        <v>45736</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61927-2024</t>
        </is>
      </c>
      <c r="B18198" s="1" t="n">
        <v>45653</v>
      </c>
      <c r="C18198" s="1" t="n">
        <v>45736</v>
      </c>
      <c r="D18198" t="inlineStr">
        <is>
          <t>VÄRMLANDS LÄN</t>
        </is>
      </c>
      <c r="E18198" t="inlineStr">
        <is>
          <t>ARVIKA</t>
        </is>
      </c>
      <c r="F18198" t="inlineStr">
        <is>
          <t>Bergvik skog väst AB</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61981-2024</t>
        </is>
      </c>
      <c r="B18199" s="1" t="n">
        <v>45653</v>
      </c>
      <c r="C18199" s="1" t="n">
        <v>45736</v>
      </c>
      <c r="D18199" t="inlineStr">
        <is>
          <t>VÄRMLANDS LÄN</t>
        </is>
      </c>
      <c r="E18199" t="inlineStr">
        <is>
          <t>HAGFORS</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61901-2024</t>
        </is>
      </c>
      <c r="B18200" s="1" t="n">
        <v>45653</v>
      </c>
      <c r="C18200" s="1" t="n">
        <v>45736</v>
      </c>
      <c r="D18200" t="inlineStr">
        <is>
          <t>VÄRMLANDS LÄN</t>
        </is>
      </c>
      <c r="E18200" t="inlineStr">
        <is>
          <t>EDA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61945-2024</t>
        </is>
      </c>
      <c r="B18201" s="1" t="n">
        <v>45653</v>
      </c>
      <c r="C18201" s="1" t="n">
        <v>45736</v>
      </c>
      <c r="D18201" t="inlineStr">
        <is>
          <t>VÄRMLANDS LÄN</t>
        </is>
      </c>
      <c r="E18201" t="inlineStr">
        <is>
          <t>ARVIKA</t>
        </is>
      </c>
      <c r="F18201" t="inlineStr">
        <is>
          <t>Bergvik skog väst AB</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61974-2024</t>
        </is>
      </c>
      <c r="B18202" s="1" t="n">
        <v>45653</v>
      </c>
      <c r="C18202" s="1" t="n">
        <v>45736</v>
      </c>
      <c r="D18202" t="inlineStr">
        <is>
          <t>VÄRMLANDS LÄN</t>
        </is>
      </c>
      <c r="E18202" t="inlineStr">
        <is>
          <t>STORFORS</t>
        </is>
      </c>
      <c r="F18202" t="inlineStr">
        <is>
          <t>Bergvik skog väst AB</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61978-2024</t>
        </is>
      </c>
      <c r="B18203" s="1" t="n">
        <v>45653</v>
      </c>
      <c r="C18203" s="1" t="n">
        <v>45736</v>
      </c>
      <c r="D18203" t="inlineStr">
        <is>
          <t>VÄRMLANDS LÄN</t>
        </is>
      </c>
      <c r="E18203" t="inlineStr">
        <is>
          <t>HAGFORS</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61913-2024</t>
        </is>
      </c>
      <c r="B18204" s="1" t="n">
        <v>45653</v>
      </c>
      <c r="C18204" s="1" t="n">
        <v>45736</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61963-2024</t>
        </is>
      </c>
      <c r="B18205" s="1" t="n">
        <v>45653</v>
      </c>
      <c r="C18205" s="1" t="n">
        <v>45736</v>
      </c>
      <c r="D18205" t="inlineStr">
        <is>
          <t>VÄRMLANDS LÄN</t>
        </is>
      </c>
      <c r="E18205" t="inlineStr">
        <is>
          <t>SÄFFLE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62001-2024</t>
        </is>
      </c>
      <c r="B18206" s="1" t="n">
        <v>45654</v>
      </c>
      <c r="C18206" s="1" t="n">
        <v>45736</v>
      </c>
      <c r="D18206" t="inlineStr">
        <is>
          <t>VÄRMLANDS LÄN</t>
        </is>
      </c>
      <c r="E18206" t="inlineStr">
        <is>
          <t>STORFORS</t>
        </is>
      </c>
      <c r="F18206" t="inlineStr">
        <is>
          <t>Bergvik skog väst AB</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61999-2024</t>
        </is>
      </c>
      <c r="B18207" s="1" t="n">
        <v>45654</v>
      </c>
      <c r="C18207" s="1" t="n">
        <v>45736</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62007-2024</t>
        </is>
      </c>
      <c r="B18208" s="1" t="n">
        <v>45655</v>
      </c>
      <c r="C18208" s="1" t="n">
        <v>45736</v>
      </c>
      <c r="D18208" t="inlineStr">
        <is>
          <t>VÄRMLANDS LÄN</t>
        </is>
      </c>
      <c r="E18208" t="inlineStr">
        <is>
          <t>ÅRJÄNG</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62011-2024</t>
        </is>
      </c>
      <c r="B18209" s="1" t="n">
        <v>45655</v>
      </c>
      <c r="C18209" s="1" t="n">
        <v>45736</v>
      </c>
      <c r="D18209" t="inlineStr">
        <is>
          <t>VÄRMLANDS LÄN</t>
        </is>
      </c>
      <c r="E18209" t="inlineStr">
        <is>
          <t>ARVIKA</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62013-2024</t>
        </is>
      </c>
      <c r="B18210" s="1" t="n">
        <v>45655</v>
      </c>
      <c r="C18210" s="1" t="n">
        <v>45736</v>
      </c>
      <c r="D18210" t="inlineStr">
        <is>
          <t>VÄRMLANDS LÄN</t>
        </is>
      </c>
      <c r="E18210" t="inlineStr">
        <is>
          <t>FILIPSTAD</t>
        </is>
      </c>
      <c r="G18210" t="n">
        <v>26.5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62014-2024</t>
        </is>
      </c>
      <c r="B18211" s="1" t="n">
        <v>45655</v>
      </c>
      <c r="C18211" s="1" t="n">
        <v>45736</v>
      </c>
      <c r="D18211" t="inlineStr">
        <is>
          <t>VÄRMLANDS LÄN</t>
        </is>
      </c>
      <c r="E18211" t="inlineStr">
        <is>
          <t>FILIPSTAD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62029-2024</t>
        </is>
      </c>
      <c r="B18212" s="1" t="n">
        <v>45656</v>
      </c>
      <c r="C18212" s="1" t="n">
        <v>45736</v>
      </c>
      <c r="D18212" t="inlineStr">
        <is>
          <t>VÄRMLANDS LÄN</t>
        </is>
      </c>
      <c r="E18212" t="inlineStr">
        <is>
          <t>KRISTINEHAMN</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62033-2024</t>
        </is>
      </c>
      <c r="B18213" s="1" t="n">
        <v>45656</v>
      </c>
      <c r="C18213" s="1" t="n">
        <v>45736</v>
      </c>
      <c r="D18213" t="inlineStr">
        <is>
          <t>VÄRMLANDS LÄN</t>
        </is>
      </c>
      <c r="E18213" t="inlineStr">
        <is>
          <t>KRISTINEHAMN</t>
        </is>
      </c>
      <c r="G18213" t="n">
        <v>0.3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62069-2024</t>
        </is>
      </c>
      <c r="B18214" s="1" t="n">
        <v>45656</v>
      </c>
      <c r="C18214" s="1" t="n">
        <v>45736</v>
      </c>
      <c r="D18214" t="inlineStr">
        <is>
          <t>VÄRMLANDS LÄN</t>
        </is>
      </c>
      <c r="E18214" t="inlineStr">
        <is>
          <t>STORFORS</t>
        </is>
      </c>
      <c r="F18214" t="inlineStr">
        <is>
          <t>Bergvik skog väst AB</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62092-2024</t>
        </is>
      </c>
      <c r="B18215" s="1" t="n">
        <v>45656</v>
      </c>
      <c r="C18215" s="1" t="n">
        <v>45736</v>
      </c>
      <c r="D18215" t="inlineStr">
        <is>
          <t>VÄRMLANDS LÄN</t>
        </is>
      </c>
      <c r="E18215" t="inlineStr">
        <is>
          <t>TORSBY</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62090-2024</t>
        </is>
      </c>
      <c r="B18216" s="1" t="n">
        <v>45656</v>
      </c>
      <c r="C18216" s="1" t="n">
        <v>45736</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62085-2024</t>
        </is>
      </c>
      <c r="B18217" s="1" t="n">
        <v>45656</v>
      </c>
      <c r="C18217" s="1" t="n">
        <v>45736</v>
      </c>
      <c r="D18217" t="inlineStr">
        <is>
          <t>VÄRMLANDS LÄN</t>
        </is>
      </c>
      <c r="E18217" t="inlineStr">
        <is>
          <t>STORFORS</t>
        </is>
      </c>
      <c r="F18217" t="inlineStr">
        <is>
          <t>Bergvik skog väst AB</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283-2025</t>
        </is>
      </c>
      <c r="B18218" s="1" t="n">
        <v>45656</v>
      </c>
      <c r="C18218" s="1" t="n">
        <v>45736</v>
      </c>
      <c r="D18218" t="inlineStr">
        <is>
          <t>VÄRMLANDS LÄN</t>
        </is>
      </c>
      <c r="E18218" t="inlineStr">
        <is>
          <t>ÅRJÄNG</t>
        </is>
      </c>
      <c r="F18218" t="inlineStr">
        <is>
          <t>Övriga Aktiebolag</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62035-2024</t>
        </is>
      </c>
      <c r="B18219" s="1" t="n">
        <v>45656</v>
      </c>
      <c r="C18219" s="1" t="n">
        <v>45736</v>
      </c>
      <c r="D18219" t="inlineStr">
        <is>
          <t>VÄRMLANDS LÄN</t>
        </is>
      </c>
      <c r="E18219" t="inlineStr">
        <is>
          <t>KRISTINEHAMN</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62032-2024</t>
        </is>
      </c>
      <c r="B18220" s="1" t="n">
        <v>45656</v>
      </c>
      <c r="C18220" s="1" t="n">
        <v>45736</v>
      </c>
      <c r="D18220" t="inlineStr">
        <is>
          <t>VÄRMLANDS LÄN</t>
        </is>
      </c>
      <c r="E18220" t="inlineStr">
        <is>
          <t>KRISTINEHAMN</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62034-2024</t>
        </is>
      </c>
      <c r="B18221" s="1" t="n">
        <v>45656</v>
      </c>
      <c r="C18221" s="1" t="n">
        <v>45736</v>
      </c>
      <c r="D18221" t="inlineStr">
        <is>
          <t>VÄRMLANDS LÄN</t>
        </is>
      </c>
      <c r="E18221" t="inlineStr">
        <is>
          <t>STORFORS</t>
        </is>
      </c>
      <c r="F18221" t="inlineStr">
        <is>
          <t>Bergvik skog väst AB</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62030-2024</t>
        </is>
      </c>
      <c r="B18222" s="1" t="n">
        <v>45656</v>
      </c>
      <c r="C18222" s="1" t="n">
        <v>45736</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62170-2024</t>
        </is>
      </c>
      <c r="B18223" s="1" t="n">
        <v>45657</v>
      </c>
      <c r="C18223" s="1" t="n">
        <v>45736</v>
      </c>
      <c r="D18223" t="inlineStr">
        <is>
          <t>VÄRMLANDS LÄN</t>
        </is>
      </c>
      <c r="E18223" t="inlineStr">
        <is>
          <t>ARVIKA</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62166-2024</t>
        </is>
      </c>
      <c r="B18224" s="1" t="n">
        <v>45657</v>
      </c>
      <c r="C18224" s="1" t="n">
        <v>45736</v>
      </c>
      <c r="D18224" t="inlineStr">
        <is>
          <t>VÄRMLANDS LÄN</t>
        </is>
      </c>
      <c r="E18224" t="inlineStr">
        <is>
          <t>SUNNE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62169-2024</t>
        </is>
      </c>
      <c r="B18225" s="1" t="n">
        <v>45657</v>
      </c>
      <c r="C18225" s="1" t="n">
        <v>45736</v>
      </c>
      <c r="D18225" t="inlineStr">
        <is>
          <t>VÄRMLANDS LÄN</t>
        </is>
      </c>
      <c r="E18225" t="inlineStr">
        <is>
          <t>ARVIKA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62167-2024</t>
        </is>
      </c>
      <c r="B18226" s="1" t="n">
        <v>45657</v>
      </c>
      <c r="C18226" s="1" t="n">
        <v>45736</v>
      </c>
      <c r="D18226" t="inlineStr">
        <is>
          <t>VÄRMLANDS LÄN</t>
        </is>
      </c>
      <c r="E18226" t="inlineStr">
        <is>
          <t>STORFORS</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15-2025</t>
        </is>
      </c>
      <c r="B18227" s="1" t="n">
        <v>45658</v>
      </c>
      <c r="C18227" s="1" t="n">
        <v>45736</v>
      </c>
      <c r="D18227" t="inlineStr">
        <is>
          <t>VÄRMLANDS LÄN</t>
        </is>
      </c>
      <c r="E18227" t="inlineStr">
        <is>
          <t>FILIPSTAD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46-2025</t>
        </is>
      </c>
      <c r="B18228" s="1" t="n">
        <v>45659</v>
      </c>
      <c r="C18228" s="1" t="n">
        <v>45736</v>
      </c>
      <c r="D18228" t="inlineStr">
        <is>
          <t>VÄRMLANDS LÄN</t>
        </is>
      </c>
      <c r="E18228" t="inlineStr">
        <is>
          <t>ARVIKA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57-2025</t>
        </is>
      </c>
      <c r="B18229" s="1" t="n">
        <v>45659</v>
      </c>
      <c r="C18229" s="1" t="n">
        <v>45736</v>
      </c>
      <c r="D18229" t="inlineStr">
        <is>
          <t>VÄRMLANDS LÄN</t>
        </is>
      </c>
      <c r="E18229" t="inlineStr">
        <is>
          <t>HAGFORS</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54-2025</t>
        </is>
      </c>
      <c r="B18230" s="1" t="n">
        <v>45659</v>
      </c>
      <c r="C18230" s="1" t="n">
        <v>45736</v>
      </c>
      <c r="D18230" t="inlineStr">
        <is>
          <t>VÄRMLANDS LÄN</t>
        </is>
      </c>
      <c r="E18230" t="inlineStr">
        <is>
          <t>HAGFORS</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61-2025</t>
        </is>
      </c>
      <c r="B18231" s="1" t="n">
        <v>45659</v>
      </c>
      <c r="C18231" s="1" t="n">
        <v>45736</v>
      </c>
      <c r="D18231" t="inlineStr">
        <is>
          <t>VÄRMLANDS LÄN</t>
        </is>
      </c>
      <c r="E18231" t="inlineStr">
        <is>
          <t>TORSBY</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85-2025</t>
        </is>
      </c>
      <c r="B18232" s="1" t="n">
        <v>45659</v>
      </c>
      <c r="C18232" s="1" t="n">
        <v>45736</v>
      </c>
      <c r="D18232" t="inlineStr">
        <is>
          <t>VÄRMLANDS LÄN</t>
        </is>
      </c>
      <c r="E18232" t="inlineStr">
        <is>
          <t>SÄFFLE</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73-2025</t>
        </is>
      </c>
      <c r="B18233" s="1" t="n">
        <v>45659</v>
      </c>
      <c r="C18233" s="1" t="n">
        <v>45736</v>
      </c>
      <c r="D18233" t="inlineStr">
        <is>
          <t>VÄRMLANDS LÄN</t>
        </is>
      </c>
      <c r="E18233" t="inlineStr">
        <is>
          <t>EDA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49-2025</t>
        </is>
      </c>
      <c r="B18234" s="1" t="n">
        <v>45659</v>
      </c>
      <c r="C18234" s="1" t="n">
        <v>45736</v>
      </c>
      <c r="D18234" t="inlineStr">
        <is>
          <t>VÄRMLANDS LÄN</t>
        </is>
      </c>
      <c r="E18234" t="inlineStr">
        <is>
          <t>ARVIKA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127-2025</t>
        </is>
      </c>
      <c r="B18235" s="1" t="n">
        <v>45659</v>
      </c>
      <c r="C18235" s="1" t="n">
        <v>45736</v>
      </c>
      <c r="D18235" t="inlineStr">
        <is>
          <t>VÄRMLANDS LÄN</t>
        </is>
      </c>
      <c r="E18235" t="inlineStr">
        <is>
          <t>ARVIKA</t>
        </is>
      </c>
      <c r="G18235" t="n">
        <v>13.4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158-2025</t>
        </is>
      </c>
      <c r="B18236" s="1" t="n">
        <v>45659</v>
      </c>
      <c r="C18236" s="1" t="n">
        <v>45736</v>
      </c>
      <c r="D18236" t="inlineStr">
        <is>
          <t>VÄRMLANDS LÄN</t>
        </is>
      </c>
      <c r="E18236" t="inlineStr">
        <is>
          <t>ARVIKA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200-2025</t>
        </is>
      </c>
      <c r="B18237" s="1" t="n">
        <v>45659</v>
      </c>
      <c r="C18237" s="1" t="n">
        <v>45736</v>
      </c>
      <c r="D18237" t="inlineStr">
        <is>
          <t>VÄRMLANDS LÄN</t>
        </is>
      </c>
      <c r="E18237" t="inlineStr">
        <is>
          <t>TORSBY</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311-2025</t>
        </is>
      </c>
      <c r="B18238" s="1" t="n">
        <v>45660</v>
      </c>
      <c r="C18238" s="1" t="n">
        <v>45736</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301-2025</t>
        </is>
      </c>
      <c r="B18239" s="1" t="n">
        <v>45660</v>
      </c>
      <c r="C18239" s="1" t="n">
        <v>45736</v>
      </c>
      <c r="D18239" t="inlineStr">
        <is>
          <t>VÄRMLANDS LÄN</t>
        </is>
      </c>
      <c r="E18239" t="inlineStr">
        <is>
          <t>ÅRJÄNG</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310-2025</t>
        </is>
      </c>
      <c r="B18240" s="1" t="n">
        <v>45660</v>
      </c>
      <c r="C18240" s="1" t="n">
        <v>45736</v>
      </c>
      <c r="D18240" t="inlineStr">
        <is>
          <t>VÄRMLANDS LÄN</t>
        </is>
      </c>
      <c r="E18240" t="inlineStr">
        <is>
          <t>ARVIKA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213-2025</t>
        </is>
      </c>
      <c r="B18241" s="1" t="n">
        <v>45660</v>
      </c>
      <c r="C18241" s="1" t="n">
        <v>45736</v>
      </c>
      <c r="D18241" t="inlineStr">
        <is>
          <t>VÄRMLANDS LÄN</t>
        </is>
      </c>
      <c r="E18241" t="inlineStr">
        <is>
          <t>STORFORS</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202-2025</t>
        </is>
      </c>
      <c r="B18242" s="1" t="n">
        <v>45660</v>
      </c>
      <c r="C18242" s="1" t="n">
        <v>45736</v>
      </c>
      <c r="D18242" t="inlineStr">
        <is>
          <t>VÄRMLANDS LÄN</t>
        </is>
      </c>
      <c r="E18242" t="inlineStr">
        <is>
          <t>TORSBY</t>
        </is>
      </c>
      <c r="F18242" t="inlineStr">
        <is>
          <t>Bergvik skog väst AB</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233-2025</t>
        </is>
      </c>
      <c r="B18243" s="1" t="n">
        <v>45660</v>
      </c>
      <c r="C18243" s="1" t="n">
        <v>45736</v>
      </c>
      <c r="D18243" t="inlineStr">
        <is>
          <t>VÄRMLANDS LÄN</t>
        </is>
      </c>
      <c r="E18243" t="inlineStr">
        <is>
          <t>HAGFORS</t>
        </is>
      </c>
      <c r="G18243" t="n">
        <v>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269-2025</t>
        </is>
      </c>
      <c r="B18244" s="1" t="n">
        <v>45660</v>
      </c>
      <c r="C18244" s="1" t="n">
        <v>45736</v>
      </c>
      <c r="D18244" t="inlineStr">
        <is>
          <t>VÄRMLANDS LÄN</t>
        </is>
      </c>
      <c r="E18244" t="inlineStr">
        <is>
          <t>SUNNE</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227-2025</t>
        </is>
      </c>
      <c r="B18245" s="1" t="n">
        <v>45660</v>
      </c>
      <c r="C18245" s="1" t="n">
        <v>45736</v>
      </c>
      <c r="D18245" t="inlineStr">
        <is>
          <t>VÄRMLANDS LÄN</t>
        </is>
      </c>
      <c r="E18245" t="inlineStr">
        <is>
          <t>STORFORS</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215-2025</t>
        </is>
      </c>
      <c r="B18246" s="1" t="n">
        <v>45660</v>
      </c>
      <c r="C18246" s="1" t="n">
        <v>45736</v>
      </c>
      <c r="D18246" t="inlineStr">
        <is>
          <t>VÄRMLANDS LÄN</t>
        </is>
      </c>
      <c r="E18246" t="inlineStr">
        <is>
          <t>STORFORS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364-2025</t>
        </is>
      </c>
      <c r="B18247" s="1" t="n">
        <v>45661</v>
      </c>
      <c r="C18247" s="1" t="n">
        <v>45736</v>
      </c>
      <c r="D18247" t="inlineStr">
        <is>
          <t>VÄRMLANDS LÄN</t>
        </is>
      </c>
      <c r="E18247" t="inlineStr">
        <is>
          <t>TORSBY</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375-2025</t>
        </is>
      </c>
      <c r="B18248" s="1" t="n">
        <v>45661</v>
      </c>
      <c r="C18248" s="1" t="n">
        <v>45736</v>
      </c>
      <c r="D18248" t="inlineStr">
        <is>
          <t>VÄRMLANDS LÄN</t>
        </is>
      </c>
      <c r="E18248" t="inlineStr">
        <is>
          <t>TORSBY</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386-2025</t>
        </is>
      </c>
      <c r="B18249" s="1" t="n">
        <v>45662</v>
      </c>
      <c r="C18249" s="1" t="n">
        <v>45736</v>
      </c>
      <c r="D18249" t="inlineStr">
        <is>
          <t>VÄRMLANDS LÄN</t>
        </is>
      </c>
      <c r="E18249" t="inlineStr">
        <is>
          <t>KRISTINEHAMN</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378-2025</t>
        </is>
      </c>
      <c r="B18250" s="1" t="n">
        <v>45662</v>
      </c>
      <c r="C18250" s="1" t="n">
        <v>45736</v>
      </c>
      <c r="D18250" t="inlineStr">
        <is>
          <t>VÄRMLANDS LÄN</t>
        </is>
      </c>
      <c r="E18250" t="inlineStr">
        <is>
          <t>FILIPSTAD</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383-2025</t>
        </is>
      </c>
      <c r="B18251" s="1" t="n">
        <v>45662</v>
      </c>
      <c r="C18251" s="1" t="n">
        <v>45736</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384-2025</t>
        </is>
      </c>
      <c r="B18252" s="1" t="n">
        <v>45662</v>
      </c>
      <c r="C18252" s="1" t="n">
        <v>45736</v>
      </c>
      <c r="D18252" t="inlineStr">
        <is>
          <t>VÄRMLANDS LÄN</t>
        </is>
      </c>
      <c r="E18252" t="inlineStr">
        <is>
          <t>EDA</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391-2025</t>
        </is>
      </c>
      <c r="B18253" s="1" t="n">
        <v>45663</v>
      </c>
      <c r="C18253" s="1" t="n">
        <v>45736</v>
      </c>
      <c r="D18253" t="inlineStr">
        <is>
          <t>VÄRMLANDS LÄN</t>
        </is>
      </c>
      <c r="E18253" t="inlineStr">
        <is>
          <t>TORSBY</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420-2025</t>
        </is>
      </c>
      <c r="B18254" s="1" t="n">
        <v>45663</v>
      </c>
      <c r="C18254" s="1" t="n">
        <v>45736</v>
      </c>
      <c r="D18254" t="inlineStr">
        <is>
          <t>VÄRMLANDS LÄN</t>
        </is>
      </c>
      <c r="E18254" t="inlineStr">
        <is>
          <t>ARVIKA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392-2025</t>
        </is>
      </c>
      <c r="B18255" s="1" t="n">
        <v>45663</v>
      </c>
      <c r="C18255" s="1" t="n">
        <v>45736</v>
      </c>
      <c r="D18255" t="inlineStr">
        <is>
          <t>VÄRMLANDS LÄN</t>
        </is>
      </c>
      <c r="E18255" t="inlineStr">
        <is>
          <t>TORSBY</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474-2025</t>
        </is>
      </c>
      <c r="B18256" s="1" t="n">
        <v>45664</v>
      </c>
      <c r="C18256" s="1" t="n">
        <v>45736</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422-2025</t>
        </is>
      </c>
      <c r="B18257" s="1" t="n">
        <v>45664</v>
      </c>
      <c r="C18257" s="1" t="n">
        <v>45736</v>
      </c>
      <c r="D18257" t="inlineStr">
        <is>
          <t>VÄRMLANDS LÄN</t>
        </is>
      </c>
      <c r="E18257" t="inlineStr">
        <is>
          <t>FILIPSTAD</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492-2025</t>
        </is>
      </c>
      <c r="B18258" s="1" t="n">
        <v>45664</v>
      </c>
      <c r="C18258" s="1" t="n">
        <v>45736</v>
      </c>
      <c r="D18258" t="inlineStr">
        <is>
          <t>VÄRMLANDS LÄN</t>
        </is>
      </c>
      <c r="E18258" t="inlineStr">
        <is>
          <t>TORSBY</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501-2025</t>
        </is>
      </c>
      <c r="B18259" s="1" t="n">
        <v>45664</v>
      </c>
      <c r="C18259" s="1" t="n">
        <v>45736</v>
      </c>
      <c r="D18259" t="inlineStr">
        <is>
          <t>VÄRMLANDS LÄN</t>
        </is>
      </c>
      <c r="E18259" t="inlineStr">
        <is>
          <t>HAGFORS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423-2025</t>
        </is>
      </c>
      <c r="B18260" s="1" t="n">
        <v>45664</v>
      </c>
      <c r="C18260" s="1" t="n">
        <v>45736</v>
      </c>
      <c r="D18260" t="inlineStr">
        <is>
          <t>VÄRMLANDS LÄN</t>
        </is>
      </c>
      <c r="E18260" t="inlineStr">
        <is>
          <t>KRISTINEHAMN</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424-2025</t>
        </is>
      </c>
      <c r="B18261" s="1" t="n">
        <v>45664</v>
      </c>
      <c r="C18261" s="1" t="n">
        <v>45736</v>
      </c>
      <c r="D18261" t="inlineStr">
        <is>
          <t>VÄRMLANDS LÄN</t>
        </is>
      </c>
      <c r="E18261" t="inlineStr">
        <is>
          <t>ÅRJÄNG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441-2025</t>
        </is>
      </c>
      <c r="B18262" s="1" t="n">
        <v>45664</v>
      </c>
      <c r="C18262" s="1" t="n">
        <v>45736</v>
      </c>
      <c r="D18262" t="inlineStr">
        <is>
          <t>VÄRMLANDS LÄN</t>
        </is>
      </c>
      <c r="E18262" t="inlineStr">
        <is>
          <t>ARVIKA</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485-2025</t>
        </is>
      </c>
      <c r="B18263" s="1" t="n">
        <v>45664</v>
      </c>
      <c r="C18263" s="1" t="n">
        <v>45736</v>
      </c>
      <c r="D18263" t="inlineStr">
        <is>
          <t>VÄRMLANDS LÄN</t>
        </is>
      </c>
      <c r="E18263" t="inlineStr">
        <is>
          <t>TORSBY</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480-2025</t>
        </is>
      </c>
      <c r="B18264" s="1" t="n">
        <v>45664</v>
      </c>
      <c r="C18264" s="1" t="n">
        <v>45736</v>
      </c>
      <c r="D18264" t="inlineStr">
        <is>
          <t>VÄRMLANDS LÄN</t>
        </is>
      </c>
      <c r="E18264" t="inlineStr">
        <is>
          <t>ÅRJÄNG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521-2025</t>
        </is>
      </c>
      <c r="B18265" s="1" t="n">
        <v>45664</v>
      </c>
      <c r="C18265" s="1" t="n">
        <v>45736</v>
      </c>
      <c r="D18265" t="inlineStr">
        <is>
          <t>VÄRMLANDS LÄN</t>
        </is>
      </c>
      <c r="E18265" t="inlineStr">
        <is>
          <t>ÅRJÄNG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644-2025</t>
        </is>
      </c>
      <c r="B18266" s="1" t="n">
        <v>45664</v>
      </c>
      <c r="C18266" s="1" t="n">
        <v>45736</v>
      </c>
      <c r="D18266" t="inlineStr">
        <is>
          <t>VÄRMLANDS LÄN</t>
        </is>
      </c>
      <c r="E18266" t="inlineStr">
        <is>
          <t>TORSBY</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670-2025</t>
        </is>
      </c>
      <c r="B18267" s="1" t="n">
        <v>45664</v>
      </c>
      <c r="C18267" s="1" t="n">
        <v>45736</v>
      </c>
      <c r="D18267" t="inlineStr">
        <is>
          <t>VÄRMLANDS LÄN</t>
        </is>
      </c>
      <c r="E18267" t="inlineStr">
        <is>
          <t>KRISTINEHAMN</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654-2025</t>
        </is>
      </c>
      <c r="B18268" s="1" t="n">
        <v>45664</v>
      </c>
      <c r="C18268" s="1" t="n">
        <v>45736</v>
      </c>
      <c r="D18268" t="inlineStr">
        <is>
          <t>VÄRMLANDS LÄN</t>
        </is>
      </c>
      <c r="E18268" t="inlineStr">
        <is>
          <t>TORSBY</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906-2025</t>
        </is>
      </c>
      <c r="B18269" s="1" t="n">
        <v>45664</v>
      </c>
      <c r="C18269" s="1" t="n">
        <v>45736</v>
      </c>
      <c r="D18269" t="inlineStr">
        <is>
          <t>VÄRMLANDS LÄN</t>
        </is>
      </c>
      <c r="E18269" t="inlineStr">
        <is>
          <t>TORSBY</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909-2025</t>
        </is>
      </c>
      <c r="B18270" s="1" t="n">
        <v>45664</v>
      </c>
      <c r="C18270" s="1" t="n">
        <v>45736</v>
      </c>
      <c r="D18270" t="inlineStr">
        <is>
          <t>VÄRMLANDS LÄN</t>
        </is>
      </c>
      <c r="E18270" t="inlineStr">
        <is>
          <t>GRUMS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648-2025</t>
        </is>
      </c>
      <c r="B18271" s="1" t="n">
        <v>45664</v>
      </c>
      <c r="C18271" s="1" t="n">
        <v>45736</v>
      </c>
      <c r="D18271" t="inlineStr">
        <is>
          <t>VÄRMLANDS LÄN</t>
        </is>
      </c>
      <c r="E18271" t="inlineStr">
        <is>
          <t>KARLSTAD</t>
        </is>
      </c>
      <c r="G18271" t="n">
        <v>8</v>
      </c>
      <c r="H18271" t="n">
        <v>0</v>
      </c>
      <c r="I18271" t="n">
        <v>0</v>
      </c>
      <c r="J18271" t="n">
        <v>0</v>
      </c>
      <c r="K18271" t="n">
        <v>0</v>
      </c>
      <c r="L18271" t="n">
        <v>0</v>
      </c>
      <c r="M18271" t="n">
        <v>0</v>
      </c>
      <c r="N18271" t="n">
        <v>0</v>
      </c>
      <c r="O18271" t="n">
        <v>0</v>
      </c>
      <c r="P18271" t="n">
        <v>0</v>
      </c>
      <c r="Q18271" t="n">
        <v>0</v>
      </c>
      <c r="R18271" s="2" t="inlineStr"/>
      <c r="U18271">
        <f>HYPERLINK("https://klasma.github.io/Logging_1780/knärot/A 648-2025 karta knärot.png", "A 648-2025")</f>
        <v/>
      </c>
      <c r="V18271">
        <f>HYPERLINK("https://klasma.github.io/Logging_1780/klagomål/A 648-2025 FSC-klagomål.docx", "A 648-2025")</f>
        <v/>
      </c>
      <c r="W18271">
        <f>HYPERLINK("https://klasma.github.io/Logging_1780/klagomålsmail/A 648-2025 FSC-klagomål mail.docx", "A 648-2025")</f>
        <v/>
      </c>
      <c r="X18271">
        <f>HYPERLINK("https://klasma.github.io/Logging_1780/tillsyn/A 648-2025 tillsynsbegäran.docx", "A 648-2025")</f>
        <v/>
      </c>
      <c r="Y18271">
        <f>HYPERLINK("https://klasma.github.io/Logging_1780/tillsynsmail/A 648-2025 tillsynsbegäran mail.docx", "A 648-2025")</f>
        <v/>
      </c>
    </row>
    <row r="18272" ht="15" customHeight="1">
      <c r="A18272" t="inlineStr">
        <is>
          <t>A 684-2025</t>
        </is>
      </c>
      <c r="B18272" s="1" t="n">
        <v>45665</v>
      </c>
      <c r="C18272" s="1" t="n">
        <v>45736</v>
      </c>
      <c r="D18272" t="inlineStr">
        <is>
          <t>VÄRMLANDS LÄN</t>
        </is>
      </c>
      <c r="E18272" t="inlineStr">
        <is>
          <t>SUNNE</t>
        </is>
      </c>
      <c r="G18272" t="n">
        <v>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718-2025</t>
        </is>
      </c>
      <c r="B18273" s="1" t="n">
        <v>45665</v>
      </c>
      <c r="C18273" s="1" t="n">
        <v>45736</v>
      </c>
      <c r="D18273" t="inlineStr">
        <is>
          <t>VÄRMLANDS LÄN</t>
        </is>
      </c>
      <c r="E18273" t="inlineStr">
        <is>
          <t>TORSBY</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722-2025</t>
        </is>
      </c>
      <c r="B18274" s="1" t="n">
        <v>45665</v>
      </c>
      <c r="C18274" s="1" t="n">
        <v>45736</v>
      </c>
      <c r="D18274" t="inlineStr">
        <is>
          <t>VÄRMLANDS LÄN</t>
        </is>
      </c>
      <c r="E18274" t="inlineStr">
        <is>
          <t>FILIPSTAD</t>
        </is>
      </c>
      <c r="G18274" t="n">
        <v>3.6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869-2025</t>
        </is>
      </c>
      <c r="B18275" s="1" t="n">
        <v>45665</v>
      </c>
      <c r="C18275" s="1" t="n">
        <v>45736</v>
      </c>
      <c r="D18275" t="inlineStr">
        <is>
          <t>VÄRMLANDS LÄN</t>
        </is>
      </c>
      <c r="E18275" t="inlineStr">
        <is>
          <t>FILIPSTAD</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972-2025</t>
        </is>
      </c>
      <c r="B18276" s="1" t="n">
        <v>45665</v>
      </c>
      <c r="C18276" s="1" t="n">
        <v>45736</v>
      </c>
      <c r="D18276" t="inlineStr">
        <is>
          <t>VÄRMLANDS LÄN</t>
        </is>
      </c>
      <c r="E18276" t="inlineStr">
        <is>
          <t>GRUMS</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820-2025</t>
        </is>
      </c>
      <c r="B18277" s="1" t="n">
        <v>45665</v>
      </c>
      <c r="C18277" s="1" t="n">
        <v>45736</v>
      </c>
      <c r="D18277" t="inlineStr">
        <is>
          <t>VÄRMLANDS LÄN</t>
        </is>
      </c>
      <c r="E18277" t="inlineStr">
        <is>
          <t>ARVIKA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793-2025</t>
        </is>
      </c>
      <c r="B18278" s="1" t="n">
        <v>45665</v>
      </c>
      <c r="C18278" s="1" t="n">
        <v>45736</v>
      </c>
      <c r="D18278" t="inlineStr">
        <is>
          <t>VÄRMLANDS LÄN</t>
        </is>
      </c>
      <c r="E18278" t="inlineStr">
        <is>
          <t>HAMMARÖ</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707-2025</t>
        </is>
      </c>
      <c r="B18279" s="1" t="n">
        <v>45665</v>
      </c>
      <c r="C18279" s="1" t="n">
        <v>45736</v>
      </c>
      <c r="D18279" t="inlineStr">
        <is>
          <t>VÄRMLANDS LÄN</t>
        </is>
      </c>
      <c r="E18279" t="inlineStr">
        <is>
          <t>TORSBY</t>
        </is>
      </c>
      <c r="F18279" t="inlineStr">
        <is>
          <t>Bergvik skog väst AB</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1041-2025</t>
        </is>
      </c>
      <c r="B18280" s="1" t="n">
        <v>45665</v>
      </c>
      <c r="C18280" s="1" t="n">
        <v>45736</v>
      </c>
      <c r="D18280" t="inlineStr">
        <is>
          <t>VÄRMLANDS LÄN</t>
        </is>
      </c>
      <c r="E18280" t="inlineStr">
        <is>
          <t>SÄFFLE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699-2025</t>
        </is>
      </c>
      <c r="B18281" s="1" t="n">
        <v>45665</v>
      </c>
      <c r="C18281" s="1" t="n">
        <v>45736</v>
      </c>
      <c r="D18281" t="inlineStr">
        <is>
          <t>VÄRMLANDS LÄN</t>
        </is>
      </c>
      <c r="E18281" t="inlineStr">
        <is>
          <t>TORSBY</t>
        </is>
      </c>
      <c r="F18281" t="inlineStr">
        <is>
          <t>Bergvik skog väst AB</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927-2025</t>
        </is>
      </c>
      <c r="B18282" s="1" t="n">
        <v>45665</v>
      </c>
      <c r="C18282" s="1" t="n">
        <v>45736</v>
      </c>
      <c r="D18282" t="inlineStr">
        <is>
          <t>VÄRMLANDS LÄN</t>
        </is>
      </c>
      <c r="E18282" t="inlineStr">
        <is>
          <t>ARVIKA</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754-2025</t>
        </is>
      </c>
      <c r="B18283" s="1" t="n">
        <v>45665</v>
      </c>
      <c r="C18283" s="1" t="n">
        <v>45736</v>
      </c>
      <c r="D18283" t="inlineStr">
        <is>
          <t>VÄRMLANDS LÄN</t>
        </is>
      </c>
      <c r="E18283" t="inlineStr">
        <is>
          <t>TORSBY</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900-2025</t>
        </is>
      </c>
      <c r="B18284" s="1" t="n">
        <v>45665</v>
      </c>
      <c r="C18284" s="1" t="n">
        <v>45736</v>
      </c>
      <c r="D18284" t="inlineStr">
        <is>
          <t>VÄRMLANDS LÄN</t>
        </is>
      </c>
      <c r="E18284" t="inlineStr">
        <is>
          <t>KARLSTAD</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978-2025</t>
        </is>
      </c>
      <c r="B18285" s="1" t="n">
        <v>45665</v>
      </c>
      <c r="C18285" s="1" t="n">
        <v>45736</v>
      </c>
      <c r="D18285" t="inlineStr">
        <is>
          <t>VÄRMLANDS LÄN</t>
        </is>
      </c>
      <c r="E18285" t="inlineStr">
        <is>
          <t>GRUMS</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1110-2025</t>
        </is>
      </c>
      <c r="B18286" s="1" t="n">
        <v>45665</v>
      </c>
      <c r="C18286" s="1" t="n">
        <v>45736</v>
      </c>
      <c r="D18286" t="inlineStr">
        <is>
          <t>VÄRMLANDS LÄN</t>
        </is>
      </c>
      <c r="E18286" t="inlineStr">
        <is>
          <t>ARVIKA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703-2025</t>
        </is>
      </c>
      <c r="B18287" s="1" t="n">
        <v>45665</v>
      </c>
      <c r="C18287" s="1" t="n">
        <v>45736</v>
      </c>
      <c r="D18287" t="inlineStr">
        <is>
          <t>VÄRMLANDS LÄN</t>
        </is>
      </c>
      <c r="E18287" t="inlineStr">
        <is>
          <t>SÄFFLE</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885-2025</t>
        </is>
      </c>
      <c r="B18288" s="1" t="n">
        <v>45665</v>
      </c>
      <c r="C18288" s="1" t="n">
        <v>45736</v>
      </c>
      <c r="D18288" t="inlineStr">
        <is>
          <t>VÄRMLANDS LÄN</t>
        </is>
      </c>
      <c r="E18288" t="inlineStr">
        <is>
          <t>EDA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904-2025</t>
        </is>
      </c>
      <c r="B18289" s="1" t="n">
        <v>45665</v>
      </c>
      <c r="C18289" s="1" t="n">
        <v>45736</v>
      </c>
      <c r="D18289" t="inlineStr">
        <is>
          <t>VÄRMLANDS LÄN</t>
        </is>
      </c>
      <c r="E18289" t="inlineStr">
        <is>
          <t>KARLSTAD</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925-2025</t>
        </is>
      </c>
      <c r="B18290" s="1" t="n">
        <v>45665</v>
      </c>
      <c r="C18290" s="1" t="n">
        <v>45736</v>
      </c>
      <c r="D18290" t="inlineStr">
        <is>
          <t>VÄRMLANDS LÄN</t>
        </is>
      </c>
      <c r="E18290" t="inlineStr">
        <is>
          <t>ARVIKA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929-2025</t>
        </is>
      </c>
      <c r="B18291" s="1" t="n">
        <v>45665</v>
      </c>
      <c r="C18291" s="1" t="n">
        <v>45736</v>
      </c>
      <c r="D18291" t="inlineStr">
        <is>
          <t>VÄRMLANDS LÄN</t>
        </is>
      </c>
      <c r="E18291" t="inlineStr">
        <is>
          <t>ARVIKA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975-2025</t>
        </is>
      </c>
      <c r="B18292" s="1" t="n">
        <v>45665</v>
      </c>
      <c r="C18292" s="1" t="n">
        <v>45736</v>
      </c>
      <c r="D18292" t="inlineStr">
        <is>
          <t>VÄRMLANDS LÄN</t>
        </is>
      </c>
      <c r="E18292" t="inlineStr">
        <is>
          <t>GRUMS</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1045-2025</t>
        </is>
      </c>
      <c r="B18293" s="1" t="n">
        <v>45665</v>
      </c>
      <c r="C18293" s="1" t="n">
        <v>45736</v>
      </c>
      <c r="D18293" t="inlineStr">
        <is>
          <t>VÄRMLANDS LÄN</t>
        </is>
      </c>
      <c r="E18293" t="inlineStr">
        <is>
          <t>SÄFFLE</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1158-2025</t>
        </is>
      </c>
      <c r="B18294" s="1" t="n">
        <v>45666</v>
      </c>
      <c r="C18294" s="1" t="n">
        <v>45736</v>
      </c>
      <c r="D18294" t="inlineStr">
        <is>
          <t>VÄRMLANDS LÄN</t>
        </is>
      </c>
      <c r="E18294" t="inlineStr">
        <is>
          <t>SUNNE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1162-2025</t>
        </is>
      </c>
      <c r="B18295" s="1" t="n">
        <v>45666</v>
      </c>
      <c r="C18295" s="1" t="n">
        <v>45736</v>
      </c>
      <c r="D18295" t="inlineStr">
        <is>
          <t>VÄRMLANDS LÄN</t>
        </is>
      </c>
      <c r="E18295" t="inlineStr">
        <is>
          <t>TORSBY</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1104-2025</t>
        </is>
      </c>
      <c r="B18296" s="1" t="n">
        <v>45666</v>
      </c>
      <c r="C18296" s="1" t="n">
        <v>45736</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1100-2025</t>
        </is>
      </c>
      <c r="B18297" s="1" t="n">
        <v>45666</v>
      </c>
      <c r="C18297" s="1" t="n">
        <v>45736</v>
      </c>
      <c r="D18297" t="inlineStr">
        <is>
          <t>VÄRMLANDS LÄN</t>
        </is>
      </c>
      <c r="E18297" t="inlineStr">
        <is>
          <t>TORSBY</t>
        </is>
      </c>
      <c r="G18297" t="n">
        <v>8.4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1054-2025</t>
        </is>
      </c>
      <c r="B18298" s="1" t="n">
        <v>45666</v>
      </c>
      <c r="C18298" s="1" t="n">
        <v>45736</v>
      </c>
      <c r="D18298" t="inlineStr">
        <is>
          <t>VÄRMLANDS LÄN</t>
        </is>
      </c>
      <c r="E18298" t="inlineStr">
        <is>
          <t>SUNNE</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973-2025</t>
        </is>
      </c>
      <c r="B18299" s="1" t="n">
        <v>45666</v>
      </c>
      <c r="C18299" s="1" t="n">
        <v>45736</v>
      </c>
      <c r="D18299" t="inlineStr">
        <is>
          <t>VÄRMLANDS LÄN</t>
        </is>
      </c>
      <c r="E18299" t="inlineStr">
        <is>
          <t>SUNNE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1125-2025</t>
        </is>
      </c>
      <c r="B18300" s="1" t="n">
        <v>45666</v>
      </c>
      <c r="C18300" s="1" t="n">
        <v>45736</v>
      </c>
      <c r="D18300" t="inlineStr">
        <is>
          <t>VÄRMLANDS LÄN</t>
        </is>
      </c>
      <c r="E18300" t="inlineStr">
        <is>
          <t>SUNNE</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1092-2025</t>
        </is>
      </c>
      <c r="B18301" s="1" t="n">
        <v>45666</v>
      </c>
      <c r="C18301" s="1" t="n">
        <v>45736</v>
      </c>
      <c r="D18301" t="inlineStr">
        <is>
          <t>VÄRMLANDS LÄN</t>
        </is>
      </c>
      <c r="E18301" t="inlineStr">
        <is>
          <t>TORSBY</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946-2025</t>
        </is>
      </c>
      <c r="B18302" s="1" t="n">
        <v>45666</v>
      </c>
      <c r="C18302" s="1" t="n">
        <v>45736</v>
      </c>
      <c r="D18302" t="inlineStr">
        <is>
          <t>VÄRMLANDS LÄN</t>
        </is>
      </c>
      <c r="E18302" t="inlineStr">
        <is>
          <t>SUNNE</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1161-2025</t>
        </is>
      </c>
      <c r="B18303" s="1" t="n">
        <v>45666</v>
      </c>
      <c r="C18303" s="1" t="n">
        <v>45736</v>
      </c>
      <c r="D18303" t="inlineStr">
        <is>
          <t>VÄRMLANDS LÄN</t>
        </is>
      </c>
      <c r="E18303" t="inlineStr">
        <is>
          <t>TORSBY</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1164-2025</t>
        </is>
      </c>
      <c r="B18304" s="1" t="n">
        <v>45666</v>
      </c>
      <c r="C18304" s="1" t="n">
        <v>45736</v>
      </c>
      <c r="D18304" t="inlineStr">
        <is>
          <t>VÄRMLANDS LÄN</t>
        </is>
      </c>
      <c r="E18304" t="inlineStr">
        <is>
          <t>KARLSTAD</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1099-2025</t>
        </is>
      </c>
      <c r="B18305" s="1" t="n">
        <v>45666</v>
      </c>
      <c r="C18305" s="1" t="n">
        <v>45736</v>
      </c>
      <c r="D18305" t="inlineStr">
        <is>
          <t>VÄRMLANDS LÄN</t>
        </is>
      </c>
      <c r="E18305" t="inlineStr">
        <is>
          <t>KRISTINEHAMN</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1095-2025</t>
        </is>
      </c>
      <c r="B18306" s="1" t="n">
        <v>45666</v>
      </c>
      <c r="C18306" s="1" t="n">
        <v>45736</v>
      </c>
      <c r="D18306" t="inlineStr">
        <is>
          <t>VÄRMLANDS LÄN</t>
        </is>
      </c>
      <c r="E18306" t="inlineStr">
        <is>
          <t>TORSBY</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1090-2025</t>
        </is>
      </c>
      <c r="B18307" s="1" t="n">
        <v>45666</v>
      </c>
      <c r="C18307" s="1" t="n">
        <v>45736</v>
      </c>
      <c r="D18307" t="inlineStr">
        <is>
          <t>VÄRMLANDS LÄN</t>
        </is>
      </c>
      <c r="E18307" t="inlineStr">
        <is>
          <t>KRISTINEHAMN</t>
        </is>
      </c>
      <c r="G18307" t="n">
        <v>9.300000000000001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1008-2025</t>
        </is>
      </c>
      <c r="B18308" s="1" t="n">
        <v>45666</v>
      </c>
      <c r="C18308" s="1" t="n">
        <v>45736</v>
      </c>
      <c r="D18308" t="inlineStr">
        <is>
          <t>VÄRMLANDS LÄN</t>
        </is>
      </c>
      <c r="E18308" t="inlineStr">
        <is>
          <t>KIL</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1257-2025</t>
        </is>
      </c>
      <c r="B18309" s="1" t="n">
        <v>45667</v>
      </c>
      <c r="C18309" s="1" t="n">
        <v>45736</v>
      </c>
      <c r="D18309" t="inlineStr">
        <is>
          <t>VÄRMLANDS LÄN</t>
        </is>
      </c>
      <c r="E18309" t="inlineStr">
        <is>
          <t>ARVIKA</t>
        </is>
      </c>
      <c r="F18309" t="inlineStr">
        <is>
          <t>Bergvik skog väst AB</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1279-2025</t>
        </is>
      </c>
      <c r="B18310" s="1" t="n">
        <v>45667</v>
      </c>
      <c r="C18310" s="1" t="n">
        <v>45736</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1171-2025</t>
        </is>
      </c>
      <c r="B18311" s="1" t="n">
        <v>45667</v>
      </c>
      <c r="C18311" s="1" t="n">
        <v>45736</v>
      </c>
      <c r="D18311" t="inlineStr">
        <is>
          <t>VÄRMLANDS LÄN</t>
        </is>
      </c>
      <c r="E18311" t="inlineStr">
        <is>
          <t>KIL</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1304-2025</t>
        </is>
      </c>
      <c r="B18312" s="1" t="n">
        <v>45667</v>
      </c>
      <c r="C18312" s="1" t="n">
        <v>45736</v>
      </c>
      <c r="D18312" t="inlineStr">
        <is>
          <t>VÄRMLANDS LÄN</t>
        </is>
      </c>
      <c r="E18312" t="inlineStr">
        <is>
          <t>SUNNE</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1346-2025</t>
        </is>
      </c>
      <c r="B18313" s="1" t="n">
        <v>45667</v>
      </c>
      <c r="C18313" s="1" t="n">
        <v>45736</v>
      </c>
      <c r="D18313" t="inlineStr">
        <is>
          <t>VÄRMLANDS LÄN</t>
        </is>
      </c>
      <c r="E18313" t="inlineStr">
        <is>
          <t>FILIPSTAD</t>
        </is>
      </c>
      <c r="F18313" t="inlineStr">
        <is>
          <t>Kommuner</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1350-2025</t>
        </is>
      </c>
      <c r="B18314" s="1" t="n">
        <v>45667</v>
      </c>
      <c r="C18314" s="1" t="n">
        <v>45736</v>
      </c>
      <c r="D18314" t="inlineStr">
        <is>
          <t>VÄRMLANDS LÄN</t>
        </is>
      </c>
      <c r="E18314" t="inlineStr">
        <is>
          <t>FILIPSTAD</t>
        </is>
      </c>
      <c r="F18314" t="inlineStr">
        <is>
          <t>Kommuner</t>
        </is>
      </c>
      <c r="G18314" t="n">
        <v>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1354-2025</t>
        </is>
      </c>
      <c r="B18315" s="1" t="n">
        <v>45667</v>
      </c>
      <c r="C18315" s="1" t="n">
        <v>45736</v>
      </c>
      <c r="D18315" t="inlineStr">
        <is>
          <t>VÄRMLANDS LÄN</t>
        </is>
      </c>
      <c r="E18315" t="inlineStr">
        <is>
          <t>SUNNE</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1358-2025</t>
        </is>
      </c>
      <c r="B18316" s="1" t="n">
        <v>45667</v>
      </c>
      <c r="C18316" s="1" t="n">
        <v>45736</v>
      </c>
      <c r="D18316" t="inlineStr">
        <is>
          <t>VÄRMLANDS LÄN</t>
        </is>
      </c>
      <c r="E18316" t="inlineStr">
        <is>
          <t>SÄFFLE</t>
        </is>
      </c>
      <c r="F18316" t="inlineStr">
        <is>
          <t>Kommuner</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1366-2025</t>
        </is>
      </c>
      <c r="B18317" s="1" t="n">
        <v>45667</v>
      </c>
      <c r="C18317" s="1" t="n">
        <v>45736</v>
      </c>
      <c r="D18317" t="inlineStr">
        <is>
          <t>VÄRMLANDS LÄN</t>
        </is>
      </c>
      <c r="E18317" t="inlineStr">
        <is>
          <t>SÄFFLE</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1382-2025</t>
        </is>
      </c>
      <c r="B18318" s="1" t="n">
        <v>45667</v>
      </c>
      <c r="C18318" s="1" t="n">
        <v>45736</v>
      </c>
      <c r="D18318" t="inlineStr">
        <is>
          <t>VÄRMLANDS LÄN</t>
        </is>
      </c>
      <c r="E18318" t="inlineStr">
        <is>
          <t>SÄFFLE</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1390-2025</t>
        </is>
      </c>
      <c r="B18319" s="1" t="n">
        <v>45667</v>
      </c>
      <c r="C18319" s="1" t="n">
        <v>45736</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1410-2025</t>
        </is>
      </c>
      <c r="B18320" s="1" t="n">
        <v>45668</v>
      </c>
      <c r="C18320" s="1" t="n">
        <v>45736</v>
      </c>
      <c r="D18320" t="inlineStr">
        <is>
          <t>VÄRMLANDS LÄN</t>
        </is>
      </c>
      <c r="E18320" t="inlineStr">
        <is>
          <t>ARVIKA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1371-2025</t>
        </is>
      </c>
      <c r="B18321" s="1" t="n">
        <v>45667</v>
      </c>
      <c r="C18321" s="1" t="n">
        <v>45736</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1411-2025</t>
        </is>
      </c>
      <c r="B18322" s="1" t="n">
        <v>45667</v>
      </c>
      <c r="C18322" s="1" t="n">
        <v>45736</v>
      </c>
      <c r="D18322" t="inlineStr">
        <is>
          <t>VÄRMLANDS LÄN</t>
        </is>
      </c>
      <c r="E18322" t="inlineStr">
        <is>
          <t>ARVIKA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1289-2025</t>
        </is>
      </c>
      <c r="B18323" s="1" t="n">
        <v>45667</v>
      </c>
      <c r="C18323" s="1" t="n">
        <v>45736</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1309-2025</t>
        </is>
      </c>
      <c r="B18324" s="1" t="n">
        <v>45667</v>
      </c>
      <c r="C18324" s="1" t="n">
        <v>45736</v>
      </c>
      <c r="D18324" t="inlineStr">
        <is>
          <t>VÄRMLANDS LÄN</t>
        </is>
      </c>
      <c r="E18324" t="inlineStr">
        <is>
          <t>ARVIKA</t>
        </is>
      </c>
      <c r="F18324" t="inlineStr">
        <is>
          <t>Bergvik skog väst AB</t>
        </is>
      </c>
      <c r="G18324" t="n">
        <v>14.5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1353-2025</t>
        </is>
      </c>
      <c r="B18325" s="1" t="n">
        <v>45667</v>
      </c>
      <c r="C18325" s="1" t="n">
        <v>45736</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1373-2025</t>
        </is>
      </c>
      <c r="B18326" s="1" t="n">
        <v>45667</v>
      </c>
      <c r="C18326" s="1" t="n">
        <v>45736</v>
      </c>
      <c r="D18326" t="inlineStr">
        <is>
          <t>VÄRMLANDS LÄN</t>
        </is>
      </c>
      <c r="E18326" t="inlineStr">
        <is>
          <t>FILIPSTAD</t>
        </is>
      </c>
      <c r="F18326" t="inlineStr">
        <is>
          <t>Kommuner</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1381-2025</t>
        </is>
      </c>
      <c r="B18327" s="1" t="n">
        <v>45667</v>
      </c>
      <c r="C18327" s="1" t="n">
        <v>45736</v>
      </c>
      <c r="D18327" t="inlineStr">
        <is>
          <t>VÄRMLANDS LÄN</t>
        </is>
      </c>
      <c r="E18327" t="inlineStr">
        <is>
          <t>SÄFFLE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1409-2025</t>
        </is>
      </c>
      <c r="B18328" s="1" t="n">
        <v>45667</v>
      </c>
      <c r="C18328" s="1" t="n">
        <v>45736</v>
      </c>
      <c r="D18328" t="inlineStr">
        <is>
          <t>VÄRMLANDS LÄN</t>
        </is>
      </c>
      <c r="E18328" t="inlineStr">
        <is>
          <t>FORSHAGA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1467-2025</t>
        </is>
      </c>
      <c r="B18329" s="1" t="n">
        <v>45667</v>
      </c>
      <c r="C18329" s="1" t="n">
        <v>45736</v>
      </c>
      <c r="D18329" t="inlineStr">
        <is>
          <t>VÄRMLANDS LÄN</t>
        </is>
      </c>
      <c r="E18329" t="inlineStr">
        <is>
          <t>ÅRJÄNG</t>
        </is>
      </c>
      <c r="F18329" t="inlineStr">
        <is>
          <t>Övriga Aktiebolag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1415-2025</t>
        </is>
      </c>
      <c r="B18330" s="1" t="n">
        <v>45668</v>
      </c>
      <c r="C18330" s="1" t="n">
        <v>45736</v>
      </c>
      <c r="D18330" t="inlineStr">
        <is>
          <t>VÄRMLANDS LÄN</t>
        </is>
      </c>
      <c r="E18330" t="inlineStr">
        <is>
          <t>ÅRJÄNG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1414-2025</t>
        </is>
      </c>
      <c r="B18331" s="1" t="n">
        <v>45668</v>
      </c>
      <c r="C18331" s="1" t="n">
        <v>45736</v>
      </c>
      <c r="D18331" t="inlineStr">
        <is>
          <t>VÄRMLANDS LÄN</t>
        </is>
      </c>
      <c r="E18331" t="inlineStr">
        <is>
          <t>ÅRJÄNG</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1432-2025</t>
        </is>
      </c>
      <c r="B18332" s="1" t="n">
        <v>45669</v>
      </c>
      <c r="C18332" s="1" t="n">
        <v>45736</v>
      </c>
      <c r="D18332" t="inlineStr">
        <is>
          <t>VÄRMLANDS LÄN</t>
        </is>
      </c>
      <c r="E18332" t="inlineStr">
        <is>
          <t>TORSBY</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1431-2025</t>
        </is>
      </c>
      <c r="B18333" s="1" t="n">
        <v>45669</v>
      </c>
      <c r="C18333" s="1" t="n">
        <v>45736</v>
      </c>
      <c r="D18333" t="inlineStr">
        <is>
          <t>VÄRMLANDS LÄN</t>
        </is>
      </c>
      <c r="E18333" t="inlineStr">
        <is>
          <t>STORFORS</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1435-2025</t>
        </is>
      </c>
      <c r="B18334" s="1" t="n">
        <v>45669</v>
      </c>
      <c r="C18334" s="1" t="n">
        <v>45736</v>
      </c>
      <c r="D18334" t="inlineStr">
        <is>
          <t>VÄRMLANDS LÄN</t>
        </is>
      </c>
      <c r="E18334" t="inlineStr">
        <is>
          <t>TORSBY</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1555-2025</t>
        </is>
      </c>
      <c r="B18335" s="1" t="n">
        <v>45670</v>
      </c>
      <c r="C18335" s="1" t="n">
        <v>45736</v>
      </c>
      <c r="D18335" t="inlineStr">
        <is>
          <t>VÄRMLANDS LÄN</t>
        </is>
      </c>
      <c r="E18335" t="inlineStr">
        <is>
          <t>ÅRJÄNG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1512-2025</t>
        </is>
      </c>
      <c r="B18336" s="1" t="n">
        <v>45670</v>
      </c>
      <c r="C18336" s="1" t="n">
        <v>45736</v>
      </c>
      <c r="D18336" t="inlineStr">
        <is>
          <t>VÄRMLANDS LÄN</t>
        </is>
      </c>
      <c r="E18336" t="inlineStr">
        <is>
          <t>TORSBY</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1602-2025</t>
        </is>
      </c>
      <c r="B18337" s="1" t="n">
        <v>45670</v>
      </c>
      <c r="C18337" s="1" t="n">
        <v>45736</v>
      </c>
      <c r="D18337" t="inlineStr">
        <is>
          <t>VÄRMLANDS LÄN</t>
        </is>
      </c>
      <c r="E18337" t="inlineStr">
        <is>
          <t>ÅRJÄNG</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1607-2025</t>
        </is>
      </c>
      <c r="B18338" s="1" t="n">
        <v>45670</v>
      </c>
      <c r="C18338" s="1" t="n">
        <v>45736</v>
      </c>
      <c r="D18338" t="inlineStr">
        <is>
          <t>VÄRMLANDS LÄN</t>
        </is>
      </c>
      <c r="E18338" t="inlineStr">
        <is>
          <t>ÅRJÄNG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1633-2025</t>
        </is>
      </c>
      <c r="B18339" s="1" t="n">
        <v>45670</v>
      </c>
      <c r="C18339" s="1" t="n">
        <v>45736</v>
      </c>
      <c r="D18339" t="inlineStr">
        <is>
          <t>VÄRMLANDS LÄN</t>
        </is>
      </c>
      <c r="E18339" t="inlineStr">
        <is>
          <t>SUNNE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1603-2025</t>
        </is>
      </c>
      <c r="B18340" s="1" t="n">
        <v>45670</v>
      </c>
      <c r="C18340" s="1" t="n">
        <v>45736</v>
      </c>
      <c r="D18340" t="inlineStr">
        <is>
          <t>VÄRMLANDS LÄN</t>
        </is>
      </c>
      <c r="E18340" t="inlineStr">
        <is>
          <t>ÅRJÄNG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1571-2025</t>
        </is>
      </c>
      <c r="B18341" s="1" t="n">
        <v>45670</v>
      </c>
      <c r="C18341" s="1" t="n">
        <v>45736</v>
      </c>
      <c r="D18341" t="inlineStr">
        <is>
          <t>VÄRMLANDS LÄN</t>
        </is>
      </c>
      <c r="E18341" t="inlineStr">
        <is>
          <t>ÅRJÄNG</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1556-2025</t>
        </is>
      </c>
      <c r="B18342" s="1" t="n">
        <v>45670</v>
      </c>
      <c r="C18342" s="1" t="n">
        <v>45736</v>
      </c>
      <c r="D18342" t="inlineStr">
        <is>
          <t>VÄRMLANDS LÄN</t>
        </is>
      </c>
      <c r="E18342" t="inlineStr">
        <is>
          <t>GRUMS</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1631-2025</t>
        </is>
      </c>
      <c r="B18343" s="1" t="n">
        <v>45670</v>
      </c>
      <c r="C18343" s="1" t="n">
        <v>45736</v>
      </c>
      <c r="D18343" t="inlineStr">
        <is>
          <t>VÄRMLANDS LÄN</t>
        </is>
      </c>
      <c r="E18343" t="inlineStr">
        <is>
          <t>ARVIKA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1615-2025</t>
        </is>
      </c>
      <c r="B18344" s="1" t="n">
        <v>45670</v>
      </c>
      <c r="C18344" s="1" t="n">
        <v>45736</v>
      </c>
      <c r="D18344" t="inlineStr">
        <is>
          <t>VÄRMLANDS LÄN</t>
        </is>
      </c>
      <c r="E18344" t="inlineStr">
        <is>
          <t>ÅRJÄNG</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1611-2025</t>
        </is>
      </c>
      <c r="B18345" s="1" t="n">
        <v>45670</v>
      </c>
      <c r="C18345" s="1" t="n">
        <v>45736</v>
      </c>
      <c r="D18345" t="inlineStr">
        <is>
          <t>VÄRMLANDS LÄN</t>
        </is>
      </c>
      <c r="E18345" t="inlineStr">
        <is>
          <t>SUNNE</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1606-2025</t>
        </is>
      </c>
      <c r="B18346" s="1" t="n">
        <v>45670</v>
      </c>
      <c r="C18346" s="1" t="n">
        <v>45736</v>
      </c>
      <c r="D18346" t="inlineStr">
        <is>
          <t>VÄRMLANDS LÄN</t>
        </is>
      </c>
      <c r="E18346" t="inlineStr">
        <is>
          <t>SUNNE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1589-2025</t>
        </is>
      </c>
      <c r="B18347" s="1" t="n">
        <v>45670</v>
      </c>
      <c r="C18347" s="1" t="n">
        <v>45736</v>
      </c>
      <c r="D18347" t="inlineStr">
        <is>
          <t>VÄRMLANDS LÄN</t>
        </is>
      </c>
      <c r="E18347" t="inlineStr">
        <is>
          <t>ÅRJÄNG</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1560-2025</t>
        </is>
      </c>
      <c r="B18348" s="1" t="n">
        <v>45670</v>
      </c>
      <c r="C18348" s="1" t="n">
        <v>45736</v>
      </c>
      <c r="D18348" t="inlineStr">
        <is>
          <t>VÄRMLANDS LÄN</t>
        </is>
      </c>
      <c r="E18348" t="inlineStr">
        <is>
          <t>ÅRJÄNG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1708-2025</t>
        </is>
      </c>
      <c r="B18349" s="1" t="n">
        <v>45670</v>
      </c>
      <c r="C18349" s="1" t="n">
        <v>45736</v>
      </c>
      <c r="D18349" t="inlineStr">
        <is>
          <t>VÄRMLANDS LÄN</t>
        </is>
      </c>
      <c r="E18349" t="inlineStr">
        <is>
          <t>TORSBY</t>
        </is>
      </c>
      <c r="G18349" t="n">
        <v>7.7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1528-2025</t>
        </is>
      </c>
      <c r="B18350" s="1" t="n">
        <v>45670</v>
      </c>
      <c r="C18350" s="1" t="n">
        <v>45736</v>
      </c>
      <c r="D18350" t="inlineStr">
        <is>
          <t>VÄRMLANDS LÄN</t>
        </is>
      </c>
      <c r="E18350" t="inlineStr">
        <is>
          <t>TORSBY</t>
        </is>
      </c>
      <c r="G18350" t="n">
        <v>7.4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1519-2025</t>
        </is>
      </c>
      <c r="B18351" s="1" t="n">
        <v>45670</v>
      </c>
      <c r="C18351" s="1" t="n">
        <v>45736</v>
      </c>
      <c r="D18351" t="inlineStr">
        <is>
          <t>VÄRMLANDS LÄN</t>
        </is>
      </c>
      <c r="E18351" t="inlineStr">
        <is>
          <t>FILIPSTAD</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1511-2025</t>
        </is>
      </c>
      <c r="B18352" s="1" t="n">
        <v>45670</v>
      </c>
      <c r="C18352" s="1" t="n">
        <v>45736</v>
      </c>
      <c r="D18352" t="inlineStr">
        <is>
          <t>VÄRMLANDS LÄN</t>
        </is>
      </c>
      <c r="E18352" t="inlineStr">
        <is>
          <t>ARVIKA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1630-2025</t>
        </is>
      </c>
      <c r="B18353" s="1" t="n">
        <v>45670</v>
      </c>
      <c r="C18353" s="1" t="n">
        <v>45736</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1580-2025</t>
        </is>
      </c>
      <c r="B18354" s="1" t="n">
        <v>45670</v>
      </c>
      <c r="C18354" s="1" t="n">
        <v>45736</v>
      </c>
      <c r="D18354" t="inlineStr">
        <is>
          <t>VÄRMLANDS LÄN</t>
        </is>
      </c>
      <c r="E18354" t="inlineStr">
        <is>
          <t>ÅRJÄNG</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1736-2025</t>
        </is>
      </c>
      <c r="B18355" s="1" t="n">
        <v>45671</v>
      </c>
      <c r="C18355" s="1" t="n">
        <v>45736</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1737-2025</t>
        </is>
      </c>
      <c r="B18356" s="1" t="n">
        <v>45671</v>
      </c>
      <c r="C18356" s="1" t="n">
        <v>45736</v>
      </c>
      <c r="D18356" t="inlineStr">
        <is>
          <t>VÄRMLANDS LÄN</t>
        </is>
      </c>
      <c r="E18356" t="inlineStr">
        <is>
          <t>SUNNE</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1717-2025</t>
        </is>
      </c>
      <c r="B18357" s="1" t="n">
        <v>45671</v>
      </c>
      <c r="C18357" s="1" t="n">
        <v>45736</v>
      </c>
      <c r="D18357" t="inlineStr">
        <is>
          <t>VÄRMLANDS LÄN</t>
        </is>
      </c>
      <c r="E18357" t="inlineStr">
        <is>
          <t>ÅRJÄNG</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1710-2025</t>
        </is>
      </c>
      <c r="B18358" s="1" t="n">
        <v>45671</v>
      </c>
      <c r="C18358" s="1" t="n">
        <v>45736</v>
      </c>
      <c r="D18358" t="inlineStr">
        <is>
          <t>VÄRMLANDS LÄN</t>
        </is>
      </c>
      <c r="E18358" t="inlineStr">
        <is>
          <t>HAGFORS</t>
        </is>
      </c>
      <c r="G18358" t="n">
        <v>3.8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1750-2025</t>
        </is>
      </c>
      <c r="B18359" s="1" t="n">
        <v>45671</v>
      </c>
      <c r="C18359" s="1" t="n">
        <v>45736</v>
      </c>
      <c r="D18359" t="inlineStr">
        <is>
          <t>VÄRMLANDS LÄN</t>
        </is>
      </c>
      <c r="E18359" t="inlineStr">
        <is>
          <t>FILIPSTAD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1935-2025</t>
        </is>
      </c>
      <c r="B18360" s="1" t="n">
        <v>45671</v>
      </c>
      <c r="C18360" s="1" t="n">
        <v>45736</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1756-2025</t>
        </is>
      </c>
      <c r="B18361" s="1" t="n">
        <v>45671</v>
      </c>
      <c r="C18361" s="1" t="n">
        <v>45736</v>
      </c>
      <c r="D18361" t="inlineStr">
        <is>
          <t>VÄRMLANDS LÄN</t>
        </is>
      </c>
      <c r="E18361" t="inlineStr">
        <is>
          <t>TORSBY</t>
        </is>
      </c>
      <c r="F18361" t="inlineStr">
        <is>
          <t>Bergvik skog väst AB</t>
        </is>
      </c>
      <c r="G18361" t="n">
        <v>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1848-2025</t>
        </is>
      </c>
      <c r="B18362" s="1" t="n">
        <v>45671</v>
      </c>
      <c r="C18362" s="1" t="n">
        <v>45736</v>
      </c>
      <c r="D18362" t="inlineStr">
        <is>
          <t>VÄRMLANDS LÄN</t>
        </is>
      </c>
      <c r="E18362" t="inlineStr">
        <is>
          <t>FILIPSTAD</t>
        </is>
      </c>
      <c r="F18362" t="inlineStr">
        <is>
          <t>Kommuner</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1843-2025</t>
        </is>
      </c>
      <c r="B18363" s="1" t="n">
        <v>45671</v>
      </c>
      <c r="C18363" s="1" t="n">
        <v>45736</v>
      </c>
      <c r="D18363" t="inlineStr">
        <is>
          <t>VÄRMLANDS LÄN</t>
        </is>
      </c>
      <c r="E18363" t="inlineStr">
        <is>
          <t>KIL</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1847-2025</t>
        </is>
      </c>
      <c r="B18364" s="1" t="n">
        <v>45671</v>
      </c>
      <c r="C18364" s="1" t="n">
        <v>45736</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1851-2025</t>
        </is>
      </c>
      <c r="B18365" s="1" t="n">
        <v>45671</v>
      </c>
      <c r="C18365" s="1" t="n">
        <v>45736</v>
      </c>
      <c r="D18365" t="inlineStr">
        <is>
          <t>VÄRMLANDS LÄN</t>
        </is>
      </c>
      <c r="E18365" t="inlineStr">
        <is>
          <t>FILIPSTAD</t>
        </is>
      </c>
      <c r="F18365" t="inlineStr">
        <is>
          <t>Kommuner</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1893-2025</t>
        </is>
      </c>
      <c r="B18366" s="1" t="n">
        <v>45671</v>
      </c>
      <c r="C18366" s="1" t="n">
        <v>45736</v>
      </c>
      <c r="D18366" t="inlineStr">
        <is>
          <t>VÄRMLANDS LÄN</t>
        </is>
      </c>
      <c r="E18366" t="inlineStr">
        <is>
          <t>EDA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1930-2025</t>
        </is>
      </c>
      <c r="B18367" s="1" t="n">
        <v>45671</v>
      </c>
      <c r="C18367" s="1" t="n">
        <v>45736</v>
      </c>
      <c r="D18367" t="inlineStr">
        <is>
          <t>VÄRMLANDS LÄN</t>
        </is>
      </c>
      <c r="E18367" t="inlineStr">
        <is>
          <t>KRISTINEHAMN</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1900-2025</t>
        </is>
      </c>
      <c r="B18368" s="1" t="n">
        <v>45671</v>
      </c>
      <c r="C18368" s="1" t="n">
        <v>45736</v>
      </c>
      <c r="D18368" t="inlineStr">
        <is>
          <t>VÄRMLANDS LÄN</t>
        </is>
      </c>
      <c r="E18368" t="inlineStr">
        <is>
          <t>EDA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1929-2025</t>
        </is>
      </c>
      <c r="B18369" s="1" t="n">
        <v>45671</v>
      </c>
      <c r="C18369" s="1" t="n">
        <v>45736</v>
      </c>
      <c r="D18369" t="inlineStr">
        <is>
          <t>VÄRMLANDS LÄN</t>
        </is>
      </c>
      <c r="E18369" t="inlineStr">
        <is>
          <t>ÅRJÄNG</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2158-2025</t>
        </is>
      </c>
      <c r="B18370" s="1" t="n">
        <v>45672</v>
      </c>
      <c r="C18370" s="1" t="n">
        <v>45736</v>
      </c>
      <c r="D18370" t="inlineStr">
        <is>
          <t>VÄRMLANDS LÄN</t>
        </is>
      </c>
      <c r="E18370" t="inlineStr">
        <is>
          <t>HAGFORS</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2191-2025</t>
        </is>
      </c>
      <c r="B18371" s="1" t="n">
        <v>45672</v>
      </c>
      <c r="C18371" s="1" t="n">
        <v>45736</v>
      </c>
      <c r="D18371" t="inlineStr">
        <is>
          <t>VÄRMLANDS LÄN</t>
        </is>
      </c>
      <c r="E18371" t="inlineStr">
        <is>
          <t>SÄFFLE</t>
        </is>
      </c>
      <c r="G18371" t="n">
        <v>46.5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2144-2025</t>
        </is>
      </c>
      <c r="B18372" s="1" t="n">
        <v>45672</v>
      </c>
      <c r="C18372" s="1" t="n">
        <v>45736</v>
      </c>
      <c r="D18372" t="inlineStr">
        <is>
          <t>VÄRMLANDS LÄN</t>
        </is>
      </c>
      <c r="E18372" t="inlineStr">
        <is>
          <t>KRISTINEHAMN</t>
        </is>
      </c>
      <c r="F18372" t="inlineStr">
        <is>
          <t>Bergvik skog väst AB</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2148-2025</t>
        </is>
      </c>
      <c r="B18373" s="1" t="n">
        <v>45672</v>
      </c>
      <c r="C18373" s="1" t="n">
        <v>45736</v>
      </c>
      <c r="D18373" t="inlineStr">
        <is>
          <t>VÄRMLANDS LÄN</t>
        </is>
      </c>
      <c r="E18373" t="inlineStr">
        <is>
          <t>KRISTINEHAMN</t>
        </is>
      </c>
      <c r="F18373" t="inlineStr">
        <is>
          <t>Bergvik skog väst AB</t>
        </is>
      </c>
      <c r="G18373" t="n">
        <v>10.4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2061-2025</t>
        </is>
      </c>
      <c r="B18374" s="1" t="n">
        <v>45672</v>
      </c>
      <c r="C18374" s="1" t="n">
        <v>45736</v>
      </c>
      <c r="D18374" t="inlineStr">
        <is>
          <t>VÄRMLANDS LÄN</t>
        </is>
      </c>
      <c r="E18374" t="inlineStr">
        <is>
          <t>KARLSTAD</t>
        </is>
      </c>
      <c r="F18374" t="inlineStr">
        <is>
          <t>Övriga statliga verk och myndigheter</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1997-2025</t>
        </is>
      </c>
      <c r="B18375" s="1" t="n">
        <v>45672</v>
      </c>
      <c r="C18375" s="1" t="n">
        <v>45736</v>
      </c>
      <c r="D18375" t="inlineStr">
        <is>
          <t>VÄRMLANDS LÄN</t>
        </is>
      </c>
      <c r="E18375" t="inlineStr">
        <is>
          <t>TORSBY</t>
        </is>
      </c>
      <c r="G18375" t="n">
        <v>20.1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2116-2025</t>
        </is>
      </c>
      <c r="B18376" s="1" t="n">
        <v>45672</v>
      </c>
      <c r="C18376" s="1" t="n">
        <v>45736</v>
      </c>
      <c r="D18376" t="inlineStr">
        <is>
          <t>VÄRMLANDS LÄN</t>
        </is>
      </c>
      <c r="E18376" t="inlineStr">
        <is>
          <t>ÅRJÄNG</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2072-2025</t>
        </is>
      </c>
      <c r="B18377" s="1" t="n">
        <v>45672</v>
      </c>
      <c r="C18377" s="1" t="n">
        <v>45736</v>
      </c>
      <c r="D18377" t="inlineStr">
        <is>
          <t>VÄRMLANDS LÄN</t>
        </is>
      </c>
      <c r="E18377" t="inlineStr">
        <is>
          <t>HAGFORS</t>
        </is>
      </c>
      <c r="F18377" t="inlineStr">
        <is>
          <t>Bergvik skog väst AB</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2034-2025</t>
        </is>
      </c>
      <c r="B18378" s="1" t="n">
        <v>45672</v>
      </c>
      <c r="C18378" s="1" t="n">
        <v>45736</v>
      </c>
      <c r="D18378" t="inlineStr">
        <is>
          <t>VÄRMLANDS LÄN</t>
        </is>
      </c>
      <c r="E18378" t="inlineStr">
        <is>
          <t>ARVIKA</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2085-2025</t>
        </is>
      </c>
      <c r="B18379" s="1" t="n">
        <v>45672</v>
      </c>
      <c r="C18379" s="1" t="n">
        <v>45736</v>
      </c>
      <c r="D18379" t="inlineStr">
        <is>
          <t>VÄRMLANDS LÄN</t>
        </is>
      </c>
      <c r="E18379" t="inlineStr">
        <is>
          <t>HAGFORS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2073-2025</t>
        </is>
      </c>
      <c r="B18380" s="1" t="n">
        <v>45672</v>
      </c>
      <c r="C18380" s="1" t="n">
        <v>45736</v>
      </c>
      <c r="D18380" t="inlineStr">
        <is>
          <t>VÄRMLANDS LÄN</t>
        </is>
      </c>
      <c r="E18380" t="inlineStr">
        <is>
          <t>HAGFORS</t>
        </is>
      </c>
      <c r="F18380" t="inlineStr">
        <is>
          <t>Bergvik skog väst AB</t>
        </is>
      </c>
      <c r="G18380" t="n">
        <v>6.9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2065-2025</t>
        </is>
      </c>
      <c r="B18381" s="1" t="n">
        <v>45672</v>
      </c>
      <c r="C18381" s="1" t="n">
        <v>45736</v>
      </c>
      <c r="D18381" t="inlineStr">
        <is>
          <t>VÄRMLANDS LÄN</t>
        </is>
      </c>
      <c r="E18381" t="inlineStr">
        <is>
          <t>HAGFORS</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2009-2025</t>
        </is>
      </c>
      <c r="B18382" s="1" t="n">
        <v>45672</v>
      </c>
      <c r="C18382" s="1" t="n">
        <v>45736</v>
      </c>
      <c r="D18382" t="inlineStr">
        <is>
          <t>VÄRMLANDS LÄN</t>
        </is>
      </c>
      <c r="E18382" t="inlineStr">
        <is>
          <t>TORSBY</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1942-2025</t>
        </is>
      </c>
      <c r="B18383" s="1" t="n">
        <v>45672</v>
      </c>
      <c r="C18383" s="1" t="n">
        <v>45736</v>
      </c>
      <c r="D18383" t="inlineStr">
        <is>
          <t>VÄRMLANDS LÄN</t>
        </is>
      </c>
      <c r="E18383" t="inlineStr">
        <is>
          <t>ARVIKA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1976-2025</t>
        </is>
      </c>
      <c r="B18384" s="1" t="n">
        <v>45672</v>
      </c>
      <c r="C18384" s="1" t="n">
        <v>45736</v>
      </c>
      <c r="D18384" t="inlineStr">
        <is>
          <t>VÄRMLANDS LÄN</t>
        </is>
      </c>
      <c r="E18384" t="inlineStr">
        <is>
          <t>EDA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2063-2025</t>
        </is>
      </c>
      <c r="B18385" s="1" t="n">
        <v>45672</v>
      </c>
      <c r="C18385" s="1" t="n">
        <v>45736</v>
      </c>
      <c r="D18385" t="inlineStr">
        <is>
          <t>VÄRMLANDS LÄN</t>
        </is>
      </c>
      <c r="E18385" t="inlineStr">
        <is>
          <t>SUNNE</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1994-2025</t>
        </is>
      </c>
      <c r="B18386" s="1" t="n">
        <v>45672</v>
      </c>
      <c r="C18386" s="1" t="n">
        <v>45736</v>
      </c>
      <c r="D18386" t="inlineStr">
        <is>
          <t>VÄRMLANDS LÄN</t>
        </is>
      </c>
      <c r="E18386" t="inlineStr">
        <is>
          <t>FORSHAGA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2174-2025</t>
        </is>
      </c>
      <c r="B18387" s="1" t="n">
        <v>45673</v>
      </c>
      <c r="C18387" s="1" t="n">
        <v>45736</v>
      </c>
      <c r="D18387" t="inlineStr">
        <is>
          <t>VÄRMLANDS LÄN</t>
        </is>
      </c>
      <c r="E18387" t="inlineStr">
        <is>
          <t>SUNNE</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2186-2025</t>
        </is>
      </c>
      <c r="B18388" s="1" t="n">
        <v>45673</v>
      </c>
      <c r="C18388" s="1" t="n">
        <v>45736</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2222-2025</t>
        </is>
      </c>
      <c r="B18389" s="1" t="n">
        <v>45673</v>
      </c>
      <c r="C18389" s="1" t="n">
        <v>45736</v>
      </c>
      <c r="D18389" t="inlineStr">
        <is>
          <t>VÄRMLANDS LÄN</t>
        </is>
      </c>
      <c r="E18389" t="inlineStr">
        <is>
          <t>ÅRJÄNG</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2173-2025</t>
        </is>
      </c>
      <c r="B18390" s="1" t="n">
        <v>45673</v>
      </c>
      <c r="C18390" s="1" t="n">
        <v>45736</v>
      </c>
      <c r="D18390" t="inlineStr">
        <is>
          <t>VÄRMLANDS LÄN</t>
        </is>
      </c>
      <c r="E18390" t="inlineStr">
        <is>
          <t>SUNNE</t>
        </is>
      </c>
      <c r="G18390" t="n">
        <v>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2195-2025</t>
        </is>
      </c>
      <c r="B18391" s="1" t="n">
        <v>45673</v>
      </c>
      <c r="C18391" s="1" t="n">
        <v>45736</v>
      </c>
      <c r="D18391" t="inlineStr">
        <is>
          <t>VÄRMLANDS LÄN</t>
        </is>
      </c>
      <c r="E18391" t="inlineStr">
        <is>
          <t>TORSBY</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2199-2025</t>
        </is>
      </c>
      <c r="B18392" s="1" t="n">
        <v>45673</v>
      </c>
      <c r="C18392" s="1" t="n">
        <v>45736</v>
      </c>
      <c r="D18392" t="inlineStr">
        <is>
          <t>VÄRMLANDS LÄN</t>
        </is>
      </c>
      <c r="E18392" t="inlineStr">
        <is>
          <t>TORSBY</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2175-2025</t>
        </is>
      </c>
      <c r="B18393" s="1" t="n">
        <v>45673</v>
      </c>
      <c r="C18393" s="1" t="n">
        <v>45736</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2253-2025</t>
        </is>
      </c>
      <c r="B18394" s="1" t="n">
        <v>45673</v>
      </c>
      <c r="C18394" s="1" t="n">
        <v>45736</v>
      </c>
      <c r="D18394" t="inlineStr">
        <is>
          <t>VÄRMLANDS LÄN</t>
        </is>
      </c>
      <c r="E18394" t="inlineStr">
        <is>
          <t>ÅRJÄNG</t>
        </is>
      </c>
      <c r="G18394" t="n">
        <v>19.1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2275-2025</t>
        </is>
      </c>
      <c r="B18395" s="1" t="n">
        <v>45673</v>
      </c>
      <c r="C18395" s="1" t="n">
        <v>45736</v>
      </c>
      <c r="D18395" t="inlineStr">
        <is>
          <t>VÄRMLANDS LÄN</t>
        </is>
      </c>
      <c r="E18395" t="inlineStr">
        <is>
          <t>SÄFFLE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2356-2025</t>
        </is>
      </c>
      <c r="B18396" s="1" t="n">
        <v>45673</v>
      </c>
      <c r="C18396" s="1" t="n">
        <v>45736</v>
      </c>
      <c r="D18396" t="inlineStr">
        <is>
          <t>VÄRMLANDS LÄN</t>
        </is>
      </c>
      <c r="E18396" t="inlineStr">
        <is>
          <t>ARVIKA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2341-2025</t>
        </is>
      </c>
      <c r="B18397" s="1" t="n">
        <v>45673</v>
      </c>
      <c r="C18397" s="1" t="n">
        <v>45736</v>
      </c>
      <c r="D18397" t="inlineStr">
        <is>
          <t>VÄRMLANDS LÄN</t>
        </is>
      </c>
      <c r="E18397" t="inlineStr">
        <is>
          <t>SÄFFLE</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2321-2025</t>
        </is>
      </c>
      <c r="B18398" s="1" t="n">
        <v>45673</v>
      </c>
      <c r="C18398" s="1" t="n">
        <v>45736</v>
      </c>
      <c r="D18398" t="inlineStr">
        <is>
          <t>VÄRMLANDS LÄN</t>
        </is>
      </c>
      <c r="E18398" t="inlineStr">
        <is>
          <t>SÄFFLE</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2317-2025</t>
        </is>
      </c>
      <c r="B18399" s="1" t="n">
        <v>45673</v>
      </c>
      <c r="C18399" s="1" t="n">
        <v>45736</v>
      </c>
      <c r="D18399" t="inlineStr">
        <is>
          <t>VÄRMLANDS LÄN</t>
        </is>
      </c>
      <c r="E18399" t="inlineStr">
        <is>
          <t>HAGFORS</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2322-2025</t>
        </is>
      </c>
      <c r="B18400" s="1" t="n">
        <v>45673</v>
      </c>
      <c r="C18400" s="1" t="n">
        <v>45736</v>
      </c>
      <c r="D18400" t="inlineStr">
        <is>
          <t>VÄRMLANDS LÄN</t>
        </is>
      </c>
      <c r="E18400" t="inlineStr">
        <is>
          <t>ARVIKA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2330-2025</t>
        </is>
      </c>
      <c r="B18401" s="1" t="n">
        <v>45673</v>
      </c>
      <c r="C18401" s="1" t="n">
        <v>45736</v>
      </c>
      <c r="D18401" t="inlineStr">
        <is>
          <t>VÄRMLANDS LÄN</t>
        </is>
      </c>
      <c r="E18401" t="inlineStr">
        <is>
          <t>ÅRJÄNG</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2334-2025</t>
        </is>
      </c>
      <c r="B18402" s="1" t="n">
        <v>45673</v>
      </c>
      <c r="C18402" s="1" t="n">
        <v>45736</v>
      </c>
      <c r="D18402" t="inlineStr">
        <is>
          <t>VÄRMLANDS LÄN</t>
        </is>
      </c>
      <c r="E18402" t="inlineStr">
        <is>
          <t>EDA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2342-2025</t>
        </is>
      </c>
      <c r="B18403" s="1" t="n">
        <v>45673</v>
      </c>
      <c r="C18403" s="1" t="n">
        <v>45736</v>
      </c>
      <c r="D18403" t="inlineStr">
        <is>
          <t>VÄRMLANDS LÄN</t>
        </is>
      </c>
      <c r="E18403" t="inlineStr">
        <is>
          <t>SÄFFLE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2371-2025</t>
        </is>
      </c>
      <c r="B18404" s="1" t="n">
        <v>45673</v>
      </c>
      <c r="C18404" s="1" t="n">
        <v>45736</v>
      </c>
      <c r="D18404" t="inlineStr">
        <is>
          <t>VÄRMLANDS LÄN</t>
        </is>
      </c>
      <c r="E18404" t="inlineStr">
        <is>
          <t>HAGFORS</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2332-2025</t>
        </is>
      </c>
      <c r="B18405" s="1" t="n">
        <v>45673</v>
      </c>
      <c r="C18405" s="1" t="n">
        <v>45736</v>
      </c>
      <c r="D18405" t="inlineStr">
        <is>
          <t>VÄRMLANDS LÄN</t>
        </is>
      </c>
      <c r="E18405" t="inlineStr">
        <is>
          <t>SUNNE</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2320-2025</t>
        </is>
      </c>
      <c r="B18406" s="1" t="n">
        <v>45673</v>
      </c>
      <c r="C18406" s="1" t="n">
        <v>45736</v>
      </c>
      <c r="D18406" t="inlineStr">
        <is>
          <t>VÄRMLANDS LÄN</t>
        </is>
      </c>
      <c r="E18406" t="inlineStr">
        <is>
          <t>ARVIKA</t>
        </is>
      </c>
      <c r="G18406" t="n">
        <v>6.7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2600-2025</t>
        </is>
      </c>
      <c r="B18407" s="1" t="n">
        <v>45674</v>
      </c>
      <c r="C18407" s="1" t="n">
        <v>45736</v>
      </c>
      <c r="D18407" t="inlineStr">
        <is>
          <t>VÄRMLANDS LÄN</t>
        </is>
      </c>
      <c r="E18407" t="inlineStr">
        <is>
          <t>ARVIKA</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2390-2025</t>
        </is>
      </c>
      <c r="B18408" s="1" t="n">
        <v>45674</v>
      </c>
      <c r="C18408" s="1" t="n">
        <v>45736</v>
      </c>
      <c r="D18408" t="inlineStr">
        <is>
          <t>VÄRMLANDS LÄN</t>
        </is>
      </c>
      <c r="E18408" t="inlineStr">
        <is>
          <t>TORSBY</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2475-2025</t>
        </is>
      </c>
      <c r="B18409" s="1" t="n">
        <v>45674</v>
      </c>
      <c r="C18409" s="1" t="n">
        <v>45736</v>
      </c>
      <c r="D18409" t="inlineStr">
        <is>
          <t>VÄRMLANDS LÄN</t>
        </is>
      </c>
      <c r="E18409" t="inlineStr">
        <is>
          <t>KARLSTAD</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2506-2025</t>
        </is>
      </c>
      <c r="B18410" s="1" t="n">
        <v>45674</v>
      </c>
      <c r="C18410" s="1" t="n">
        <v>45736</v>
      </c>
      <c r="D18410" t="inlineStr">
        <is>
          <t>VÄRMLANDS LÄN</t>
        </is>
      </c>
      <c r="E18410" t="inlineStr">
        <is>
          <t>TORSBY</t>
        </is>
      </c>
      <c r="F18410" t="inlineStr">
        <is>
          <t>Bergvik skog väst AB</t>
        </is>
      </c>
      <c r="G18410" t="n">
        <v>19.2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2437-2025</t>
        </is>
      </c>
      <c r="B18411" s="1" t="n">
        <v>45674</v>
      </c>
      <c r="C18411" s="1" t="n">
        <v>45736</v>
      </c>
      <c r="D18411" t="inlineStr">
        <is>
          <t>VÄRMLANDS LÄN</t>
        </is>
      </c>
      <c r="E18411" t="inlineStr">
        <is>
          <t>FILIPSTAD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2406-2025</t>
        </is>
      </c>
      <c r="B18412" s="1" t="n">
        <v>45674</v>
      </c>
      <c r="C18412" s="1" t="n">
        <v>45736</v>
      </c>
      <c r="D18412" t="inlineStr">
        <is>
          <t>VÄRMLANDS LÄN</t>
        </is>
      </c>
      <c r="E18412" t="inlineStr">
        <is>
          <t>KRISTINEHAMN</t>
        </is>
      </c>
      <c r="G18412" t="n">
        <v>9.699999999999999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2504-2025</t>
        </is>
      </c>
      <c r="B18413" s="1" t="n">
        <v>45674</v>
      </c>
      <c r="C18413" s="1" t="n">
        <v>45736</v>
      </c>
      <c r="D18413" t="inlineStr">
        <is>
          <t>VÄRMLANDS LÄN</t>
        </is>
      </c>
      <c r="E18413" t="inlineStr">
        <is>
          <t>TORSBY</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2387-2025</t>
        </is>
      </c>
      <c r="B18414" s="1" t="n">
        <v>45674</v>
      </c>
      <c r="C18414" s="1" t="n">
        <v>45736</v>
      </c>
      <c r="D18414" t="inlineStr">
        <is>
          <t>VÄRMLANDS LÄN</t>
        </is>
      </c>
      <c r="E18414" t="inlineStr">
        <is>
          <t>TORSBY</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2564-2025</t>
        </is>
      </c>
      <c r="B18415" s="1" t="n">
        <v>45674</v>
      </c>
      <c r="C18415" s="1" t="n">
        <v>45736</v>
      </c>
      <c r="D18415" t="inlineStr">
        <is>
          <t>VÄRMLANDS LÄN</t>
        </is>
      </c>
      <c r="E18415" t="inlineStr">
        <is>
          <t>ARVIKA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2599-2025</t>
        </is>
      </c>
      <c r="B18416" s="1" t="n">
        <v>45674</v>
      </c>
      <c r="C18416" s="1" t="n">
        <v>45736</v>
      </c>
      <c r="D18416" t="inlineStr">
        <is>
          <t>VÄRMLANDS LÄN</t>
        </is>
      </c>
      <c r="E18416" t="inlineStr">
        <is>
          <t>ARVIKA</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2578-2025</t>
        </is>
      </c>
      <c r="B18417" s="1" t="n">
        <v>45674</v>
      </c>
      <c r="C18417" s="1" t="n">
        <v>45736</v>
      </c>
      <c r="D18417" t="inlineStr">
        <is>
          <t>VÄRMLANDS LÄN</t>
        </is>
      </c>
      <c r="E18417" t="inlineStr">
        <is>
          <t>KRISTINEHAMN</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2605-2025</t>
        </is>
      </c>
      <c r="B18418" s="1" t="n">
        <v>45674</v>
      </c>
      <c r="C18418" s="1" t="n">
        <v>45736</v>
      </c>
      <c r="D18418" t="inlineStr">
        <is>
          <t>VÄRMLANDS LÄN</t>
        </is>
      </c>
      <c r="E18418" t="inlineStr">
        <is>
          <t>ARVIKA</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2551-2025</t>
        </is>
      </c>
      <c r="B18419" s="1" t="n">
        <v>45674</v>
      </c>
      <c r="C18419" s="1" t="n">
        <v>45736</v>
      </c>
      <c r="D18419" t="inlineStr">
        <is>
          <t>VÄRMLANDS LÄN</t>
        </is>
      </c>
      <c r="E18419" t="inlineStr">
        <is>
          <t>ÅRJÄNG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2525-2025</t>
        </is>
      </c>
      <c r="B18420" s="1" t="n">
        <v>45674</v>
      </c>
      <c r="C18420" s="1" t="n">
        <v>45736</v>
      </c>
      <c r="D18420" t="inlineStr">
        <is>
          <t>VÄRMLANDS LÄN</t>
        </is>
      </c>
      <c r="E18420" t="inlineStr">
        <is>
          <t>STORFORS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2516-2025</t>
        </is>
      </c>
      <c r="B18421" s="1" t="n">
        <v>45674</v>
      </c>
      <c r="C18421" s="1" t="n">
        <v>45736</v>
      </c>
      <c r="D18421" t="inlineStr">
        <is>
          <t>VÄRMLANDS LÄN</t>
        </is>
      </c>
      <c r="E18421" t="inlineStr">
        <is>
          <t>KARLSTAD</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2389-2025</t>
        </is>
      </c>
      <c r="B18422" s="1" t="n">
        <v>45674</v>
      </c>
      <c r="C18422" s="1" t="n">
        <v>45736</v>
      </c>
      <c r="D18422" t="inlineStr">
        <is>
          <t>VÄRMLANDS LÄN</t>
        </is>
      </c>
      <c r="E18422" t="inlineStr">
        <is>
          <t>EDA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2616-2025</t>
        </is>
      </c>
      <c r="B18423" s="1" t="n">
        <v>45675</v>
      </c>
      <c r="C18423" s="1" t="n">
        <v>45736</v>
      </c>
      <c r="D18423" t="inlineStr">
        <is>
          <t>VÄRMLANDS LÄN</t>
        </is>
      </c>
      <c r="E18423" t="inlineStr">
        <is>
          <t>TORSBY</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2646-2025</t>
        </is>
      </c>
      <c r="B18424" s="1" t="n">
        <v>45676</v>
      </c>
      <c r="C18424" s="1" t="n">
        <v>45736</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2650-2025</t>
        </is>
      </c>
      <c r="B18425" s="1" t="n">
        <v>45676</v>
      </c>
      <c r="C18425" s="1" t="n">
        <v>45736</v>
      </c>
      <c r="D18425" t="inlineStr">
        <is>
          <t>VÄRMLANDS LÄN</t>
        </is>
      </c>
      <c r="E18425" t="inlineStr">
        <is>
          <t>EDA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2654-2025</t>
        </is>
      </c>
      <c r="B18426" s="1" t="n">
        <v>45676</v>
      </c>
      <c r="C18426" s="1" t="n">
        <v>45736</v>
      </c>
      <c r="D18426" t="inlineStr">
        <is>
          <t>VÄRMLANDS LÄN</t>
        </is>
      </c>
      <c r="E18426" t="inlineStr">
        <is>
          <t>KARLSTAD</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2783-2025</t>
        </is>
      </c>
      <c r="B18427" s="1" t="n">
        <v>45676</v>
      </c>
      <c r="C18427" s="1" t="n">
        <v>45736</v>
      </c>
      <c r="D18427" t="inlineStr">
        <is>
          <t>VÄRMLANDS LÄN</t>
        </is>
      </c>
      <c r="E18427" t="inlineStr">
        <is>
          <t>SÄFFLE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2652-2025</t>
        </is>
      </c>
      <c r="B18428" s="1" t="n">
        <v>45676</v>
      </c>
      <c r="C18428" s="1" t="n">
        <v>45736</v>
      </c>
      <c r="D18428" t="inlineStr">
        <is>
          <t>VÄRMLANDS LÄN</t>
        </is>
      </c>
      <c r="E18428" t="inlineStr">
        <is>
          <t>KARLSTAD</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2703-2025</t>
        </is>
      </c>
      <c r="B18429" s="1" t="n">
        <v>45677</v>
      </c>
      <c r="C18429" s="1" t="n">
        <v>45736</v>
      </c>
      <c r="D18429" t="inlineStr">
        <is>
          <t>VÄRMLANDS LÄN</t>
        </is>
      </c>
      <c r="E18429" t="inlineStr">
        <is>
          <t>ARVIKA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2788-2025</t>
        </is>
      </c>
      <c r="B18430" s="1" t="n">
        <v>45677</v>
      </c>
      <c r="C18430" s="1" t="n">
        <v>45736</v>
      </c>
      <c r="D18430" t="inlineStr">
        <is>
          <t>VÄRMLANDS LÄN</t>
        </is>
      </c>
      <c r="E18430" t="inlineStr">
        <is>
          <t>TORSBY</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2858-2025</t>
        </is>
      </c>
      <c r="B18431" s="1" t="n">
        <v>45677</v>
      </c>
      <c r="C18431" s="1" t="n">
        <v>45736</v>
      </c>
      <c r="D18431" t="inlineStr">
        <is>
          <t>VÄRMLANDS LÄN</t>
        </is>
      </c>
      <c r="E18431" t="inlineStr">
        <is>
          <t>FILIPSTAD</t>
        </is>
      </c>
      <c r="F18431" t="inlineStr">
        <is>
          <t>Bergvik skog väst AB</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2787-2025</t>
        </is>
      </c>
      <c r="B18432" s="1" t="n">
        <v>45677</v>
      </c>
      <c r="C18432" s="1" t="n">
        <v>45736</v>
      </c>
      <c r="D18432" t="inlineStr">
        <is>
          <t>VÄRMLANDS LÄN</t>
        </is>
      </c>
      <c r="E18432" t="inlineStr">
        <is>
          <t>ÅRJÄNG</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2803-2025</t>
        </is>
      </c>
      <c r="B18433" s="1" t="n">
        <v>45677</v>
      </c>
      <c r="C18433" s="1" t="n">
        <v>45736</v>
      </c>
      <c r="D18433" t="inlineStr">
        <is>
          <t>VÄRMLANDS LÄN</t>
        </is>
      </c>
      <c r="E18433" t="inlineStr">
        <is>
          <t>TORSBY</t>
        </is>
      </c>
      <c r="F18433" t="inlineStr">
        <is>
          <t>Bergvik skog väst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2807-2025</t>
        </is>
      </c>
      <c r="B18434" s="1" t="n">
        <v>45677</v>
      </c>
      <c r="C18434" s="1" t="n">
        <v>45736</v>
      </c>
      <c r="D18434" t="inlineStr">
        <is>
          <t>VÄRMLANDS LÄN</t>
        </is>
      </c>
      <c r="E18434" t="inlineStr">
        <is>
          <t>TORSBY</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2885-2025</t>
        </is>
      </c>
      <c r="B18435" s="1" t="n">
        <v>45677</v>
      </c>
      <c r="C18435" s="1" t="n">
        <v>45736</v>
      </c>
      <c r="D18435" t="inlineStr">
        <is>
          <t>VÄRMLANDS LÄN</t>
        </is>
      </c>
      <c r="E18435" t="inlineStr">
        <is>
          <t>SÄFFLE</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2904-2025</t>
        </is>
      </c>
      <c r="B18436" s="1" t="n">
        <v>45677</v>
      </c>
      <c r="C18436" s="1" t="n">
        <v>45736</v>
      </c>
      <c r="D18436" t="inlineStr">
        <is>
          <t>VÄRMLANDS LÄN</t>
        </is>
      </c>
      <c r="E18436" t="inlineStr">
        <is>
          <t>FORSHAGA</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2912-2025</t>
        </is>
      </c>
      <c r="B18437" s="1" t="n">
        <v>45677</v>
      </c>
      <c r="C18437" s="1" t="n">
        <v>45736</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2902-2025</t>
        </is>
      </c>
      <c r="B18438" s="1" t="n">
        <v>45677</v>
      </c>
      <c r="C18438" s="1" t="n">
        <v>45736</v>
      </c>
      <c r="D18438" t="inlineStr">
        <is>
          <t>VÄRMLANDS LÄN</t>
        </is>
      </c>
      <c r="E18438" t="inlineStr">
        <is>
          <t>SÄFFLE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2797-2025</t>
        </is>
      </c>
      <c r="B18439" s="1" t="n">
        <v>45677</v>
      </c>
      <c r="C18439" s="1" t="n">
        <v>45736</v>
      </c>
      <c r="D18439" t="inlineStr">
        <is>
          <t>VÄRMLANDS LÄN</t>
        </is>
      </c>
      <c r="E18439" t="inlineStr">
        <is>
          <t>TORSBY</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2702-2025</t>
        </is>
      </c>
      <c r="B18440" s="1" t="n">
        <v>45677</v>
      </c>
      <c r="C18440" s="1" t="n">
        <v>45736</v>
      </c>
      <c r="D18440" t="inlineStr">
        <is>
          <t>VÄRMLANDS LÄN</t>
        </is>
      </c>
      <c r="E18440" t="inlineStr">
        <is>
          <t>ARVIKA</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3036-2025</t>
        </is>
      </c>
      <c r="B18441" s="1" t="n">
        <v>45678</v>
      </c>
      <c r="C18441" s="1" t="n">
        <v>45736</v>
      </c>
      <c r="D18441" t="inlineStr">
        <is>
          <t>VÄRMLANDS LÄN</t>
        </is>
      </c>
      <c r="E18441" t="inlineStr">
        <is>
          <t>TORSBY</t>
        </is>
      </c>
      <c r="G18441" t="n">
        <v>15.4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3076-2025</t>
        </is>
      </c>
      <c r="B18442" s="1" t="n">
        <v>45678</v>
      </c>
      <c r="C18442" s="1" t="n">
        <v>45736</v>
      </c>
      <c r="D18442" t="inlineStr">
        <is>
          <t>VÄRMLANDS LÄN</t>
        </is>
      </c>
      <c r="E18442" t="inlineStr">
        <is>
          <t>ARVIKA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3148-2025</t>
        </is>
      </c>
      <c r="B18443" s="1" t="n">
        <v>45678</v>
      </c>
      <c r="C18443" s="1" t="n">
        <v>45736</v>
      </c>
      <c r="D18443" t="inlineStr">
        <is>
          <t>VÄRMLANDS LÄN</t>
        </is>
      </c>
      <c r="E18443" t="inlineStr">
        <is>
          <t>SUNNE</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2924-2025</t>
        </is>
      </c>
      <c r="B18444" s="1" t="n">
        <v>45678</v>
      </c>
      <c r="C18444" s="1" t="n">
        <v>45736</v>
      </c>
      <c r="D18444" t="inlineStr">
        <is>
          <t>VÄRMLANDS LÄN</t>
        </is>
      </c>
      <c r="E18444" t="inlineStr">
        <is>
          <t>KRISTINEHAMN</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2920-2025</t>
        </is>
      </c>
      <c r="B18445" s="1" t="n">
        <v>45678</v>
      </c>
      <c r="C18445" s="1" t="n">
        <v>45736</v>
      </c>
      <c r="D18445" t="inlineStr">
        <is>
          <t>VÄRMLANDS LÄN</t>
        </is>
      </c>
      <c r="E18445" t="inlineStr">
        <is>
          <t>KRISTINEHAMN</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3064-2025</t>
        </is>
      </c>
      <c r="B18446" s="1" t="n">
        <v>45678</v>
      </c>
      <c r="C18446" s="1" t="n">
        <v>45736</v>
      </c>
      <c r="D18446" t="inlineStr">
        <is>
          <t>VÄRMLANDS LÄN</t>
        </is>
      </c>
      <c r="E18446" t="inlineStr">
        <is>
          <t>HAGFORS</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2981-2025</t>
        </is>
      </c>
      <c r="B18447" s="1" t="n">
        <v>45678</v>
      </c>
      <c r="C18447" s="1" t="n">
        <v>45736</v>
      </c>
      <c r="D18447" t="inlineStr">
        <is>
          <t>VÄRMLANDS LÄN</t>
        </is>
      </c>
      <c r="E18447" t="inlineStr">
        <is>
          <t>TORSBY</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2927-2025</t>
        </is>
      </c>
      <c r="B18448" s="1" t="n">
        <v>45678</v>
      </c>
      <c r="C18448" s="1" t="n">
        <v>45736</v>
      </c>
      <c r="D18448" t="inlineStr">
        <is>
          <t>VÄRMLANDS LÄN</t>
        </is>
      </c>
      <c r="E18448" t="inlineStr">
        <is>
          <t>KRISTINEHAMN</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3147-2025</t>
        </is>
      </c>
      <c r="B18449" s="1" t="n">
        <v>45678</v>
      </c>
      <c r="C18449" s="1" t="n">
        <v>45736</v>
      </c>
      <c r="D18449" t="inlineStr">
        <is>
          <t>VÄRMLANDS LÄN</t>
        </is>
      </c>
      <c r="E18449" t="inlineStr">
        <is>
          <t>SUNNE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2971-2025</t>
        </is>
      </c>
      <c r="B18450" s="1" t="n">
        <v>45678</v>
      </c>
      <c r="C18450" s="1" t="n">
        <v>45736</v>
      </c>
      <c r="D18450" t="inlineStr">
        <is>
          <t>VÄRMLANDS LÄN</t>
        </is>
      </c>
      <c r="E18450" t="inlineStr">
        <is>
          <t>HAGFORS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2926-2025</t>
        </is>
      </c>
      <c r="B18451" s="1" t="n">
        <v>45678</v>
      </c>
      <c r="C18451" s="1" t="n">
        <v>45736</v>
      </c>
      <c r="D18451" t="inlineStr">
        <is>
          <t>VÄRMLANDS LÄN</t>
        </is>
      </c>
      <c r="E18451" t="inlineStr">
        <is>
          <t>KRISTINEHAMN</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45736</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3307-2025</t>
        </is>
      </c>
      <c r="B18453" s="1" t="n">
        <v>45679</v>
      </c>
      <c r="C18453" s="1" t="n">
        <v>45736</v>
      </c>
      <c r="D18453" t="inlineStr">
        <is>
          <t>VÄRMLANDS LÄN</t>
        </is>
      </c>
      <c r="E18453" t="inlineStr">
        <is>
          <t>KARLSTAD</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3311-2025</t>
        </is>
      </c>
      <c r="B18454" s="1" t="n">
        <v>45679</v>
      </c>
      <c r="C18454" s="1" t="n">
        <v>45736</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3313-2025</t>
        </is>
      </c>
      <c r="B18455" s="1" t="n">
        <v>45679</v>
      </c>
      <c r="C18455" s="1" t="n">
        <v>45736</v>
      </c>
      <c r="D18455" t="inlineStr">
        <is>
          <t>VÄRMLANDS LÄN</t>
        </is>
      </c>
      <c r="E18455" t="inlineStr">
        <is>
          <t>KRISTINEHAMN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3338-2025</t>
        </is>
      </c>
      <c r="B18456" s="1" t="n">
        <v>45679</v>
      </c>
      <c r="C18456" s="1" t="n">
        <v>45736</v>
      </c>
      <c r="D18456" t="inlineStr">
        <is>
          <t>VÄRMLANDS LÄN</t>
        </is>
      </c>
      <c r="E18456" t="inlineStr">
        <is>
          <t>KRISTINEHAMN</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3350-2025</t>
        </is>
      </c>
      <c r="B18457" s="1" t="n">
        <v>45679</v>
      </c>
      <c r="C18457" s="1" t="n">
        <v>45736</v>
      </c>
      <c r="D18457" t="inlineStr">
        <is>
          <t>VÄRMLANDS LÄN</t>
        </is>
      </c>
      <c r="E18457" t="inlineStr">
        <is>
          <t>TORSBY</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3333-2025</t>
        </is>
      </c>
      <c r="B18458" s="1" t="n">
        <v>45679</v>
      </c>
      <c r="C18458" s="1" t="n">
        <v>45736</v>
      </c>
      <c r="D18458" t="inlineStr">
        <is>
          <t>VÄRMLANDS LÄN</t>
        </is>
      </c>
      <c r="E18458" t="inlineStr">
        <is>
          <t>MUNKFORS</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3302-2025</t>
        </is>
      </c>
      <c r="B18459" s="1" t="n">
        <v>45679</v>
      </c>
      <c r="C18459" s="1" t="n">
        <v>45736</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3298-2025</t>
        </is>
      </c>
      <c r="B18460" s="1" t="n">
        <v>45679</v>
      </c>
      <c r="C18460" s="1" t="n">
        <v>45736</v>
      </c>
      <c r="D18460" t="inlineStr">
        <is>
          <t>VÄRMLANDS LÄN</t>
        </is>
      </c>
      <c r="E18460" t="inlineStr">
        <is>
          <t>ÅRJÄNG</t>
        </is>
      </c>
      <c r="G18460" t="n">
        <v>9.199999999999999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3226-2025</t>
        </is>
      </c>
      <c r="B18461" s="1" t="n">
        <v>45679</v>
      </c>
      <c r="C18461" s="1" t="n">
        <v>45736</v>
      </c>
      <c r="D18461" t="inlineStr">
        <is>
          <t>VÄRMLANDS LÄN</t>
        </is>
      </c>
      <c r="E18461" t="inlineStr">
        <is>
          <t>TORSBY</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3163-2025</t>
        </is>
      </c>
      <c r="B18462" s="1" t="n">
        <v>45679</v>
      </c>
      <c r="C18462" s="1" t="n">
        <v>45736</v>
      </c>
      <c r="D18462" t="inlineStr">
        <is>
          <t>VÄRMLANDS LÄN</t>
        </is>
      </c>
      <c r="E18462" t="inlineStr">
        <is>
          <t>KIL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3398-2025</t>
        </is>
      </c>
      <c r="B18463" s="1" t="n">
        <v>45679</v>
      </c>
      <c r="C18463" s="1" t="n">
        <v>45736</v>
      </c>
      <c r="D18463" t="inlineStr">
        <is>
          <t>VÄRMLANDS LÄN</t>
        </is>
      </c>
      <c r="E18463" t="inlineStr">
        <is>
          <t>KARLSTAD</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3162-2025</t>
        </is>
      </c>
      <c r="B18464" s="1" t="n">
        <v>45679</v>
      </c>
      <c r="C18464" s="1" t="n">
        <v>45736</v>
      </c>
      <c r="D18464" t="inlineStr">
        <is>
          <t>VÄRMLANDS LÄN</t>
        </is>
      </c>
      <c r="E18464" t="inlineStr">
        <is>
          <t>HAGFORS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3158-2025</t>
        </is>
      </c>
      <c r="B18465" s="1" t="n">
        <v>45679</v>
      </c>
      <c r="C18465" s="1" t="n">
        <v>45736</v>
      </c>
      <c r="D18465" t="inlineStr">
        <is>
          <t>VÄRMLANDS LÄN</t>
        </is>
      </c>
      <c r="E18465" t="inlineStr">
        <is>
          <t>KIL</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3223-2025</t>
        </is>
      </c>
      <c r="B18466" s="1" t="n">
        <v>45679</v>
      </c>
      <c r="C18466" s="1" t="n">
        <v>45736</v>
      </c>
      <c r="D18466" t="inlineStr">
        <is>
          <t>VÄRMLANDS LÄN</t>
        </is>
      </c>
      <c r="E18466" t="inlineStr">
        <is>
          <t>TORSBY</t>
        </is>
      </c>
      <c r="G18466" t="n">
        <v>3.4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3260-2025</t>
        </is>
      </c>
      <c r="B18467" s="1" t="n">
        <v>45679</v>
      </c>
      <c r="C18467" s="1" t="n">
        <v>45736</v>
      </c>
      <c r="D18467" t="inlineStr">
        <is>
          <t>VÄRMLANDS LÄN</t>
        </is>
      </c>
      <c r="E18467" t="inlineStr">
        <is>
          <t>SUNNE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3288-2025</t>
        </is>
      </c>
      <c r="B18468" s="1" t="n">
        <v>45679</v>
      </c>
      <c r="C18468" s="1" t="n">
        <v>45736</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3292-2025</t>
        </is>
      </c>
      <c r="B18469" s="1" t="n">
        <v>45679</v>
      </c>
      <c r="C18469" s="1" t="n">
        <v>45736</v>
      </c>
      <c r="D18469" t="inlineStr">
        <is>
          <t>VÄRMLANDS LÄN</t>
        </is>
      </c>
      <c r="E18469" t="inlineStr">
        <is>
          <t>KARLSTAD</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3296-2025</t>
        </is>
      </c>
      <c r="B18470" s="1" t="n">
        <v>45679</v>
      </c>
      <c r="C18470" s="1" t="n">
        <v>45736</v>
      </c>
      <c r="D18470" t="inlineStr">
        <is>
          <t>VÄRMLANDS LÄN</t>
        </is>
      </c>
      <c r="E18470" t="inlineStr">
        <is>
          <t>KARLSTAD</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3312-2025</t>
        </is>
      </c>
      <c r="B18471" s="1" t="n">
        <v>45679</v>
      </c>
      <c r="C18471" s="1" t="n">
        <v>45736</v>
      </c>
      <c r="D18471" t="inlineStr">
        <is>
          <t>VÄRMLANDS LÄN</t>
        </is>
      </c>
      <c r="E18471" t="inlineStr">
        <is>
          <t>ÅRJÄNG</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3316-2025</t>
        </is>
      </c>
      <c r="B18472" s="1" t="n">
        <v>45679</v>
      </c>
      <c r="C18472" s="1" t="n">
        <v>45736</v>
      </c>
      <c r="D18472" t="inlineStr">
        <is>
          <t>VÄRMLANDS LÄN</t>
        </is>
      </c>
      <c r="E18472" t="inlineStr">
        <is>
          <t>KRISTINEHAMN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3332-2025</t>
        </is>
      </c>
      <c r="B18473" s="1" t="n">
        <v>45679</v>
      </c>
      <c r="C18473" s="1" t="n">
        <v>45736</v>
      </c>
      <c r="D18473" t="inlineStr">
        <is>
          <t>VÄRMLANDS LÄN</t>
        </is>
      </c>
      <c r="E18473" t="inlineStr">
        <is>
          <t>KRISTINEHAMN</t>
        </is>
      </c>
      <c r="G18473" t="n">
        <v>3.6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3479-2025</t>
        </is>
      </c>
      <c r="B18474" s="1" t="n">
        <v>45680</v>
      </c>
      <c r="C18474" s="1" t="n">
        <v>45736</v>
      </c>
      <c r="D18474" t="inlineStr">
        <is>
          <t>VÄRMLANDS LÄN</t>
        </is>
      </c>
      <c r="E18474" t="inlineStr">
        <is>
          <t>ÅRJÄNG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3507-2025</t>
        </is>
      </c>
      <c r="B18475" s="1" t="n">
        <v>45680</v>
      </c>
      <c r="C18475" s="1" t="n">
        <v>45736</v>
      </c>
      <c r="D18475" t="inlineStr">
        <is>
          <t>VÄRMLANDS LÄN</t>
        </is>
      </c>
      <c r="E18475" t="inlineStr">
        <is>
          <t>TORSBY</t>
        </is>
      </c>
      <c r="F18475" t="inlineStr">
        <is>
          <t>Bergvik skog väst AB</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3511-2025</t>
        </is>
      </c>
      <c r="B18476" s="1" t="n">
        <v>45680</v>
      </c>
      <c r="C18476" s="1" t="n">
        <v>45736</v>
      </c>
      <c r="D18476" t="inlineStr">
        <is>
          <t>VÄRMLANDS LÄN</t>
        </is>
      </c>
      <c r="E18476" t="inlineStr">
        <is>
          <t>TORSBY</t>
        </is>
      </c>
      <c r="F18476" t="inlineStr">
        <is>
          <t>Bergvik skog väst AB</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3374-2025</t>
        </is>
      </c>
      <c r="B18477" s="1" t="n">
        <v>45680</v>
      </c>
      <c r="C18477" s="1" t="n">
        <v>45736</v>
      </c>
      <c r="D18477" t="inlineStr">
        <is>
          <t>VÄRMLANDS LÄN</t>
        </is>
      </c>
      <c r="E18477" t="inlineStr">
        <is>
          <t>EDA</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3390-2025</t>
        </is>
      </c>
      <c r="B18478" s="1" t="n">
        <v>45680</v>
      </c>
      <c r="C18478" s="1" t="n">
        <v>45736</v>
      </c>
      <c r="D18478" t="inlineStr">
        <is>
          <t>VÄRMLANDS LÄN</t>
        </is>
      </c>
      <c r="E18478" t="inlineStr">
        <is>
          <t>SUNNE</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3550-2025</t>
        </is>
      </c>
      <c r="B18479" s="1" t="n">
        <v>45680</v>
      </c>
      <c r="C18479" s="1" t="n">
        <v>45736</v>
      </c>
      <c r="D18479" t="inlineStr">
        <is>
          <t>VÄRMLANDS LÄN</t>
        </is>
      </c>
      <c r="E18479" t="inlineStr">
        <is>
          <t>FILIPSTAD</t>
        </is>
      </c>
      <c r="F18479" t="inlineStr">
        <is>
          <t>Bergvik skog väst AB</t>
        </is>
      </c>
      <c r="G18479" t="n">
        <v>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3541-2025</t>
        </is>
      </c>
      <c r="B18480" s="1" t="n">
        <v>45680</v>
      </c>
      <c r="C18480" s="1" t="n">
        <v>45736</v>
      </c>
      <c r="D18480" t="inlineStr">
        <is>
          <t>VÄRMLANDS LÄN</t>
        </is>
      </c>
      <c r="E18480" t="inlineStr">
        <is>
          <t>TORSBY</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3590-2025</t>
        </is>
      </c>
      <c r="B18481" s="1" t="n">
        <v>45680</v>
      </c>
      <c r="C18481" s="1" t="n">
        <v>45736</v>
      </c>
      <c r="D18481" t="inlineStr">
        <is>
          <t>VÄRMLANDS LÄN</t>
        </is>
      </c>
      <c r="E18481" t="inlineStr">
        <is>
          <t>ARVIKA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3569-2025</t>
        </is>
      </c>
      <c r="B18482" s="1" t="n">
        <v>45680</v>
      </c>
      <c r="C18482" s="1" t="n">
        <v>45736</v>
      </c>
      <c r="D18482" t="inlineStr">
        <is>
          <t>VÄRMLANDS LÄN</t>
        </is>
      </c>
      <c r="E18482" t="inlineStr">
        <is>
          <t>KARLSTAD</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3529-2025</t>
        </is>
      </c>
      <c r="B18483" s="1" t="n">
        <v>45680</v>
      </c>
      <c r="C18483" s="1" t="n">
        <v>45736</v>
      </c>
      <c r="D18483" t="inlineStr">
        <is>
          <t>VÄRMLANDS LÄN</t>
        </is>
      </c>
      <c r="E18483" t="inlineStr">
        <is>
          <t>SÄFFLE</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3455-2025</t>
        </is>
      </c>
      <c r="B18484" s="1" t="n">
        <v>45680</v>
      </c>
      <c r="C18484" s="1" t="n">
        <v>45736</v>
      </c>
      <c r="D18484" t="inlineStr">
        <is>
          <t>VÄRMLANDS LÄN</t>
        </is>
      </c>
      <c r="E18484" t="inlineStr">
        <is>
          <t>STORFORS</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3456-2025</t>
        </is>
      </c>
      <c r="B18485" s="1" t="n">
        <v>45680</v>
      </c>
      <c r="C18485" s="1" t="n">
        <v>45736</v>
      </c>
      <c r="D18485" t="inlineStr">
        <is>
          <t>VÄRMLANDS LÄN</t>
        </is>
      </c>
      <c r="E18485" t="inlineStr">
        <is>
          <t>FORSHAGA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3452-2025</t>
        </is>
      </c>
      <c r="B18486" s="1" t="n">
        <v>45680</v>
      </c>
      <c r="C18486" s="1" t="n">
        <v>45736</v>
      </c>
      <c r="D18486" t="inlineStr">
        <is>
          <t>VÄRMLANDS LÄN</t>
        </is>
      </c>
      <c r="E18486" t="inlineStr">
        <is>
          <t>STORFORS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3441-2025</t>
        </is>
      </c>
      <c r="B18487" s="1" t="n">
        <v>45680</v>
      </c>
      <c r="C18487" s="1" t="n">
        <v>45736</v>
      </c>
      <c r="D18487" t="inlineStr">
        <is>
          <t>VÄRMLANDS LÄN</t>
        </is>
      </c>
      <c r="E18487" t="inlineStr">
        <is>
          <t>TORSBY</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3568-2025</t>
        </is>
      </c>
      <c r="B18488" s="1" t="n">
        <v>45680</v>
      </c>
      <c r="C18488" s="1" t="n">
        <v>45736</v>
      </c>
      <c r="D18488" t="inlineStr">
        <is>
          <t>VÄRMLANDS LÄN</t>
        </is>
      </c>
      <c r="E18488" t="inlineStr">
        <is>
          <t>EDA</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3588-2025</t>
        </is>
      </c>
      <c r="B18489" s="1" t="n">
        <v>45680</v>
      </c>
      <c r="C18489" s="1" t="n">
        <v>45736</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3421-2025</t>
        </is>
      </c>
      <c r="B18490" s="1" t="n">
        <v>45680</v>
      </c>
      <c r="C18490" s="1" t="n">
        <v>45736</v>
      </c>
      <c r="D18490" t="inlineStr">
        <is>
          <t>VÄRMLANDS LÄN</t>
        </is>
      </c>
      <c r="E18490" t="inlineStr">
        <is>
          <t>SUNNE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3463-2025</t>
        </is>
      </c>
      <c r="B18491" s="1" t="n">
        <v>45680</v>
      </c>
      <c r="C18491" s="1" t="n">
        <v>45736</v>
      </c>
      <c r="D18491" t="inlineStr">
        <is>
          <t>VÄRMLANDS LÄN</t>
        </is>
      </c>
      <c r="E18491" t="inlineStr">
        <is>
          <t>ÅRJÄNG</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3458-2025</t>
        </is>
      </c>
      <c r="B18492" s="1" t="n">
        <v>45680</v>
      </c>
      <c r="C18492" s="1" t="n">
        <v>45736</v>
      </c>
      <c r="D18492" t="inlineStr">
        <is>
          <t>VÄRMLANDS LÄN</t>
        </is>
      </c>
      <c r="E18492" t="inlineStr">
        <is>
          <t>ÅRJÄNG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3408-2025</t>
        </is>
      </c>
      <c r="B18493" s="1" t="n">
        <v>45680</v>
      </c>
      <c r="C18493" s="1" t="n">
        <v>45736</v>
      </c>
      <c r="D18493" t="inlineStr">
        <is>
          <t>VÄRMLANDS LÄN</t>
        </is>
      </c>
      <c r="E18493" t="inlineStr">
        <is>
          <t>ARVIKA</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3387-2025</t>
        </is>
      </c>
      <c r="B18494" s="1" t="n">
        <v>45680</v>
      </c>
      <c r="C18494" s="1" t="n">
        <v>45736</v>
      </c>
      <c r="D18494" t="inlineStr">
        <is>
          <t>VÄRMLANDS LÄN</t>
        </is>
      </c>
      <c r="E18494" t="inlineStr">
        <is>
          <t>TORSBY</t>
        </is>
      </c>
      <c r="F18494" t="inlineStr">
        <is>
          <t>Kommuner</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3442-2025</t>
        </is>
      </c>
      <c r="B18495" s="1" t="n">
        <v>45680</v>
      </c>
      <c r="C18495" s="1" t="n">
        <v>45736</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3434-2025</t>
        </is>
      </c>
      <c r="B18496" s="1" t="n">
        <v>45680</v>
      </c>
      <c r="C18496" s="1" t="n">
        <v>45736</v>
      </c>
      <c r="D18496" t="inlineStr">
        <is>
          <t>VÄRMLANDS LÄN</t>
        </is>
      </c>
      <c r="E18496" t="inlineStr">
        <is>
          <t>EDA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3409-2025</t>
        </is>
      </c>
      <c r="B18497" s="1" t="n">
        <v>45680</v>
      </c>
      <c r="C18497" s="1" t="n">
        <v>45736</v>
      </c>
      <c r="D18497" t="inlineStr">
        <is>
          <t>VÄRMLANDS LÄN</t>
        </is>
      </c>
      <c r="E18497" t="inlineStr">
        <is>
          <t>TORSBY</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3392-2025</t>
        </is>
      </c>
      <c r="B18498" s="1" t="n">
        <v>45680</v>
      </c>
      <c r="C18498" s="1" t="n">
        <v>45736</v>
      </c>
      <c r="D18498" t="inlineStr">
        <is>
          <t>VÄRMLANDS LÄN</t>
        </is>
      </c>
      <c r="E18498" t="inlineStr">
        <is>
          <t>SUNNE</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3376-2025</t>
        </is>
      </c>
      <c r="B18499" s="1" t="n">
        <v>45680</v>
      </c>
      <c r="C18499" s="1" t="n">
        <v>45736</v>
      </c>
      <c r="D18499" t="inlineStr">
        <is>
          <t>VÄRMLANDS LÄN</t>
        </is>
      </c>
      <c r="E18499" t="inlineStr">
        <is>
          <t>HAGFORS</t>
        </is>
      </c>
      <c r="F18499" t="inlineStr">
        <is>
          <t>Bergvik skog väst AB</t>
        </is>
      </c>
      <c r="G18499" t="n">
        <v>13.7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3779-2025</t>
        </is>
      </c>
      <c r="B18500" s="1" t="n">
        <v>45681</v>
      </c>
      <c r="C18500" s="1" t="n">
        <v>45736</v>
      </c>
      <c r="D18500" t="inlineStr">
        <is>
          <t>VÄRMLANDS LÄN</t>
        </is>
      </c>
      <c r="E18500" t="inlineStr">
        <is>
          <t>GRUMS</t>
        </is>
      </c>
      <c r="F18500" t="inlineStr">
        <is>
          <t>BillerudKorsnäs AB</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45736</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45736</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45736</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45736</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3790-2025</t>
        </is>
      </c>
      <c r="B18505" s="1" t="n">
        <v>45681</v>
      </c>
      <c r="C18505" s="1" t="n">
        <v>45736</v>
      </c>
      <c r="D18505" t="inlineStr">
        <is>
          <t>VÄRMLANDS LÄN</t>
        </is>
      </c>
      <c r="E18505" t="inlineStr">
        <is>
          <t>KRISTINEHAMN</t>
        </is>
      </c>
      <c r="F18505" t="inlineStr">
        <is>
          <t>Kommuner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3793-2025</t>
        </is>
      </c>
      <c r="B18506" s="1" t="n">
        <v>45681</v>
      </c>
      <c r="C18506" s="1" t="n">
        <v>45736</v>
      </c>
      <c r="D18506" t="inlineStr">
        <is>
          <t>VÄRMLANDS LÄN</t>
        </is>
      </c>
      <c r="E18506" t="inlineStr">
        <is>
          <t>KRISTINEHAMN</t>
        </is>
      </c>
      <c r="F18506" t="inlineStr">
        <is>
          <t>Kommuner</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3826-2025</t>
        </is>
      </c>
      <c r="B18507" s="1" t="n">
        <v>45681</v>
      </c>
      <c r="C18507" s="1" t="n">
        <v>45736</v>
      </c>
      <c r="D18507" t="inlineStr">
        <is>
          <t>VÄRMLANDS LÄN</t>
        </is>
      </c>
      <c r="E18507" t="inlineStr">
        <is>
          <t>KIL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3698-2025</t>
        </is>
      </c>
      <c r="B18508" s="1" t="n">
        <v>45681</v>
      </c>
      <c r="C18508" s="1" t="n">
        <v>45736</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3694-2025</t>
        </is>
      </c>
      <c r="B18509" s="1" t="n">
        <v>45681</v>
      </c>
      <c r="C18509" s="1" t="n">
        <v>45736</v>
      </c>
      <c r="D18509" t="inlineStr">
        <is>
          <t>VÄRMLANDS LÄN</t>
        </is>
      </c>
      <c r="E18509" t="inlineStr">
        <is>
          <t>SÄFFLE</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3669-2025</t>
        </is>
      </c>
      <c r="B18510" s="1" t="n">
        <v>45681</v>
      </c>
      <c r="C18510" s="1" t="n">
        <v>45736</v>
      </c>
      <c r="D18510" t="inlineStr">
        <is>
          <t>VÄRMLANDS LÄN</t>
        </is>
      </c>
      <c r="E18510" t="inlineStr">
        <is>
          <t>HAGFORS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3661-2025</t>
        </is>
      </c>
      <c r="B18511" s="1" t="n">
        <v>45681</v>
      </c>
      <c r="C18511" s="1" t="n">
        <v>45736</v>
      </c>
      <c r="D18511" t="inlineStr">
        <is>
          <t>VÄRMLANDS LÄN</t>
        </is>
      </c>
      <c r="E18511" t="inlineStr">
        <is>
          <t>HAMMARÖ</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3637-2025</t>
        </is>
      </c>
      <c r="B18512" s="1" t="n">
        <v>45681</v>
      </c>
      <c r="C18512" s="1" t="n">
        <v>45736</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3613-2025</t>
        </is>
      </c>
      <c r="B18513" s="1" t="n">
        <v>45681</v>
      </c>
      <c r="C18513" s="1" t="n">
        <v>45736</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3729-2025</t>
        </is>
      </c>
      <c r="B18514" s="1" t="n">
        <v>45681</v>
      </c>
      <c r="C18514" s="1" t="n">
        <v>45736</v>
      </c>
      <c r="D18514" t="inlineStr">
        <is>
          <t>VÄRMLANDS LÄN</t>
        </is>
      </c>
      <c r="E18514" t="inlineStr">
        <is>
          <t>ÅRJÄNG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3721-2025</t>
        </is>
      </c>
      <c r="B18515" s="1" t="n">
        <v>45681</v>
      </c>
      <c r="C18515" s="1" t="n">
        <v>45736</v>
      </c>
      <c r="D18515" t="inlineStr">
        <is>
          <t>VÄRMLANDS LÄN</t>
        </is>
      </c>
      <c r="E18515" t="inlineStr">
        <is>
          <t>STORFORS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3671-2025</t>
        </is>
      </c>
      <c r="B18516" s="1" t="n">
        <v>45681</v>
      </c>
      <c r="C18516" s="1" t="n">
        <v>45736</v>
      </c>
      <c r="D18516" t="inlineStr">
        <is>
          <t>VÄRMLANDS LÄN</t>
        </is>
      </c>
      <c r="E18516" t="inlineStr">
        <is>
          <t>ARVIKA</t>
        </is>
      </c>
      <c r="F18516" t="inlineStr">
        <is>
          <t>Bergvik skog väst AB</t>
        </is>
      </c>
      <c r="G18516" t="n">
        <v>13.4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3766-2025</t>
        </is>
      </c>
      <c r="B18517" s="1" t="n">
        <v>45681</v>
      </c>
      <c r="C18517" s="1" t="n">
        <v>45736</v>
      </c>
      <c r="D18517" t="inlineStr">
        <is>
          <t>VÄRMLANDS LÄN</t>
        </is>
      </c>
      <c r="E18517" t="inlineStr">
        <is>
          <t>EDA</t>
        </is>
      </c>
      <c r="F18517" t="inlineStr">
        <is>
          <t>Kommuner</t>
        </is>
      </c>
      <c r="G18517" t="n">
        <v>7.9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3610-2025</t>
        </is>
      </c>
      <c r="B18518" s="1" t="n">
        <v>45681</v>
      </c>
      <c r="C18518" s="1" t="n">
        <v>45736</v>
      </c>
      <c r="D18518" t="inlineStr">
        <is>
          <t>VÄRMLANDS LÄN</t>
        </is>
      </c>
      <c r="E18518" t="inlineStr">
        <is>
          <t>ARVIKA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3752-2025</t>
        </is>
      </c>
      <c r="B18519" s="1" t="n">
        <v>45681</v>
      </c>
      <c r="C18519" s="1" t="n">
        <v>45736</v>
      </c>
      <c r="D18519" t="inlineStr">
        <is>
          <t>VÄRMLANDS LÄN</t>
        </is>
      </c>
      <c r="E18519" t="inlineStr">
        <is>
          <t>SÄFFLE</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3821-2025</t>
        </is>
      </c>
      <c r="B18520" s="1" t="n">
        <v>45681</v>
      </c>
      <c r="C18520" s="1" t="n">
        <v>45736</v>
      </c>
      <c r="D18520" t="inlineStr">
        <is>
          <t>VÄRMLANDS LÄN</t>
        </is>
      </c>
      <c r="E18520" t="inlineStr">
        <is>
          <t>KARLSTAD</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3704-2025</t>
        </is>
      </c>
      <c r="B18521" s="1" t="n">
        <v>45681</v>
      </c>
      <c r="C18521" s="1" t="n">
        <v>45736</v>
      </c>
      <c r="D18521" t="inlineStr">
        <is>
          <t>VÄRMLANDS LÄN</t>
        </is>
      </c>
      <c r="E18521" t="inlineStr">
        <is>
          <t>SUNNE</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3691-2025</t>
        </is>
      </c>
      <c r="B18522" s="1" t="n">
        <v>45681</v>
      </c>
      <c r="C18522" s="1" t="n">
        <v>45736</v>
      </c>
      <c r="D18522" t="inlineStr">
        <is>
          <t>VÄRMLANDS LÄN</t>
        </is>
      </c>
      <c r="E18522" t="inlineStr">
        <is>
          <t>ÅRJÄNG</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3662-2025</t>
        </is>
      </c>
      <c r="B18523" s="1" t="n">
        <v>45681</v>
      </c>
      <c r="C18523" s="1" t="n">
        <v>45736</v>
      </c>
      <c r="D18523" t="inlineStr">
        <is>
          <t>VÄRMLANDS LÄN</t>
        </is>
      </c>
      <c r="E18523" t="inlineStr">
        <is>
          <t>KRISTINEHAMN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3710-2025</t>
        </is>
      </c>
      <c r="B18524" s="1" t="n">
        <v>45681</v>
      </c>
      <c r="C18524" s="1" t="n">
        <v>45736</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3660-2025</t>
        </is>
      </c>
      <c r="B18525" s="1" t="n">
        <v>45681</v>
      </c>
      <c r="C18525" s="1" t="n">
        <v>45736</v>
      </c>
      <c r="D18525" t="inlineStr">
        <is>
          <t>VÄRMLANDS LÄN</t>
        </is>
      </c>
      <c r="E18525" t="inlineStr">
        <is>
          <t>KRISTINEHAMN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3851-2025</t>
        </is>
      </c>
      <c r="B18526" s="1" t="n">
        <v>45683</v>
      </c>
      <c r="C18526" s="1" t="n">
        <v>45736</v>
      </c>
      <c r="D18526" t="inlineStr">
        <is>
          <t>VÄRMLANDS LÄN</t>
        </is>
      </c>
      <c r="E18526" t="inlineStr">
        <is>
          <t>KIL</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3848-2025</t>
        </is>
      </c>
      <c r="B18527" s="1" t="n">
        <v>45683</v>
      </c>
      <c r="C18527" s="1" t="n">
        <v>45736</v>
      </c>
      <c r="D18527" t="inlineStr">
        <is>
          <t>VÄRMLANDS LÄN</t>
        </is>
      </c>
      <c r="E18527" t="inlineStr">
        <is>
          <t>ÅRJÄNG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3861-2025</t>
        </is>
      </c>
      <c r="B18528" s="1" t="n">
        <v>45683</v>
      </c>
      <c r="C18528" s="1" t="n">
        <v>45736</v>
      </c>
      <c r="D18528" t="inlineStr">
        <is>
          <t>VÄRMLANDS LÄN</t>
        </is>
      </c>
      <c r="E18528" t="inlineStr">
        <is>
          <t>ÅRJÄNG</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4035-2025</t>
        </is>
      </c>
      <c r="B18529" s="1" t="n">
        <v>45684</v>
      </c>
      <c r="C18529" s="1" t="n">
        <v>45736</v>
      </c>
      <c r="D18529" t="inlineStr">
        <is>
          <t>VÄRMLANDS LÄN</t>
        </is>
      </c>
      <c r="E18529" t="inlineStr">
        <is>
          <t>SUNNE</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3951-2025</t>
        </is>
      </c>
      <c r="B18530" s="1" t="n">
        <v>45684</v>
      </c>
      <c r="C18530" s="1" t="n">
        <v>45736</v>
      </c>
      <c r="D18530" t="inlineStr">
        <is>
          <t>VÄRMLANDS LÄN</t>
        </is>
      </c>
      <c r="E18530" t="inlineStr">
        <is>
          <t>TORSBY</t>
        </is>
      </c>
      <c r="F18530" t="inlineStr">
        <is>
          <t>Bergvik skog väst AB</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3864-2025</t>
        </is>
      </c>
      <c r="B18531" s="1" t="n">
        <v>45684</v>
      </c>
      <c r="C18531" s="1" t="n">
        <v>45736</v>
      </c>
      <c r="D18531" t="inlineStr">
        <is>
          <t>VÄRMLANDS LÄN</t>
        </is>
      </c>
      <c r="E18531" t="inlineStr">
        <is>
          <t>TORSBY</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3904-2025</t>
        </is>
      </c>
      <c r="B18532" s="1" t="n">
        <v>45684</v>
      </c>
      <c r="C18532" s="1" t="n">
        <v>45736</v>
      </c>
      <c r="D18532" t="inlineStr">
        <is>
          <t>VÄRMLANDS LÄN</t>
        </is>
      </c>
      <c r="E18532" t="inlineStr">
        <is>
          <t>TORSBY</t>
        </is>
      </c>
      <c r="F18532" t="inlineStr">
        <is>
          <t>Övriga statliga verk och myndigheter</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3963-2025</t>
        </is>
      </c>
      <c r="B18533" s="1" t="n">
        <v>45684</v>
      </c>
      <c r="C18533" s="1" t="n">
        <v>45736</v>
      </c>
      <c r="D18533" t="inlineStr">
        <is>
          <t>VÄRMLANDS LÄN</t>
        </is>
      </c>
      <c r="E18533" t="inlineStr">
        <is>
          <t>HAGFORS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3975-2025</t>
        </is>
      </c>
      <c r="B18534" s="1" t="n">
        <v>45684</v>
      </c>
      <c r="C18534" s="1" t="n">
        <v>45736</v>
      </c>
      <c r="D18534" t="inlineStr">
        <is>
          <t>VÄRMLANDS LÄN</t>
        </is>
      </c>
      <c r="E18534" t="inlineStr">
        <is>
          <t>EDA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4012-2025</t>
        </is>
      </c>
      <c r="B18535" s="1" t="n">
        <v>45684</v>
      </c>
      <c r="C18535" s="1" t="n">
        <v>45736</v>
      </c>
      <c r="D18535" t="inlineStr">
        <is>
          <t>VÄRMLANDS LÄN</t>
        </is>
      </c>
      <c r="E18535" t="inlineStr">
        <is>
          <t>HAGFORS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4028-2025</t>
        </is>
      </c>
      <c r="B18536" s="1" t="n">
        <v>45684</v>
      </c>
      <c r="C18536" s="1" t="n">
        <v>45736</v>
      </c>
      <c r="D18536" t="inlineStr">
        <is>
          <t>VÄRMLANDS LÄN</t>
        </is>
      </c>
      <c r="E18536" t="inlineStr">
        <is>
          <t>HAGFORS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4080-2025</t>
        </is>
      </c>
      <c r="B18537" s="1" t="n">
        <v>45684</v>
      </c>
      <c r="C18537" s="1" t="n">
        <v>45736</v>
      </c>
      <c r="D18537" t="inlineStr">
        <is>
          <t>VÄRMLANDS LÄN</t>
        </is>
      </c>
      <c r="E18537" t="inlineStr">
        <is>
          <t>SÄFFLE</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4019-2025</t>
        </is>
      </c>
      <c r="B18538" s="1" t="n">
        <v>45684</v>
      </c>
      <c r="C18538" s="1" t="n">
        <v>45736</v>
      </c>
      <c r="D18538" t="inlineStr">
        <is>
          <t>VÄRMLANDS LÄN</t>
        </is>
      </c>
      <c r="E18538" t="inlineStr">
        <is>
          <t>SUNNE</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4018-2025</t>
        </is>
      </c>
      <c r="B18539" s="1" t="n">
        <v>45684</v>
      </c>
      <c r="C18539" s="1" t="n">
        <v>45736</v>
      </c>
      <c r="D18539" t="inlineStr">
        <is>
          <t>VÄRMLANDS LÄN</t>
        </is>
      </c>
      <c r="E18539" t="inlineStr">
        <is>
          <t>SUNNE</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4022-2025</t>
        </is>
      </c>
      <c r="B18540" s="1" t="n">
        <v>45684</v>
      </c>
      <c r="C18540" s="1" t="n">
        <v>45736</v>
      </c>
      <c r="D18540" t="inlineStr">
        <is>
          <t>VÄRMLANDS LÄN</t>
        </is>
      </c>
      <c r="E18540" t="inlineStr">
        <is>
          <t>SUNNE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4030-2025</t>
        </is>
      </c>
      <c r="B18541" s="1" t="n">
        <v>45684</v>
      </c>
      <c r="C18541" s="1" t="n">
        <v>45736</v>
      </c>
      <c r="D18541" t="inlineStr">
        <is>
          <t>VÄRMLANDS LÄN</t>
        </is>
      </c>
      <c r="E18541" t="inlineStr">
        <is>
          <t>SUNNE</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4088-2025</t>
        </is>
      </c>
      <c r="B18542" s="1" t="n">
        <v>45684</v>
      </c>
      <c r="C18542" s="1" t="n">
        <v>45736</v>
      </c>
      <c r="D18542" t="inlineStr">
        <is>
          <t>VÄRMLANDS LÄN</t>
        </is>
      </c>
      <c r="E18542" t="inlineStr">
        <is>
          <t>ÅRJÄNG</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3968-2025</t>
        </is>
      </c>
      <c r="B18543" s="1" t="n">
        <v>45684</v>
      </c>
      <c r="C18543" s="1" t="n">
        <v>45736</v>
      </c>
      <c r="D18543" t="inlineStr">
        <is>
          <t>VÄRMLANDS LÄN</t>
        </is>
      </c>
      <c r="E18543" t="inlineStr">
        <is>
          <t>ÅRJÄNG</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3980-2025</t>
        </is>
      </c>
      <c r="B18544" s="1" t="n">
        <v>45684</v>
      </c>
      <c r="C18544" s="1" t="n">
        <v>45736</v>
      </c>
      <c r="D18544" t="inlineStr">
        <is>
          <t>VÄRMLANDS LÄN</t>
        </is>
      </c>
      <c r="E18544" t="inlineStr">
        <is>
          <t>HAGFORS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3992-2025</t>
        </is>
      </c>
      <c r="B18545" s="1" t="n">
        <v>45684</v>
      </c>
      <c r="C18545" s="1" t="n">
        <v>45736</v>
      </c>
      <c r="D18545" t="inlineStr">
        <is>
          <t>VÄRMLANDS LÄN</t>
        </is>
      </c>
      <c r="E18545" t="inlineStr">
        <is>
          <t>EDA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3996-2025</t>
        </is>
      </c>
      <c r="B18546" s="1" t="n">
        <v>45684</v>
      </c>
      <c r="C18546" s="1" t="n">
        <v>45736</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4065-2025</t>
        </is>
      </c>
      <c r="B18547" s="1" t="n">
        <v>45684</v>
      </c>
      <c r="C18547" s="1" t="n">
        <v>45736</v>
      </c>
      <c r="D18547" t="inlineStr">
        <is>
          <t>VÄRMLANDS LÄN</t>
        </is>
      </c>
      <c r="E18547" t="inlineStr">
        <is>
          <t>ARVIKA</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4069-2025</t>
        </is>
      </c>
      <c r="B18548" s="1" t="n">
        <v>45684</v>
      </c>
      <c r="C18548" s="1" t="n">
        <v>45736</v>
      </c>
      <c r="D18548" t="inlineStr">
        <is>
          <t>VÄRMLANDS LÄN</t>
        </is>
      </c>
      <c r="E18548" t="inlineStr">
        <is>
          <t>KIL</t>
        </is>
      </c>
      <c r="F18548" t="inlineStr">
        <is>
          <t>Kommuner</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45736</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4302-2025</t>
        </is>
      </c>
      <c r="B18550" s="1" t="n">
        <v>45685</v>
      </c>
      <c r="C18550" s="1" t="n">
        <v>45736</v>
      </c>
      <c r="D18550" t="inlineStr">
        <is>
          <t>VÄRMLANDS LÄN</t>
        </is>
      </c>
      <c r="E18550" t="inlineStr">
        <is>
          <t>TORSBY</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4238-2025</t>
        </is>
      </c>
      <c r="B18551" s="1" t="n">
        <v>45685</v>
      </c>
      <c r="C18551" s="1" t="n">
        <v>45736</v>
      </c>
      <c r="D18551" t="inlineStr">
        <is>
          <t>VÄRMLANDS LÄN</t>
        </is>
      </c>
      <c r="E18551" t="inlineStr">
        <is>
          <t>ARVIKA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4266-2025</t>
        </is>
      </c>
      <c r="B18552" s="1" t="n">
        <v>45685</v>
      </c>
      <c r="C18552" s="1" t="n">
        <v>45736</v>
      </c>
      <c r="D18552" t="inlineStr">
        <is>
          <t>VÄRMLANDS LÄN</t>
        </is>
      </c>
      <c r="E18552" t="inlineStr">
        <is>
          <t>KIL</t>
        </is>
      </c>
      <c r="G18552" t="n">
        <v>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4214-2025</t>
        </is>
      </c>
      <c r="B18553" s="1" t="n">
        <v>45685</v>
      </c>
      <c r="C18553" s="1" t="n">
        <v>45736</v>
      </c>
      <c r="D18553" t="inlineStr">
        <is>
          <t>VÄRMLANDS LÄN</t>
        </is>
      </c>
      <c r="E18553" t="inlineStr">
        <is>
          <t>ARVIKA</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4194-2025</t>
        </is>
      </c>
      <c r="B18554" s="1" t="n">
        <v>45685</v>
      </c>
      <c r="C18554" s="1" t="n">
        <v>45736</v>
      </c>
      <c r="D18554" t="inlineStr">
        <is>
          <t>VÄRMLANDS LÄN</t>
        </is>
      </c>
      <c r="E18554" t="inlineStr">
        <is>
          <t>SÄFFLE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4228-2025</t>
        </is>
      </c>
      <c r="B18555" s="1" t="n">
        <v>45685</v>
      </c>
      <c r="C18555" s="1" t="n">
        <v>45736</v>
      </c>
      <c r="D18555" t="inlineStr">
        <is>
          <t>VÄRMLANDS LÄN</t>
        </is>
      </c>
      <c r="E18555" t="inlineStr">
        <is>
          <t>SÄFFLE</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4137-2025</t>
        </is>
      </c>
      <c r="B18556" s="1" t="n">
        <v>45685</v>
      </c>
      <c r="C18556" s="1" t="n">
        <v>45736</v>
      </c>
      <c r="D18556" t="inlineStr">
        <is>
          <t>VÄRMLANDS LÄN</t>
        </is>
      </c>
      <c r="E18556" t="inlineStr">
        <is>
          <t>ÅRJÄNG</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4135-2025</t>
        </is>
      </c>
      <c r="B18557" s="1" t="n">
        <v>45685</v>
      </c>
      <c r="C18557" s="1" t="n">
        <v>45736</v>
      </c>
      <c r="D18557" t="inlineStr">
        <is>
          <t>VÄRMLANDS LÄN</t>
        </is>
      </c>
      <c r="E18557" t="inlineStr">
        <is>
          <t>ÅRJÄNG</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4335-2025</t>
        </is>
      </c>
      <c r="B18558" s="1" t="n">
        <v>45685</v>
      </c>
      <c r="C18558" s="1" t="n">
        <v>45736</v>
      </c>
      <c r="D18558" t="inlineStr">
        <is>
          <t>VÄRMLANDS LÄN</t>
        </is>
      </c>
      <c r="E18558" t="inlineStr">
        <is>
          <t>KRISTINEHAMN</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4342-2025</t>
        </is>
      </c>
      <c r="B18559" s="1" t="n">
        <v>45685</v>
      </c>
      <c r="C18559" s="1" t="n">
        <v>45736</v>
      </c>
      <c r="D18559" t="inlineStr">
        <is>
          <t>VÄRMLANDS LÄN</t>
        </is>
      </c>
      <c r="E18559" t="inlineStr">
        <is>
          <t>TORSBY</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4337-2025</t>
        </is>
      </c>
      <c r="B18560" s="1" t="n">
        <v>45685</v>
      </c>
      <c r="C18560" s="1" t="n">
        <v>45736</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4273-2025</t>
        </is>
      </c>
      <c r="B18561" s="1" t="n">
        <v>45685</v>
      </c>
      <c r="C18561" s="1" t="n">
        <v>45736</v>
      </c>
      <c r="D18561" t="inlineStr">
        <is>
          <t>VÄRMLANDS LÄN</t>
        </is>
      </c>
      <c r="E18561" t="inlineStr">
        <is>
          <t>GRUMS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4239-2025</t>
        </is>
      </c>
      <c r="B18562" s="1" t="n">
        <v>45685</v>
      </c>
      <c r="C18562" s="1" t="n">
        <v>45736</v>
      </c>
      <c r="D18562" t="inlineStr">
        <is>
          <t>VÄRMLANDS LÄN</t>
        </is>
      </c>
      <c r="E18562" t="inlineStr">
        <is>
          <t>SUNNE</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4211-2025</t>
        </is>
      </c>
      <c r="B18563" s="1" t="n">
        <v>45685</v>
      </c>
      <c r="C18563" s="1" t="n">
        <v>45736</v>
      </c>
      <c r="D18563" t="inlineStr">
        <is>
          <t>VÄRMLANDS LÄN</t>
        </is>
      </c>
      <c r="E18563" t="inlineStr">
        <is>
          <t>ARVIKA</t>
        </is>
      </c>
      <c r="G18563" t="n">
        <v>11.1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4140-2025</t>
        </is>
      </c>
      <c r="B18564" s="1" t="n">
        <v>45685</v>
      </c>
      <c r="C18564" s="1" t="n">
        <v>45736</v>
      </c>
      <c r="D18564" t="inlineStr">
        <is>
          <t>VÄRMLANDS LÄN</t>
        </is>
      </c>
      <c r="E18564" t="inlineStr">
        <is>
          <t>EDA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4189-2025</t>
        </is>
      </c>
      <c r="B18565" s="1" t="n">
        <v>45685</v>
      </c>
      <c r="C18565" s="1" t="n">
        <v>45736</v>
      </c>
      <c r="D18565" t="inlineStr">
        <is>
          <t>VÄRMLANDS LÄN</t>
        </is>
      </c>
      <c r="E18565" t="inlineStr">
        <is>
          <t>ÅRJÄNG</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4201-2025</t>
        </is>
      </c>
      <c r="B18566" s="1" t="n">
        <v>45685</v>
      </c>
      <c r="C18566" s="1" t="n">
        <v>45736</v>
      </c>
      <c r="D18566" t="inlineStr">
        <is>
          <t>VÄRMLANDS LÄN</t>
        </is>
      </c>
      <c r="E18566" t="inlineStr">
        <is>
          <t>ÅRJÄNG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4249-2025</t>
        </is>
      </c>
      <c r="B18567" s="1" t="n">
        <v>45685</v>
      </c>
      <c r="C18567" s="1" t="n">
        <v>45736</v>
      </c>
      <c r="D18567" t="inlineStr">
        <is>
          <t>VÄRMLANDS LÄN</t>
        </is>
      </c>
      <c r="E18567" t="inlineStr">
        <is>
          <t>SÄFFLE</t>
        </is>
      </c>
      <c r="G18567" t="n">
        <v>6.6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45736</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45736</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4494-2025</t>
        </is>
      </c>
      <c r="B18570" s="1" t="n">
        <v>45686</v>
      </c>
      <c r="C18570" s="1" t="n">
        <v>45736</v>
      </c>
      <c r="D18570" t="inlineStr">
        <is>
          <t>VÄRMLANDS LÄN</t>
        </is>
      </c>
      <c r="E18570" t="inlineStr">
        <is>
          <t>STORFORS</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4516-2025</t>
        </is>
      </c>
      <c r="B18571" s="1" t="n">
        <v>45686</v>
      </c>
      <c r="C18571" s="1" t="n">
        <v>45736</v>
      </c>
      <c r="D18571" t="inlineStr">
        <is>
          <t>VÄRMLANDS LÄN</t>
        </is>
      </c>
      <c r="E18571" t="inlineStr">
        <is>
          <t>TORSBY</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4470-2025</t>
        </is>
      </c>
      <c r="B18572" s="1" t="n">
        <v>45686</v>
      </c>
      <c r="C18572" s="1" t="n">
        <v>45736</v>
      </c>
      <c r="D18572" t="inlineStr">
        <is>
          <t>VÄRMLANDS LÄN</t>
        </is>
      </c>
      <c r="E18572" t="inlineStr">
        <is>
          <t>TORSBY</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4466-2025</t>
        </is>
      </c>
      <c r="B18573" s="1" t="n">
        <v>45686</v>
      </c>
      <c r="C18573" s="1" t="n">
        <v>45736</v>
      </c>
      <c r="D18573" t="inlineStr">
        <is>
          <t>VÄRMLANDS LÄN</t>
        </is>
      </c>
      <c r="E18573" t="inlineStr">
        <is>
          <t>ARVIKA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4462-2025</t>
        </is>
      </c>
      <c r="B18574" s="1" t="n">
        <v>45686</v>
      </c>
      <c r="C18574" s="1" t="n">
        <v>45736</v>
      </c>
      <c r="D18574" t="inlineStr">
        <is>
          <t>VÄRMLANDS LÄN</t>
        </is>
      </c>
      <c r="E18574" t="inlineStr">
        <is>
          <t>FILIPSTAD</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4499-2025</t>
        </is>
      </c>
      <c r="B18575" s="1" t="n">
        <v>45686</v>
      </c>
      <c r="C18575" s="1" t="n">
        <v>45736</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4495-2025</t>
        </is>
      </c>
      <c r="B18576" s="1" t="n">
        <v>45686</v>
      </c>
      <c r="C18576" s="1" t="n">
        <v>45736</v>
      </c>
      <c r="D18576" t="inlineStr">
        <is>
          <t>VÄRMLANDS LÄN</t>
        </is>
      </c>
      <c r="E18576" t="inlineStr">
        <is>
          <t>KRISTINEHAMN</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4465-2025</t>
        </is>
      </c>
      <c r="B18577" s="1" t="n">
        <v>45686</v>
      </c>
      <c r="C18577" s="1" t="n">
        <v>45736</v>
      </c>
      <c r="D18577" t="inlineStr">
        <is>
          <t>VÄRMLANDS LÄN</t>
        </is>
      </c>
      <c r="E18577" t="inlineStr">
        <is>
          <t>STORFORS</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4517-2025</t>
        </is>
      </c>
      <c r="B18578" s="1" t="n">
        <v>45686</v>
      </c>
      <c r="C18578" s="1" t="n">
        <v>45736</v>
      </c>
      <c r="D18578" t="inlineStr">
        <is>
          <t>VÄRMLANDS LÄN</t>
        </is>
      </c>
      <c r="E18578" t="inlineStr">
        <is>
          <t>TORSBY</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4501-2025</t>
        </is>
      </c>
      <c r="B18579" s="1" t="n">
        <v>45686</v>
      </c>
      <c r="C18579" s="1" t="n">
        <v>45736</v>
      </c>
      <c r="D18579" t="inlineStr">
        <is>
          <t>VÄRMLANDS LÄN</t>
        </is>
      </c>
      <c r="E18579" t="inlineStr">
        <is>
          <t>HAGFORS</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4360-2025</t>
        </is>
      </c>
      <c r="B18580" s="1" t="n">
        <v>45686</v>
      </c>
      <c r="C18580" s="1" t="n">
        <v>45736</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4391-2025</t>
        </is>
      </c>
      <c r="B18581" s="1" t="n">
        <v>45686</v>
      </c>
      <c r="C18581" s="1" t="n">
        <v>45736</v>
      </c>
      <c r="D18581" t="inlineStr">
        <is>
          <t>VÄRMLANDS LÄN</t>
        </is>
      </c>
      <c r="E18581" t="inlineStr">
        <is>
          <t>SUNNE</t>
        </is>
      </c>
      <c r="G18581" t="n">
        <v>18.6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4434-2025</t>
        </is>
      </c>
      <c r="B18582" s="1" t="n">
        <v>45686</v>
      </c>
      <c r="C18582" s="1" t="n">
        <v>45736</v>
      </c>
      <c r="D18582" t="inlineStr">
        <is>
          <t>VÄRMLANDS LÄN</t>
        </is>
      </c>
      <c r="E18582" t="inlineStr">
        <is>
          <t>KRISTINEHAMN</t>
        </is>
      </c>
      <c r="G18582" t="n">
        <v>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4408-2025</t>
        </is>
      </c>
      <c r="B18583" s="1" t="n">
        <v>45686</v>
      </c>
      <c r="C18583" s="1" t="n">
        <v>45736</v>
      </c>
      <c r="D18583" t="inlineStr">
        <is>
          <t>VÄRMLANDS LÄN</t>
        </is>
      </c>
      <c r="E18583" t="inlineStr">
        <is>
          <t>ÅRJÄNG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4404-2025</t>
        </is>
      </c>
      <c r="B18584" s="1" t="n">
        <v>45686</v>
      </c>
      <c r="C18584" s="1" t="n">
        <v>45736</v>
      </c>
      <c r="D18584" t="inlineStr">
        <is>
          <t>VÄRMLANDS LÄN</t>
        </is>
      </c>
      <c r="E18584" t="inlineStr">
        <is>
          <t>ÅRJÄNG</t>
        </is>
      </c>
      <c r="F18584" t="inlineStr">
        <is>
          <t>Kyrkan</t>
        </is>
      </c>
      <c r="G18584" t="n">
        <v>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4493-2025</t>
        </is>
      </c>
      <c r="B18585" s="1" t="n">
        <v>45686</v>
      </c>
      <c r="C18585" s="1" t="n">
        <v>45736</v>
      </c>
      <c r="D18585" t="inlineStr">
        <is>
          <t>VÄRMLANDS LÄN</t>
        </is>
      </c>
      <c r="E18585" t="inlineStr">
        <is>
          <t>KRISTINEHAMN</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4588-2025</t>
        </is>
      </c>
      <c r="B18586" s="1" t="n">
        <v>45687</v>
      </c>
      <c r="C18586" s="1" t="n">
        <v>45736</v>
      </c>
      <c r="D18586" t="inlineStr">
        <is>
          <t>VÄRMLANDS LÄN</t>
        </is>
      </c>
      <c r="E18586" t="inlineStr">
        <is>
          <t>SÄFFLE</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4592-2025</t>
        </is>
      </c>
      <c r="B18587" s="1" t="n">
        <v>45687</v>
      </c>
      <c r="C18587" s="1" t="n">
        <v>45736</v>
      </c>
      <c r="D18587" t="inlineStr">
        <is>
          <t>VÄRMLANDS LÄN</t>
        </is>
      </c>
      <c r="E18587" t="inlineStr">
        <is>
          <t>ARVIKA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4640-2025</t>
        </is>
      </c>
      <c r="B18588" s="1" t="n">
        <v>45687</v>
      </c>
      <c r="C18588" s="1" t="n">
        <v>45736</v>
      </c>
      <c r="D18588" t="inlineStr">
        <is>
          <t>VÄRMLANDS LÄN</t>
        </is>
      </c>
      <c r="E18588" t="inlineStr">
        <is>
          <t>STORFORS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4668-2025</t>
        </is>
      </c>
      <c r="B18589" s="1" t="n">
        <v>45687</v>
      </c>
      <c r="C18589" s="1" t="n">
        <v>45736</v>
      </c>
      <c r="D18589" t="inlineStr">
        <is>
          <t>VÄRMLANDS LÄN</t>
        </is>
      </c>
      <c r="E18589" t="inlineStr">
        <is>
          <t>ÅRJÄNG</t>
        </is>
      </c>
      <c r="G18589" t="n">
        <v>8.5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4564-2025</t>
        </is>
      </c>
      <c r="B18590" s="1" t="n">
        <v>45687</v>
      </c>
      <c r="C18590" s="1" t="n">
        <v>45736</v>
      </c>
      <c r="D18590" t="inlineStr">
        <is>
          <t>VÄRMLANDS LÄN</t>
        </is>
      </c>
      <c r="E18590" t="inlineStr">
        <is>
          <t>SUNNE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4560-2025</t>
        </is>
      </c>
      <c r="B18591" s="1" t="n">
        <v>45687</v>
      </c>
      <c r="C18591" s="1" t="n">
        <v>45736</v>
      </c>
      <c r="D18591" t="inlineStr">
        <is>
          <t>VÄRMLANDS LÄN</t>
        </is>
      </c>
      <c r="E18591" t="inlineStr">
        <is>
          <t>FILIPSTAD</t>
        </is>
      </c>
      <c r="G18591" t="n">
        <v>13.6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4582-2025</t>
        </is>
      </c>
      <c r="B18592" s="1" t="n">
        <v>45687</v>
      </c>
      <c r="C18592" s="1" t="n">
        <v>45736</v>
      </c>
      <c r="D18592" t="inlineStr">
        <is>
          <t>VÄRMLANDS LÄN</t>
        </is>
      </c>
      <c r="E18592" t="inlineStr">
        <is>
          <t>ÅRJÄNG</t>
        </is>
      </c>
      <c r="F18592" t="inlineStr">
        <is>
          <t>Övriga Aktiebolag</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4578-2025</t>
        </is>
      </c>
      <c r="B18593" s="1" t="n">
        <v>45687</v>
      </c>
      <c r="C18593" s="1" t="n">
        <v>45736</v>
      </c>
      <c r="D18593" t="inlineStr">
        <is>
          <t>VÄRMLANDS LÄN</t>
        </is>
      </c>
      <c r="E18593" t="inlineStr">
        <is>
          <t>TORSBY</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4537-2025</t>
        </is>
      </c>
      <c r="B18594" s="1" t="n">
        <v>45687</v>
      </c>
      <c r="C18594" s="1" t="n">
        <v>45736</v>
      </c>
      <c r="D18594" t="inlineStr">
        <is>
          <t>VÄRMLANDS LÄN</t>
        </is>
      </c>
      <c r="E18594" t="inlineStr">
        <is>
          <t>TORSBY</t>
        </is>
      </c>
      <c r="F18594" t="inlineStr">
        <is>
          <t>Kommuner</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4603-2025</t>
        </is>
      </c>
      <c r="B18595" s="1" t="n">
        <v>45687</v>
      </c>
      <c r="C18595" s="1" t="n">
        <v>45736</v>
      </c>
      <c r="D18595" t="inlineStr">
        <is>
          <t>VÄRMLANDS LÄN</t>
        </is>
      </c>
      <c r="E18595" t="inlineStr">
        <is>
          <t>GRUMS</t>
        </is>
      </c>
      <c r="F18595" t="inlineStr">
        <is>
          <t>Bergvik skog väst AB</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4723-2025</t>
        </is>
      </c>
      <c r="B18596" s="1" t="n">
        <v>45688</v>
      </c>
      <c r="C18596" s="1" t="n">
        <v>45736</v>
      </c>
      <c r="D18596" t="inlineStr">
        <is>
          <t>VÄRMLANDS LÄN</t>
        </is>
      </c>
      <c r="E18596" t="inlineStr">
        <is>
          <t>KARLSTAD</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4706-2025</t>
        </is>
      </c>
      <c r="B18597" s="1" t="n">
        <v>45688</v>
      </c>
      <c r="C18597" s="1" t="n">
        <v>45736</v>
      </c>
      <c r="D18597" t="inlineStr">
        <is>
          <t>VÄRMLANDS LÄN</t>
        </is>
      </c>
      <c r="E18597" t="inlineStr">
        <is>
          <t>ARVIKA</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4717-2025</t>
        </is>
      </c>
      <c r="B18598" s="1" t="n">
        <v>45688</v>
      </c>
      <c r="C18598" s="1" t="n">
        <v>45736</v>
      </c>
      <c r="D18598" t="inlineStr">
        <is>
          <t>VÄRMLANDS LÄN</t>
        </is>
      </c>
      <c r="E18598" t="inlineStr">
        <is>
          <t>KARLSTAD</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4736-2025</t>
        </is>
      </c>
      <c r="B18599" s="1" t="n">
        <v>45688</v>
      </c>
      <c r="C18599" s="1" t="n">
        <v>45736</v>
      </c>
      <c r="D18599" t="inlineStr">
        <is>
          <t>VÄRMLANDS LÄN</t>
        </is>
      </c>
      <c r="E18599" t="inlineStr">
        <is>
          <t>ARVIKA</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4743-2025</t>
        </is>
      </c>
      <c r="B18600" s="1" t="n">
        <v>45688</v>
      </c>
      <c r="C18600" s="1" t="n">
        <v>45736</v>
      </c>
      <c r="D18600" t="inlineStr">
        <is>
          <t>VÄRMLANDS LÄN</t>
        </is>
      </c>
      <c r="E18600" t="inlineStr">
        <is>
          <t>FILIPSTAD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4767-2025</t>
        </is>
      </c>
      <c r="B18601" s="1" t="n">
        <v>45688</v>
      </c>
      <c r="C18601" s="1" t="n">
        <v>45736</v>
      </c>
      <c r="D18601" t="inlineStr">
        <is>
          <t>VÄRMLANDS LÄN</t>
        </is>
      </c>
      <c r="E18601" t="inlineStr">
        <is>
          <t>KARLSTAD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4744-2025</t>
        </is>
      </c>
      <c r="B18602" s="1" t="n">
        <v>45688</v>
      </c>
      <c r="C18602" s="1" t="n">
        <v>45736</v>
      </c>
      <c r="D18602" t="inlineStr">
        <is>
          <t>VÄRMLANDS LÄN</t>
        </is>
      </c>
      <c r="E18602" t="inlineStr">
        <is>
          <t>STORFORS</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4832-2025</t>
        </is>
      </c>
      <c r="B18603" s="1" t="n">
        <v>45688</v>
      </c>
      <c r="C18603" s="1" t="n">
        <v>45736</v>
      </c>
      <c r="D18603" t="inlineStr">
        <is>
          <t>VÄRMLANDS LÄN</t>
        </is>
      </c>
      <c r="E18603" t="inlineStr">
        <is>
          <t>TORSBY</t>
        </is>
      </c>
      <c r="G18603" t="n">
        <v>7.7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4975-2025</t>
        </is>
      </c>
      <c r="B18604" s="1" t="n">
        <v>45690</v>
      </c>
      <c r="C18604" s="1" t="n">
        <v>45736</v>
      </c>
      <c r="D18604" t="inlineStr">
        <is>
          <t>VÄRMLANDS LÄN</t>
        </is>
      </c>
      <c r="E18604" t="inlineStr">
        <is>
          <t>KRISTINEHAMN</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4976-2025</t>
        </is>
      </c>
      <c r="B18605" s="1" t="n">
        <v>45690</v>
      </c>
      <c r="C18605" s="1" t="n">
        <v>45736</v>
      </c>
      <c r="D18605" t="inlineStr">
        <is>
          <t>VÄRMLANDS LÄN</t>
        </is>
      </c>
      <c r="E18605" t="inlineStr">
        <is>
          <t>ÅRJÄNG</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4995-2025</t>
        </is>
      </c>
      <c r="B18606" s="1" t="n">
        <v>45691</v>
      </c>
      <c r="C18606" s="1" t="n">
        <v>45736</v>
      </c>
      <c r="D18606" t="inlineStr">
        <is>
          <t>VÄRMLANDS LÄN</t>
        </is>
      </c>
      <c r="E18606" t="inlineStr">
        <is>
          <t>ARVIKA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5052-2025</t>
        </is>
      </c>
      <c r="B18607" s="1" t="n">
        <v>45691</v>
      </c>
      <c r="C18607" s="1" t="n">
        <v>45736</v>
      </c>
      <c r="D18607" t="inlineStr">
        <is>
          <t>VÄRMLANDS LÄN</t>
        </is>
      </c>
      <c r="E18607" t="inlineStr">
        <is>
          <t>TORSBY</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5056-2025</t>
        </is>
      </c>
      <c r="B18608" s="1" t="n">
        <v>45691</v>
      </c>
      <c r="C18608" s="1" t="n">
        <v>45736</v>
      </c>
      <c r="D18608" t="inlineStr">
        <is>
          <t>VÄRMLANDS LÄN</t>
        </is>
      </c>
      <c r="E18608" t="inlineStr">
        <is>
          <t>ARVIKA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5072-2025</t>
        </is>
      </c>
      <c r="B18609" s="1" t="n">
        <v>45691</v>
      </c>
      <c r="C18609" s="1" t="n">
        <v>45736</v>
      </c>
      <c r="D18609" t="inlineStr">
        <is>
          <t>VÄRMLANDS LÄN</t>
        </is>
      </c>
      <c r="E18609" t="inlineStr">
        <is>
          <t>ARVIKA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5053-2025</t>
        </is>
      </c>
      <c r="B18610" s="1" t="n">
        <v>45691</v>
      </c>
      <c r="C18610" s="1" t="n">
        <v>45736</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5081-2025</t>
        </is>
      </c>
      <c r="B18611" s="1" t="n">
        <v>45691</v>
      </c>
      <c r="C18611" s="1" t="n">
        <v>45736</v>
      </c>
      <c r="D18611" t="inlineStr">
        <is>
          <t>VÄRMLANDS LÄN</t>
        </is>
      </c>
      <c r="E18611" t="inlineStr">
        <is>
          <t>EDA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4998-2025</t>
        </is>
      </c>
      <c r="B18612" s="1" t="n">
        <v>45691</v>
      </c>
      <c r="C18612" s="1" t="n">
        <v>45736</v>
      </c>
      <c r="D18612" t="inlineStr">
        <is>
          <t>VÄRMLANDS LÄN</t>
        </is>
      </c>
      <c r="E18612" t="inlineStr">
        <is>
          <t>SUNNE</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4997-2025</t>
        </is>
      </c>
      <c r="B18613" s="1" t="n">
        <v>45691</v>
      </c>
      <c r="C18613" s="1" t="n">
        <v>45736</v>
      </c>
      <c r="D18613" t="inlineStr">
        <is>
          <t>VÄRMLANDS LÄN</t>
        </is>
      </c>
      <c r="E18613" t="inlineStr">
        <is>
          <t>ARVIKA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5127-2025</t>
        </is>
      </c>
      <c r="B18614" s="1" t="n">
        <v>45691</v>
      </c>
      <c r="C18614" s="1" t="n">
        <v>45736</v>
      </c>
      <c r="D18614" t="inlineStr">
        <is>
          <t>VÄRMLANDS LÄN</t>
        </is>
      </c>
      <c r="E18614" t="inlineStr">
        <is>
          <t>ÅRJÄNG</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5122-2025</t>
        </is>
      </c>
      <c r="B18615" s="1" t="n">
        <v>45691</v>
      </c>
      <c r="C18615" s="1" t="n">
        <v>45736</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5043-2025</t>
        </is>
      </c>
      <c r="B18616" s="1" t="n">
        <v>45691</v>
      </c>
      <c r="C18616" s="1" t="n">
        <v>45736</v>
      </c>
      <c r="D18616" t="inlineStr">
        <is>
          <t>VÄRMLANDS LÄN</t>
        </is>
      </c>
      <c r="E18616" t="inlineStr">
        <is>
          <t>EDA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5006-2025</t>
        </is>
      </c>
      <c r="B18617" s="1" t="n">
        <v>45691</v>
      </c>
      <c r="C18617" s="1" t="n">
        <v>45736</v>
      </c>
      <c r="D18617" t="inlineStr">
        <is>
          <t>VÄRMLANDS LÄN</t>
        </is>
      </c>
      <c r="E18617" t="inlineStr">
        <is>
          <t>SUNNE</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5214-2025</t>
        </is>
      </c>
      <c r="B18618" s="1" t="n">
        <v>45691</v>
      </c>
      <c r="C18618" s="1" t="n">
        <v>45736</v>
      </c>
      <c r="D18618" t="inlineStr">
        <is>
          <t>VÄRMLANDS LÄN</t>
        </is>
      </c>
      <c r="E18618" t="inlineStr">
        <is>
          <t>GRUMS</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5008-2025</t>
        </is>
      </c>
      <c r="B18619" s="1" t="n">
        <v>45691</v>
      </c>
      <c r="C18619" s="1" t="n">
        <v>45736</v>
      </c>
      <c r="D18619" t="inlineStr">
        <is>
          <t>VÄRMLANDS LÄN</t>
        </is>
      </c>
      <c r="E18619" t="inlineStr">
        <is>
          <t>SUNNE</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5185-2025</t>
        </is>
      </c>
      <c r="B18620" s="1" t="n">
        <v>45691</v>
      </c>
      <c r="C18620" s="1" t="n">
        <v>45736</v>
      </c>
      <c r="D18620" t="inlineStr">
        <is>
          <t>VÄRMLANDS LÄN</t>
        </is>
      </c>
      <c r="E18620" t="inlineStr">
        <is>
          <t>KARLSTAD</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5044-2025</t>
        </is>
      </c>
      <c r="B18621" s="1" t="n">
        <v>45691</v>
      </c>
      <c r="C18621" s="1" t="n">
        <v>45736</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5012-2025</t>
        </is>
      </c>
      <c r="B18622" s="1" t="n">
        <v>45691</v>
      </c>
      <c r="C18622" s="1" t="n">
        <v>45736</v>
      </c>
      <c r="D18622" t="inlineStr">
        <is>
          <t>VÄRMLANDS LÄN</t>
        </is>
      </c>
      <c r="E18622" t="inlineStr">
        <is>
          <t>SUNNE</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5257-2025</t>
        </is>
      </c>
      <c r="B18623" s="1" t="n">
        <v>45692</v>
      </c>
      <c r="C18623" s="1" t="n">
        <v>45736</v>
      </c>
      <c r="D18623" t="inlineStr">
        <is>
          <t>VÄRMLANDS LÄN</t>
        </is>
      </c>
      <c r="E18623" t="inlineStr">
        <is>
          <t>FILIPSTAD</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5319-2025</t>
        </is>
      </c>
      <c r="B18624" s="1" t="n">
        <v>45692</v>
      </c>
      <c r="C18624" s="1" t="n">
        <v>45736</v>
      </c>
      <c r="D18624" t="inlineStr">
        <is>
          <t>VÄRMLANDS LÄN</t>
        </is>
      </c>
      <c r="E18624" t="inlineStr">
        <is>
          <t>ÅRJÄNG</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45736</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5332-2025</t>
        </is>
      </c>
      <c r="B18626" s="1" t="n">
        <v>45692</v>
      </c>
      <c r="C18626" s="1" t="n">
        <v>45736</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5337-2025</t>
        </is>
      </c>
      <c r="B18627" s="1" t="n">
        <v>45692</v>
      </c>
      <c r="C18627" s="1" t="n">
        <v>45736</v>
      </c>
      <c r="D18627" t="inlineStr">
        <is>
          <t>VÄRMLANDS LÄN</t>
        </is>
      </c>
      <c r="E18627" t="inlineStr">
        <is>
          <t>ARVIKA</t>
        </is>
      </c>
      <c r="F18627" t="inlineStr">
        <is>
          <t>Kommuner</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5360-2025</t>
        </is>
      </c>
      <c r="B18628" s="1" t="n">
        <v>45692</v>
      </c>
      <c r="C18628" s="1" t="n">
        <v>45736</v>
      </c>
      <c r="D18628" t="inlineStr">
        <is>
          <t>VÄRMLANDS LÄN</t>
        </is>
      </c>
      <c r="E18628" t="inlineStr">
        <is>
          <t>ARVIKA</t>
        </is>
      </c>
      <c r="F18628" t="inlineStr">
        <is>
          <t>Kommuner</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5397-2025</t>
        </is>
      </c>
      <c r="B18629" s="1" t="n">
        <v>45692</v>
      </c>
      <c r="C18629" s="1" t="n">
        <v>45736</v>
      </c>
      <c r="D18629" t="inlineStr">
        <is>
          <t>VÄRMLANDS LÄN</t>
        </is>
      </c>
      <c r="E18629" t="inlineStr">
        <is>
          <t>ARVIKA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5416-2025</t>
        </is>
      </c>
      <c r="B18630" s="1" t="n">
        <v>45692</v>
      </c>
      <c r="C18630" s="1" t="n">
        <v>45736</v>
      </c>
      <c r="D18630" t="inlineStr">
        <is>
          <t>VÄRMLANDS LÄN</t>
        </is>
      </c>
      <c r="E18630" t="inlineStr">
        <is>
          <t>ÅRJÄNG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5432-2025</t>
        </is>
      </c>
      <c r="B18631" s="1" t="n">
        <v>45692</v>
      </c>
      <c r="C18631" s="1" t="n">
        <v>45736</v>
      </c>
      <c r="D18631" t="inlineStr">
        <is>
          <t>VÄRMLANDS LÄN</t>
        </is>
      </c>
      <c r="E18631" t="inlineStr">
        <is>
          <t>EDA</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5431-2025</t>
        </is>
      </c>
      <c r="B18632" s="1" t="n">
        <v>45692</v>
      </c>
      <c r="C18632" s="1" t="n">
        <v>45736</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5271-2025</t>
        </is>
      </c>
      <c r="B18633" s="1" t="n">
        <v>45692</v>
      </c>
      <c r="C18633" s="1" t="n">
        <v>45736</v>
      </c>
      <c r="D18633" t="inlineStr">
        <is>
          <t>VÄRMLANDS LÄN</t>
        </is>
      </c>
      <c r="E18633" t="inlineStr">
        <is>
          <t>SÄFFLE</t>
        </is>
      </c>
      <c r="G18633" t="n">
        <v>19.2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5317-2025</t>
        </is>
      </c>
      <c r="B18634" s="1" t="n">
        <v>45692</v>
      </c>
      <c r="C18634" s="1" t="n">
        <v>45736</v>
      </c>
      <c r="D18634" t="inlineStr">
        <is>
          <t>VÄRMLANDS LÄN</t>
        </is>
      </c>
      <c r="E18634" t="inlineStr">
        <is>
          <t>ÅRJÄNG</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5329-2025</t>
        </is>
      </c>
      <c r="B18635" s="1" t="n">
        <v>45692</v>
      </c>
      <c r="C18635" s="1" t="n">
        <v>45736</v>
      </c>
      <c r="D18635" t="inlineStr">
        <is>
          <t>VÄRMLANDS LÄN</t>
        </is>
      </c>
      <c r="E18635" t="inlineStr">
        <is>
          <t>ARVIKA</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5338-2025</t>
        </is>
      </c>
      <c r="B18636" s="1" t="n">
        <v>45692</v>
      </c>
      <c r="C18636" s="1" t="n">
        <v>45736</v>
      </c>
      <c r="D18636" t="inlineStr">
        <is>
          <t>VÄRMLANDS LÄN</t>
        </is>
      </c>
      <c r="E18636" t="inlineStr">
        <is>
          <t>HAGFORS</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5353-2025</t>
        </is>
      </c>
      <c r="B18637" s="1" t="n">
        <v>45692</v>
      </c>
      <c r="C18637" s="1" t="n">
        <v>45736</v>
      </c>
      <c r="D18637" t="inlineStr">
        <is>
          <t>VÄRMLANDS LÄN</t>
        </is>
      </c>
      <c r="E18637" t="inlineStr">
        <is>
          <t>FILIPSTAD</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5272-2025</t>
        </is>
      </c>
      <c r="B18638" s="1" t="n">
        <v>45692</v>
      </c>
      <c r="C18638" s="1" t="n">
        <v>45736</v>
      </c>
      <c r="D18638" t="inlineStr">
        <is>
          <t>VÄRMLANDS LÄN</t>
        </is>
      </c>
      <c r="E18638" t="inlineStr">
        <is>
          <t>SÄFFLE</t>
        </is>
      </c>
      <c r="G18638" t="n">
        <v>20.8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5542-2025</t>
        </is>
      </c>
      <c r="B18639" s="1" t="n">
        <v>45693</v>
      </c>
      <c r="C18639" s="1" t="n">
        <v>45736</v>
      </c>
      <c r="D18639" t="inlineStr">
        <is>
          <t>VÄRMLANDS LÄN</t>
        </is>
      </c>
      <c r="E18639" t="inlineStr">
        <is>
          <t>FILIPSTAD</t>
        </is>
      </c>
      <c r="F18639" t="inlineStr">
        <is>
          <t>Bergvik skog väst AB</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5636-2025</t>
        </is>
      </c>
      <c r="B18640" s="1" t="n">
        <v>45693</v>
      </c>
      <c r="C18640" s="1" t="n">
        <v>45736</v>
      </c>
      <c r="D18640" t="inlineStr">
        <is>
          <t>VÄRMLANDS LÄN</t>
        </is>
      </c>
      <c r="E18640" t="inlineStr">
        <is>
          <t>HAGFORS</t>
        </is>
      </c>
      <c r="F18640" t="inlineStr">
        <is>
          <t>Bergvik skog väst AB</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5502-2025</t>
        </is>
      </c>
      <c r="B18641" s="1" t="n">
        <v>45693</v>
      </c>
      <c r="C18641" s="1" t="n">
        <v>45736</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5491-2025</t>
        </is>
      </c>
      <c r="B18642" s="1" t="n">
        <v>45693</v>
      </c>
      <c r="C18642" s="1" t="n">
        <v>45736</v>
      </c>
      <c r="D18642" t="inlineStr">
        <is>
          <t>VÄRMLANDS LÄN</t>
        </is>
      </c>
      <c r="E18642" t="inlineStr">
        <is>
          <t>KRISTINEHAMN</t>
        </is>
      </c>
      <c r="G18642" t="n">
        <v>6.7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5645-2025</t>
        </is>
      </c>
      <c r="B18643" s="1" t="n">
        <v>45693</v>
      </c>
      <c r="C18643" s="1" t="n">
        <v>45736</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5669-2025</t>
        </is>
      </c>
      <c r="B18644" s="1" t="n">
        <v>45693</v>
      </c>
      <c r="C18644" s="1" t="n">
        <v>45736</v>
      </c>
      <c r="D18644" t="inlineStr">
        <is>
          <t>VÄRMLANDS LÄN</t>
        </is>
      </c>
      <c r="E18644" t="inlineStr">
        <is>
          <t>EDA</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5568-2025</t>
        </is>
      </c>
      <c r="B18645" s="1" t="n">
        <v>45693</v>
      </c>
      <c r="C18645" s="1" t="n">
        <v>45736</v>
      </c>
      <c r="D18645" t="inlineStr">
        <is>
          <t>VÄRMLANDS LÄN</t>
        </is>
      </c>
      <c r="E18645" t="inlineStr">
        <is>
          <t>ARVIKA</t>
        </is>
      </c>
      <c r="F18645" t="inlineStr">
        <is>
          <t>Bergvik skog väst AB</t>
        </is>
      </c>
      <c r="G18645" t="n">
        <v>13.1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5494-2025</t>
        </is>
      </c>
      <c r="B18646" s="1" t="n">
        <v>45693</v>
      </c>
      <c r="C18646" s="1" t="n">
        <v>45736</v>
      </c>
      <c r="D18646" t="inlineStr">
        <is>
          <t>VÄRMLANDS LÄN</t>
        </is>
      </c>
      <c r="E18646" t="inlineStr">
        <is>
          <t>KRISTINEHAMN</t>
        </is>
      </c>
      <c r="G18646" t="n">
        <v>8.699999999999999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5631-2025</t>
        </is>
      </c>
      <c r="B18647" s="1" t="n">
        <v>45693</v>
      </c>
      <c r="C18647" s="1" t="n">
        <v>45736</v>
      </c>
      <c r="D18647" t="inlineStr">
        <is>
          <t>VÄRMLANDS LÄN</t>
        </is>
      </c>
      <c r="E18647" t="inlineStr">
        <is>
          <t>KARLSTAD</t>
        </is>
      </c>
      <c r="F18647" t="inlineStr">
        <is>
          <t>Bergvik skog väst AB</t>
        </is>
      </c>
      <c r="G18647" t="n">
        <v>4.3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5737-2025</t>
        </is>
      </c>
      <c r="B18648" s="1" t="n">
        <v>45694</v>
      </c>
      <c r="C18648" s="1" t="n">
        <v>45736</v>
      </c>
      <c r="D18648" t="inlineStr">
        <is>
          <t>VÄRMLANDS LÄN</t>
        </is>
      </c>
      <c r="E18648" t="inlineStr">
        <is>
          <t>EDA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5741-2025</t>
        </is>
      </c>
      <c r="B18649" s="1" t="n">
        <v>45694</v>
      </c>
      <c r="C18649" s="1" t="n">
        <v>45736</v>
      </c>
      <c r="D18649" t="inlineStr">
        <is>
          <t>VÄRMLANDS LÄN</t>
        </is>
      </c>
      <c r="E18649" t="inlineStr">
        <is>
          <t>ÅRJÄNG</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5753-2025</t>
        </is>
      </c>
      <c r="B18650" s="1" t="n">
        <v>45694</v>
      </c>
      <c r="C18650" s="1" t="n">
        <v>45736</v>
      </c>
      <c r="D18650" t="inlineStr">
        <is>
          <t>VÄRMLANDS LÄN</t>
        </is>
      </c>
      <c r="E18650" t="inlineStr">
        <is>
          <t>KIL</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5761-2025</t>
        </is>
      </c>
      <c r="B18651" s="1" t="n">
        <v>45694</v>
      </c>
      <c r="C18651" s="1" t="n">
        <v>45736</v>
      </c>
      <c r="D18651" t="inlineStr">
        <is>
          <t>VÄRMLANDS LÄN</t>
        </is>
      </c>
      <c r="E18651" t="inlineStr">
        <is>
          <t>ARVIKA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5782-2025</t>
        </is>
      </c>
      <c r="B18652" s="1" t="n">
        <v>45694</v>
      </c>
      <c r="C18652" s="1" t="n">
        <v>45736</v>
      </c>
      <c r="D18652" t="inlineStr">
        <is>
          <t>VÄRMLANDS LÄN</t>
        </is>
      </c>
      <c r="E18652" t="inlineStr">
        <is>
          <t>SUNNE</t>
        </is>
      </c>
      <c r="G18652" t="n">
        <v>7.6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5693-2025</t>
        </is>
      </c>
      <c r="B18653" s="1" t="n">
        <v>45694</v>
      </c>
      <c r="C18653" s="1" t="n">
        <v>45736</v>
      </c>
      <c r="D18653" t="inlineStr">
        <is>
          <t>VÄRMLANDS LÄN</t>
        </is>
      </c>
      <c r="E18653" t="inlineStr">
        <is>
          <t>EDA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5709-2025</t>
        </is>
      </c>
      <c r="B18654" s="1" t="n">
        <v>45694</v>
      </c>
      <c r="C18654" s="1" t="n">
        <v>45736</v>
      </c>
      <c r="D18654" t="inlineStr">
        <is>
          <t>VÄRMLANDS LÄN</t>
        </is>
      </c>
      <c r="E18654" t="inlineStr">
        <is>
          <t>SUNNE</t>
        </is>
      </c>
      <c r="G18654" t="n">
        <v>11.3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5754-2025</t>
        </is>
      </c>
      <c r="B18655" s="1" t="n">
        <v>45694</v>
      </c>
      <c r="C18655" s="1" t="n">
        <v>45736</v>
      </c>
      <c r="D18655" t="inlineStr">
        <is>
          <t>VÄRMLANDS LÄN</t>
        </is>
      </c>
      <c r="E18655" t="inlineStr">
        <is>
          <t>KIL</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5758-2025</t>
        </is>
      </c>
      <c r="B18656" s="1" t="n">
        <v>45694</v>
      </c>
      <c r="C18656" s="1" t="n">
        <v>45736</v>
      </c>
      <c r="D18656" t="inlineStr">
        <is>
          <t>VÄRMLANDS LÄN</t>
        </is>
      </c>
      <c r="E18656" t="inlineStr">
        <is>
          <t>KIL</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5787-2025</t>
        </is>
      </c>
      <c r="B18657" s="1" t="n">
        <v>45694</v>
      </c>
      <c r="C18657" s="1" t="n">
        <v>45736</v>
      </c>
      <c r="D18657" t="inlineStr">
        <is>
          <t>VÄRMLANDS LÄN</t>
        </is>
      </c>
      <c r="E18657" t="inlineStr">
        <is>
          <t>SUNNE</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5799-2025</t>
        </is>
      </c>
      <c r="B18658" s="1" t="n">
        <v>45694</v>
      </c>
      <c r="C18658" s="1" t="n">
        <v>45736</v>
      </c>
      <c r="D18658" t="inlineStr">
        <is>
          <t>VÄRMLANDS LÄN</t>
        </is>
      </c>
      <c r="E18658" t="inlineStr">
        <is>
          <t>TORSBY</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5695-2025</t>
        </is>
      </c>
      <c r="B18659" s="1" t="n">
        <v>45694</v>
      </c>
      <c r="C18659" s="1" t="n">
        <v>45736</v>
      </c>
      <c r="D18659" t="inlineStr">
        <is>
          <t>VÄRMLANDS LÄN</t>
        </is>
      </c>
      <c r="E18659" t="inlineStr">
        <is>
          <t>EDA</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5736-2025</t>
        </is>
      </c>
      <c r="B18660" s="1" t="n">
        <v>45694</v>
      </c>
      <c r="C18660" s="1" t="n">
        <v>45736</v>
      </c>
      <c r="D18660" t="inlineStr">
        <is>
          <t>VÄRMLANDS LÄN</t>
        </is>
      </c>
      <c r="E18660" t="inlineStr">
        <is>
          <t>EDA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5748-2025</t>
        </is>
      </c>
      <c r="B18661" s="1" t="n">
        <v>45694</v>
      </c>
      <c r="C18661" s="1" t="n">
        <v>45736</v>
      </c>
      <c r="D18661" t="inlineStr">
        <is>
          <t>VÄRMLANDS LÄN</t>
        </is>
      </c>
      <c r="E18661" t="inlineStr">
        <is>
          <t>TORSBY</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5735-2025</t>
        </is>
      </c>
      <c r="B18662" s="1" t="n">
        <v>45694</v>
      </c>
      <c r="C18662" s="1" t="n">
        <v>45736</v>
      </c>
      <c r="D18662" t="inlineStr">
        <is>
          <t>VÄRMLANDS LÄN</t>
        </is>
      </c>
      <c r="E18662" t="inlineStr">
        <is>
          <t>EDA</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5739-2025</t>
        </is>
      </c>
      <c r="B18663" s="1" t="n">
        <v>45694</v>
      </c>
      <c r="C18663" s="1" t="n">
        <v>45736</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45736</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45736</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45736</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5846-2025</t>
        </is>
      </c>
      <c r="B18667" s="1" t="n">
        <v>45695</v>
      </c>
      <c r="C18667" s="1" t="n">
        <v>45736</v>
      </c>
      <c r="D18667" t="inlineStr">
        <is>
          <t>VÄRMLANDS LÄN</t>
        </is>
      </c>
      <c r="E18667" t="inlineStr">
        <is>
          <t>KARLSTAD</t>
        </is>
      </c>
      <c r="F18667" t="inlineStr">
        <is>
          <t>Bergvik skog väst AB</t>
        </is>
      </c>
      <c r="G18667" t="n">
        <v>7.8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5866-2025</t>
        </is>
      </c>
      <c r="B18668" s="1" t="n">
        <v>45695</v>
      </c>
      <c r="C18668" s="1" t="n">
        <v>45736</v>
      </c>
      <c r="D18668" t="inlineStr">
        <is>
          <t>VÄRMLANDS LÄN</t>
        </is>
      </c>
      <c r="E18668" t="inlineStr">
        <is>
          <t>ARVIKA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5845-2025</t>
        </is>
      </c>
      <c r="B18669" s="1" t="n">
        <v>45695</v>
      </c>
      <c r="C18669" s="1" t="n">
        <v>45736</v>
      </c>
      <c r="D18669" t="inlineStr">
        <is>
          <t>VÄRMLANDS LÄN</t>
        </is>
      </c>
      <c r="E18669" t="inlineStr">
        <is>
          <t>SUNNE</t>
        </is>
      </c>
      <c r="G18669" t="n">
        <v>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5853-2025</t>
        </is>
      </c>
      <c r="B18670" s="1" t="n">
        <v>45695</v>
      </c>
      <c r="C18670" s="1" t="n">
        <v>45736</v>
      </c>
      <c r="D18670" t="inlineStr">
        <is>
          <t>VÄRMLANDS LÄN</t>
        </is>
      </c>
      <c r="E18670" t="inlineStr">
        <is>
          <t>HAGFORS</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5923-2025</t>
        </is>
      </c>
      <c r="B18671" s="1" t="n">
        <v>45695</v>
      </c>
      <c r="C18671" s="1" t="n">
        <v>45736</v>
      </c>
      <c r="D18671" t="inlineStr">
        <is>
          <t>VÄRMLANDS LÄN</t>
        </is>
      </c>
      <c r="E18671" t="inlineStr">
        <is>
          <t>SUNNE</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5975-2025</t>
        </is>
      </c>
      <c r="B18672" s="1" t="n">
        <v>45695</v>
      </c>
      <c r="C18672" s="1" t="n">
        <v>45736</v>
      </c>
      <c r="D18672" t="inlineStr">
        <is>
          <t>VÄRMLANDS LÄN</t>
        </is>
      </c>
      <c r="E18672" t="inlineStr">
        <is>
          <t>HAGFORS</t>
        </is>
      </c>
      <c r="G18672" t="n">
        <v>9.5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6021-2025</t>
        </is>
      </c>
      <c r="B18673" s="1" t="n">
        <v>45695</v>
      </c>
      <c r="C18673" s="1" t="n">
        <v>45736</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5924-2025</t>
        </is>
      </c>
      <c r="B18674" s="1" t="n">
        <v>45695</v>
      </c>
      <c r="C18674" s="1" t="n">
        <v>45736</v>
      </c>
      <c r="D18674" t="inlineStr">
        <is>
          <t>VÄRMLANDS LÄN</t>
        </is>
      </c>
      <c r="E18674" t="inlineStr">
        <is>
          <t>SUNNE</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6023-2025</t>
        </is>
      </c>
      <c r="B18675" s="1" t="n">
        <v>45695</v>
      </c>
      <c r="C18675" s="1" t="n">
        <v>45736</v>
      </c>
      <c r="D18675" t="inlineStr">
        <is>
          <t>VÄRMLANDS LÄN</t>
        </is>
      </c>
      <c r="E18675" t="inlineStr">
        <is>
          <t>SUNNE</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6079-2025</t>
        </is>
      </c>
      <c r="B18676" s="1" t="n">
        <v>45697</v>
      </c>
      <c r="C18676" s="1" t="n">
        <v>45736</v>
      </c>
      <c r="D18676" t="inlineStr">
        <is>
          <t>VÄRMLANDS LÄN</t>
        </is>
      </c>
      <c r="E18676" t="inlineStr">
        <is>
          <t>KRISTINEHAMN</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6078-2025</t>
        </is>
      </c>
      <c r="B18677" s="1" t="n">
        <v>45697</v>
      </c>
      <c r="C18677" s="1" t="n">
        <v>45736</v>
      </c>
      <c r="D18677" t="inlineStr">
        <is>
          <t>VÄRMLANDS LÄN</t>
        </is>
      </c>
      <c r="E18677" t="inlineStr">
        <is>
          <t>KRISTINEHAMN</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6095-2025</t>
        </is>
      </c>
      <c r="B18678" s="1" t="n">
        <v>45697</v>
      </c>
      <c r="C18678" s="1" t="n">
        <v>45736</v>
      </c>
      <c r="D18678" t="inlineStr">
        <is>
          <t>VÄRMLANDS LÄN</t>
        </is>
      </c>
      <c r="E18678" t="inlineStr">
        <is>
          <t>SUNNE</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45736</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45736</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45736</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45736</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6254-2025</t>
        </is>
      </c>
      <c r="B18683" s="1" t="n">
        <v>45698</v>
      </c>
      <c r="C18683" s="1" t="n">
        <v>45736</v>
      </c>
      <c r="D18683" t="inlineStr">
        <is>
          <t>VÄRMLANDS LÄN</t>
        </is>
      </c>
      <c r="E18683" t="inlineStr">
        <is>
          <t>KARLSTAD</t>
        </is>
      </c>
      <c r="G18683" t="n">
        <v>20.6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6250-2025</t>
        </is>
      </c>
      <c r="B18684" s="1" t="n">
        <v>45698</v>
      </c>
      <c r="C18684" s="1" t="n">
        <v>45736</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6241-2025</t>
        </is>
      </c>
      <c r="B18685" s="1" t="n">
        <v>45698</v>
      </c>
      <c r="C18685" s="1" t="n">
        <v>45736</v>
      </c>
      <c r="D18685" t="inlineStr">
        <is>
          <t>VÄRMLANDS LÄN</t>
        </is>
      </c>
      <c r="E18685" t="inlineStr">
        <is>
          <t>ARVIKA</t>
        </is>
      </c>
      <c r="G18685" t="n">
        <v>0.5</v>
      </c>
      <c r="H18685" t="n">
        <v>0</v>
      </c>
      <c r="I18685" t="n">
        <v>0</v>
      </c>
      <c r="J18685" t="n">
        <v>0</v>
      </c>
      <c r="K18685" t="n">
        <v>0</v>
      </c>
      <c r="L18685" t="n">
        <v>0</v>
      </c>
      <c r="M18685" t="n">
        <v>0</v>
      </c>
      <c r="N18685" t="n">
        <v>0</v>
      </c>
      <c r="O18685" t="n">
        <v>0</v>
      </c>
      <c r="P18685" t="n">
        <v>0</v>
      </c>
      <c r="Q18685" t="n">
        <v>0</v>
      </c>
      <c r="R18685" s="2" t="inlineStr"/>
      <c r="U18685">
        <f>HYPERLINK("https://klasma.github.io/Logging_1784/knärot/A 6241-2025 karta knärot.png", "A 6241-2025")</f>
        <v/>
      </c>
      <c r="V18685">
        <f>HYPERLINK("https://klasma.github.io/Logging_1784/klagomål/A 6241-2025 FSC-klagomål.docx", "A 6241-2025")</f>
        <v/>
      </c>
      <c r="W18685">
        <f>HYPERLINK("https://klasma.github.io/Logging_1784/klagomålsmail/A 6241-2025 FSC-klagomål mail.docx", "A 6241-2025")</f>
        <v/>
      </c>
      <c r="X18685">
        <f>HYPERLINK("https://klasma.github.io/Logging_1784/tillsyn/A 6241-2025 tillsynsbegäran.docx", "A 6241-2025")</f>
        <v/>
      </c>
      <c r="Y18685">
        <f>HYPERLINK("https://klasma.github.io/Logging_1784/tillsynsmail/A 6241-2025 tillsynsbegäran mail.docx", "A 6241-2025")</f>
        <v/>
      </c>
    </row>
    <row r="18686" ht="15" customHeight="1">
      <c r="A18686" t="inlineStr">
        <is>
          <t>A 6223-2025</t>
        </is>
      </c>
      <c r="B18686" s="1" t="n">
        <v>45698</v>
      </c>
      <c r="C18686" s="1" t="n">
        <v>45736</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45736</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45736</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45736</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6113-2025</t>
        </is>
      </c>
      <c r="B18690" s="1" t="n">
        <v>45698</v>
      </c>
      <c r="C18690" s="1" t="n">
        <v>45736</v>
      </c>
      <c r="D18690" t="inlineStr">
        <is>
          <t>VÄRMLANDS LÄN</t>
        </is>
      </c>
      <c r="E18690" t="inlineStr">
        <is>
          <t>KRISTINEHAMN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6109-2025</t>
        </is>
      </c>
      <c r="B18691" s="1" t="n">
        <v>45698</v>
      </c>
      <c r="C18691" s="1" t="n">
        <v>45736</v>
      </c>
      <c r="D18691" t="inlineStr">
        <is>
          <t>VÄRMLANDS LÄN</t>
        </is>
      </c>
      <c r="E18691" t="inlineStr">
        <is>
          <t>ÅRJÄNG</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6227-2025</t>
        </is>
      </c>
      <c r="B18692" s="1" t="n">
        <v>45698</v>
      </c>
      <c r="C18692" s="1" t="n">
        <v>45736</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6131-2025</t>
        </is>
      </c>
      <c r="B18693" s="1" t="n">
        <v>45698</v>
      </c>
      <c r="C18693" s="1" t="n">
        <v>45736</v>
      </c>
      <c r="D18693" t="inlineStr">
        <is>
          <t>VÄRMLANDS LÄN</t>
        </is>
      </c>
      <c r="E18693" t="inlineStr">
        <is>
          <t>EDA</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6110-2025</t>
        </is>
      </c>
      <c r="B18694" s="1" t="n">
        <v>45698</v>
      </c>
      <c r="C18694" s="1" t="n">
        <v>45736</v>
      </c>
      <c r="D18694" t="inlineStr">
        <is>
          <t>VÄRMLANDS LÄN</t>
        </is>
      </c>
      <c r="E18694" t="inlineStr">
        <is>
          <t>ARVIKA</t>
        </is>
      </c>
      <c r="F18694" t="inlineStr">
        <is>
          <t>Bergvik skog väst AB</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6111-2025</t>
        </is>
      </c>
      <c r="B18695" s="1" t="n">
        <v>45698</v>
      </c>
      <c r="C18695" s="1" t="n">
        <v>45736</v>
      </c>
      <c r="D18695" t="inlineStr">
        <is>
          <t>VÄRMLANDS LÄN</t>
        </is>
      </c>
      <c r="E18695" t="inlineStr">
        <is>
          <t>ÅRJÄNG</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6503-2025</t>
        </is>
      </c>
      <c r="B18696" s="1" t="n">
        <v>45699</v>
      </c>
      <c r="C18696" s="1" t="n">
        <v>45736</v>
      </c>
      <c r="D18696" t="inlineStr">
        <is>
          <t>VÄRMLANDS LÄN</t>
        </is>
      </c>
      <c r="E18696" t="inlineStr">
        <is>
          <t>KIL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6529-2025</t>
        </is>
      </c>
      <c r="B18697" s="1" t="n">
        <v>45699</v>
      </c>
      <c r="C18697" s="1" t="n">
        <v>45736</v>
      </c>
      <c r="D18697" t="inlineStr">
        <is>
          <t>VÄRMLANDS LÄN</t>
        </is>
      </c>
      <c r="E18697" t="inlineStr">
        <is>
          <t>TORSBY</t>
        </is>
      </c>
      <c r="F18697" t="inlineStr">
        <is>
          <t>Kommuner</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45736</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45736</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6478-2025</t>
        </is>
      </c>
      <c r="B18700" s="1" t="n">
        <v>45699</v>
      </c>
      <c r="C18700" s="1" t="n">
        <v>45736</v>
      </c>
      <c r="D18700" t="inlineStr">
        <is>
          <t>VÄRMLANDS LÄN</t>
        </is>
      </c>
      <c r="E18700" t="inlineStr">
        <is>
          <t>HAGFORS</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45736</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45736</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6551-2025</t>
        </is>
      </c>
      <c r="B18703" s="1" t="n">
        <v>45699</v>
      </c>
      <c r="C18703" s="1" t="n">
        <v>45736</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6434-2025</t>
        </is>
      </c>
      <c r="B18704" s="1" t="n">
        <v>45699</v>
      </c>
      <c r="C18704" s="1" t="n">
        <v>45736</v>
      </c>
      <c r="D18704" t="inlineStr">
        <is>
          <t>VÄRMLANDS LÄN</t>
        </is>
      </c>
      <c r="E18704" t="inlineStr">
        <is>
          <t>SÄFFLE</t>
        </is>
      </c>
      <c r="F18704" t="inlineStr">
        <is>
          <t>Bergvik skog väst AB</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6430-2025</t>
        </is>
      </c>
      <c r="B18705" s="1" t="n">
        <v>45699</v>
      </c>
      <c r="C18705" s="1" t="n">
        <v>45736</v>
      </c>
      <c r="D18705" t="inlineStr">
        <is>
          <t>VÄRMLANDS LÄN</t>
        </is>
      </c>
      <c r="E18705" t="inlineStr">
        <is>
          <t>KRISTINEHAMN</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6345-2025</t>
        </is>
      </c>
      <c r="B18706" s="1" t="n">
        <v>45699</v>
      </c>
      <c r="C18706" s="1" t="n">
        <v>45736</v>
      </c>
      <c r="D18706" t="inlineStr">
        <is>
          <t>VÄRMLANDS LÄN</t>
        </is>
      </c>
      <c r="E18706" t="inlineStr">
        <is>
          <t>ÅRJÄNG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6464-2025</t>
        </is>
      </c>
      <c r="B18707" s="1" t="n">
        <v>45699</v>
      </c>
      <c r="C18707" s="1" t="n">
        <v>45736</v>
      </c>
      <c r="D18707" t="inlineStr">
        <is>
          <t>VÄRMLANDS LÄN</t>
        </is>
      </c>
      <c r="E18707" t="inlineStr">
        <is>
          <t>TORSBY</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6460-2025</t>
        </is>
      </c>
      <c r="B18708" s="1" t="n">
        <v>45699</v>
      </c>
      <c r="C18708" s="1" t="n">
        <v>45736</v>
      </c>
      <c r="D18708" t="inlineStr">
        <is>
          <t>VÄRMLANDS LÄN</t>
        </is>
      </c>
      <c r="E18708" t="inlineStr">
        <is>
          <t>TORSBY</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6448-2025</t>
        </is>
      </c>
      <c r="B18709" s="1" t="n">
        <v>45699</v>
      </c>
      <c r="C18709" s="1" t="n">
        <v>45736</v>
      </c>
      <c r="D18709" t="inlineStr">
        <is>
          <t>VÄRMLANDS LÄN</t>
        </is>
      </c>
      <c r="E18709" t="inlineStr">
        <is>
          <t>TORSBY</t>
        </is>
      </c>
      <c r="G18709" t="n">
        <v>6.4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6436-2025</t>
        </is>
      </c>
      <c r="B18710" s="1" t="n">
        <v>45699</v>
      </c>
      <c r="C18710" s="1" t="n">
        <v>45736</v>
      </c>
      <c r="D18710" t="inlineStr">
        <is>
          <t>VÄRMLANDS LÄN</t>
        </is>
      </c>
      <c r="E18710" t="inlineStr">
        <is>
          <t>KRISTINEHAMN</t>
        </is>
      </c>
      <c r="G18710" t="n">
        <v>6.3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6432-2025</t>
        </is>
      </c>
      <c r="B18711" s="1" t="n">
        <v>45699</v>
      </c>
      <c r="C18711" s="1" t="n">
        <v>45736</v>
      </c>
      <c r="D18711" t="inlineStr">
        <is>
          <t>VÄRMLANDS LÄN</t>
        </is>
      </c>
      <c r="E18711" t="inlineStr">
        <is>
          <t>KRISTINEHAMN</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6577-2025</t>
        </is>
      </c>
      <c r="B18712" s="1" t="n">
        <v>45699</v>
      </c>
      <c r="C18712" s="1" t="n">
        <v>45736</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6481-2025</t>
        </is>
      </c>
      <c r="B18713" s="1" t="n">
        <v>45699</v>
      </c>
      <c r="C18713" s="1" t="n">
        <v>45736</v>
      </c>
      <c r="D18713" t="inlineStr">
        <is>
          <t>VÄRMLANDS LÄN</t>
        </is>
      </c>
      <c r="E18713" t="inlineStr">
        <is>
          <t>SUNNE</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6534-2025</t>
        </is>
      </c>
      <c r="B18714" s="1" t="n">
        <v>45699</v>
      </c>
      <c r="C18714" s="1" t="n">
        <v>45736</v>
      </c>
      <c r="D18714" t="inlineStr">
        <is>
          <t>VÄRMLANDS LÄN</t>
        </is>
      </c>
      <c r="E18714" t="inlineStr">
        <is>
          <t>TORSBY</t>
        </is>
      </c>
      <c r="F18714" t="inlineStr">
        <is>
          <t>Kommuner</t>
        </is>
      </c>
      <c r="G18714" t="n">
        <v>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6559-2025</t>
        </is>
      </c>
      <c r="B18715" s="1" t="n">
        <v>45699</v>
      </c>
      <c r="C18715" s="1" t="n">
        <v>45736</v>
      </c>
      <c r="D18715" t="inlineStr">
        <is>
          <t>VÄRMLANDS LÄN</t>
        </is>
      </c>
      <c r="E18715" t="inlineStr">
        <is>
          <t>ÅRJÄNG</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6579-2025</t>
        </is>
      </c>
      <c r="B18716" s="1" t="n">
        <v>45699</v>
      </c>
      <c r="C18716" s="1" t="n">
        <v>45736</v>
      </c>
      <c r="D18716" t="inlineStr">
        <is>
          <t>VÄRMLANDS LÄN</t>
        </is>
      </c>
      <c r="E18716" t="inlineStr">
        <is>
          <t>MUNKFORS</t>
        </is>
      </c>
      <c r="F18716" t="inlineStr">
        <is>
          <t>Kommuner</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45736</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45736</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45736</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6636-2025</t>
        </is>
      </c>
      <c r="B18720" s="1" t="n">
        <v>45700</v>
      </c>
      <c r="C18720" s="1" t="n">
        <v>45736</v>
      </c>
      <c r="D18720" t="inlineStr">
        <is>
          <t>VÄRMLANDS LÄN</t>
        </is>
      </c>
      <c r="E18720" t="inlineStr">
        <is>
          <t>KARLSTAD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45736</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45736</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6653-2025</t>
        </is>
      </c>
      <c r="B18723" s="1" t="n">
        <v>45700</v>
      </c>
      <c r="C18723" s="1" t="n">
        <v>45736</v>
      </c>
      <c r="D18723" t="inlineStr">
        <is>
          <t>VÄRMLANDS LÄN</t>
        </is>
      </c>
      <c r="E18723" t="inlineStr">
        <is>
          <t>TORSBY</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6641-2025</t>
        </is>
      </c>
      <c r="B18724" s="1" t="n">
        <v>45700</v>
      </c>
      <c r="C18724" s="1" t="n">
        <v>45736</v>
      </c>
      <c r="D18724" t="inlineStr">
        <is>
          <t>VÄRMLANDS LÄN</t>
        </is>
      </c>
      <c r="E18724" t="inlineStr">
        <is>
          <t>KARLSTAD</t>
        </is>
      </c>
      <c r="G18724" t="n">
        <v>6.9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45736</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45736</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6843-2025</t>
        </is>
      </c>
      <c r="B18727" s="1" t="n">
        <v>45700</v>
      </c>
      <c r="C18727" s="1" t="n">
        <v>45736</v>
      </c>
      <c r="D18727" t="inlineStr">
        <is>
          <t>VÄRMLANDS LÄN</t>
        </is>
      </c>
      <c r="E18727" t="inlineStr">
        <is>
          <t>SÄFFLE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6768-2025</t>
        </is>
      </c>
      <c r="B18728" s="1" t="n">
        <v>45700</v>
      </c>
      <c r="C18728" s="1" t="n">
        <v>45736</v>
      </c>
      <c r="D18728" t="inlineStr">
        <is>
          <t>VÄRMLANDS LÄN</t>
        </is>
      </c>
      <c r="E18728" t="inlineStr">
        <is>
          <t>SÄFFLE</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6728-2025</t>
        </is>
      </c>
      <c r="B18729" s="1" t="n">
        <v>45700</v>
      </c>
      <c r="C18729" s="1" t="n">
        <v>45736</v>
      </c>
      <c r="D18729" t="inlineStr">
        <is>
          <t>VÄRMLANDS LÄN</t>
        </is>
      </c>
      <c r="E18729" t="inlineStr">
        <is>
          <t>FILIPSTAD</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6683-2025</t>
        </is>
      </c>
      <c r="B18730" s="1" t="n">
        <v>45700</v>
      </c>
      <c r="C18730" s="1" t="n">
        <v>45736</v>
      </c>
      <c r="D18730" t="inlineStr">
        <is>
          <t>VÄRMLANDS LÄN</t>
        </is>
      </c>
      <c r="E18730" t="inlineStr">
        <is>
          <t>FILIPSTAD</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6862-2025</t>
        </is>
      </c>
      <c r="B18731" s="1" t="n">
        <v>45700</v>
      </c>
      <c r="C18731" s="1" t="n">
        <v>45736</v>
      </c>
      <c r="D18731" t="inlineStr">
        <is>
          <t>VÄRMLANDS LÄN</t>
        </is>
      </c>
      <c r="E18731" t="inlineStr">
        <is>
          <t>TORSBY</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45736</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6751-2025</t>
        </is>
      </c>
      <c r="B18733" s="1" t="n">
        <v>45700</v>
      </c>
      <c r="C18733" s="1" t="n">
        <v>45736</v>
      </c>
      <c r="D18733" t="inlineStr">
        <is>
          <t>VÄRMLANDS LÄN</t>
        </is>
      </c>
      <c r="E18733" t="inlineStr">
        <is>
          <t>GRUMS</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6715-2025</t>
        </is>
      </c>
      <c r="B18734" s="1" t="n">
        <v>45700</v>
      </c>
      <c r="C18734" s="1" t="n">
        <v>45736</v>
      </c>
      <c r="D18734" t="inlineStr">
        <is>
          <t>VÄRMLANDS LÄN</t>
        </is>
      </c>
      <c r="E18734" t="inlineStr">
        <is>
          <t>SÄFFLE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6703-2025</t>
        </is>
      </c>
      <c r="B18735" s="1" t="n">
        <v>45700</v>
      </c>
      <c r="C18735" s="1" t="n">
        <v>45736</v>
      </c>
      <c r="D18735" t="inlineStr">
        <is>
          <t>VÄRMLANDS LÄN</t>
        </is>
      </c>
      <c r="E18735" t="inlineStr">
        <is>
          <t>SUNNE</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6674-2025</t>
        </is>
      </c>
      <c r="B18736" s="1" t="n">
        <v>45700</v>
      </c>
      <c r="C18736" s="1" t="n">
        <v>45736</v>
      </c>
      <c r="D18736" t="inlineStr">
        <is>
          <t>VÄRMLANDS LÄN</t>
        </is>
      </c>
      <c r="E18736" t="inlineStr">
        <is>
          <t>FILIPSTAD</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6646-2025</t>
        </is>
      </c>
      <c r="B18737" s="1" t="n">
        <v>45700</v>
      </c>
      <c r="C18737" s="1" t="n">
        <v>45736</v>
      </c>
      <c r="D18737" t="inlineStr">
        <is>
          <t>VÄRMLANDS LÄN</t>
        </is>
      </c>
      <c r="E18737" t="inlineStr">
        <is>
          <t>ÅRJÄNG</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6642-2025</t>
        </is>
      </c>
      <c r="B18738" s="1" t="n">
        <v>45700</v>
      </c>
      <c r="C18738" s="1" t="n">
        <v>45736</v>
      </c>
      <c r="D18738" t="inlineStr">
        <is>
          <t>VÄRMLANDS LÄN</t>
        </is>
      </c>
      <c r="E18738" t="inlineStr">
        <is>
          <t>KARLSTAD</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6609-2025</t>
        </is>
      </c>
      <c r="B18739" s="1" t="n">
        <v>45700</v>
      </c>
      <c r="C18739" s="1" t="n">
        <v>45736</v>
      </c>
      <c r="D18739" t="inlineStr">
        <is>
          <t>VÄRMLANDS LÄN</t>
        </is>
      </c>
      <c r="E18739" t="inlineStr">
        <is>
          <t>KRISTINEHAMN</t>
        </is>
      </c>
      <c r="G18739" t="n">
        <v>11.2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6856-2025</t>
        </is>
      </c>
      <c r="B18740" s="1" t="n">
        <v>45700</v>
      </c>
      <c r="C18740" s="1" t="n">
        <v>45736</v>
      </c>
      <c r="D18740" t="inlineStr">
        <is>
          <t>VÄRMLANDS LÄN</t>
        </is>
      </c>
      <c r="E18740" t="inlineStr">
        <is>
          <t>STORFORS</t>
        </is>
      </c>
      <c r="F18740" t="inlineStr">
        <is>
          <t>Kyrkan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6936-2025</t>
        </is>
      </c>
      <c r="B18741" s="1" t="n">
        <v>45701</v>
      </c>
      <c r="C18741" s="1" t="n">
        <v>45736</v>
      </c>
      <c r="D18741" t="inlineStr">
        <is>
          <t>VÄRMLANDS LÄN</t>
        </is>
      </c>
      <c r="E18741" t="inlineStr">
        <is>
          <t>KRISTINEHAMN</t>
        </is>
      </c>
      <c r="F18741" t="inlineStr">
        <is>
          <t>Naturvårdsverket</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45736</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45736</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7106-2025</t>
        </is>
      </c>
      <c r="B18744" s="1" t="n">
        <v>45701</v>
      </c>
      <c r="C18744" s="1" t="n">
        <v>45736</v>
      </c>
      <c r="D18744" t="inlineStr">
        <is>
          <t>VÄRMLANDS LÄN</t>
        </is>
      </c>
      <c r="E18744" t="inlineStr">
        <is>
          <t>EDA</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45736</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45736</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45736</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45736</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6918-2025</t>
        </is>
      </c>
      <c r="B18749" s="1" t="n">
        <v>45701</v>
      </c>
      <c r="C18749" s="1" t="n">
        <v>45736</v>
      </c>
      <c r="D18749" t="inlineStr">
        <is>
          <t>VÄRMLANDS LÄN</t>
        </is>
      </c>
      <c r="E18749" t="inlineStr">
        <is>
          <t>FORSHAGA</t>
        </is>
      </c>
      <c r="F18749" t="inlineStr">
        <is>
          <t>Bergvik skog väst AB</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6968-2025</t>
        </is>
      </c>
      <c r="B18750" s="1" t="n">
        <v>45701</v>
      </c>
      <c r="C18750" s="1" t="n">
        <v>45736</v>
      </c>
      <c r="D18750" t="inlineStr">
        <is>
          <t>VÄRMLANDS LÄN</t>
        </is>
      </c>
      <c r="E18750" t="inlineStr">
        <is>
          <t>TORSBY</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45736</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6939-2025</t>
        </is>
      </c>
      <c r="B18752" s="1" t="n">
        <v>45701</v>
      </c>
      <c r="C18752" s="1" t="n">
        <v>45736</v>
      </c>
      <c r="D18752" t="inlineStr">
        <is>
          <t>VÄRMLANDS LÄN</t>
        </is>
      </c>
      <c r="E18752" t="inlineStr">
        <is>
          <t>SUNNE</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6927-2025</t>
        </is>
      </c>
      <c r="B18753" s="1" t="n">
        <v>45701</v>
      </c>
      <c r="C18753" s="1" t="n">
        <v>45736</v>
      </c>
      <c r="D18753" t="inlineStr">
        <is>
          <t>VÄRMLANDS LÄN</t>
        </is>
      </c>
      <c r="E18753" t="inlineStr">
        <is>
          <t>KRISTINEHAMN</t>
        </is>
      </c>
      <c r="F18753" t="inlineStr">
        <is>
          <t>Naturvårdsverket</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6887-2025</t>
        </is>
      </c>
      <c r="B18754" s="1" t="n">
        <v>45701</v>
      </c>
      <c r="C18754" s="1" t="n">
        <v>45736</v>
      </c>
      <c r="D18754" t="inlineStr">
        <is>
          <t>VÄRMLANDS LÄN</t>
        </is>
      </c>
      <c r="E18754" t="inlineStr">
        <is>
          <t>FORSHAGA</t>
        </is>
      </c>
      <c r="F18754" t="inlineStr">
        <is>
          <t>Bergvik skog väst AB</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45736</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7065-2025</t>
        </is>
      </c>
      <c r="B18756" s="1" t="n">
        <v>45701</v>
      </c>
      <c r="C18756" s="1" t="n">
        <v>45736</v>
      </c>
      <c r="D18756" t="inlineStr">
        <is>
          <t>VÄRMLANDS LÄN</t>
        </is>
      </c>
      <c r="E18756" t="inlineStr">
        <is>
          <t>TORSBY</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6962-2025</t>
        </is>
      </c>
      <c r="B18757" s="1" t="n">
        <v>45701</v>
      </c>
      <c r="C18757" s="1" t="n">
        <v>45736</v>
      </c>
      <c r="D18757" t="inlineStr">
        <is>
          <t>VÄRMLANDS LÄN</t>
        </is>
      </c>
      <c r="E18757" t="inlineStr">
        <is>
          <t>ÅRJÄNG</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6945-2025</t>
        </is>
      </c>
      <c r="B18758" s="1" t="n">
        <v>45701</v>
      </c>
      <c r="C18758" s="1" t="n">
        <v>45736</v>
      </c>
      <c r="D18758" t="inlineStr">
        <is>
          <t>VÄRMLANDS LÄN</t>
        </is>
      </c>
      <c r="E18758" t="inlineStr">
        <is>
          <t>FORSHAGA</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6933-2025</t>
        </is>
      </c>
      <c r="B18759" s="1" t="n">
        <v>45701</v>
      </c>
      <c r="C18759" s="1" t="n">
        <v>45736</v>
      </c>
      <c r="D18759" t="inlineStr">
        <is>
          <t>VÄRMLANDS LÄN</t>
        </is>
      </c>
      <c r="E18759" t="inlineStr">
        <is>
          <t>KRISTINEHAMN</t>
        </is>
      </c>
      <c r="F18759" t="inlineStr">
        <is>
          <t>Naturvårdsverket</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6909-2025</t>
        </is>
      </c>
      <c r="B18760" s="1" t="n">
        <v>45701</v>
      </c>
      <c r="C18760" s="1" t="n">
        <v>45736</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6873-2025</t>
        </is>
      </c>
      <c r="B18761" s="1" t="n">
        <v>45701</v>
      </c>
      <c r="C18761" s="1" t="n">
        <v>45736</v>
      </c>
      <c r="D18761" t="inlineStr">
        <is>
          <t>VÄRMLANDS LÄN</t>
        </is>
      </c>
      <c r="E18761" t="inlineStr">
        <is>
          <t>FORSHAGA</t>
        </is>
      </c>
      <c r="F18761" t="inlineStr">
        <is>
          <t>Bergvik skog väst AB</t>
        </is>
      </c>
      <c r="G18761" t="n">
        <v>11.7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7133-2025</t>
        </is>
      </c>
      <c r="B18762" s="1" t="n">
        <v>45702</v>
      </c>
      <c r="C18762" s="1" t="n">
        <v>45736</v>
      </c>
      <c r="D18762" t="inlineStr">
        <is>
          <t>VÄRMLANDS LÄN</t>
        </is>
      </c>
      <c r="E18762" t="inlineStr">
        <is>
          <t>KARLSTAD</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7137-2025</t>
        </is>
      </c>
      <c r="B18763" s="1" t="n">
        <v>45702</v>
      </c>
      <c r="C18763" s="1" t="n">
        <v>45736</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7209-2025</t>
        </is>
      </c>
      <c r="B18764" s="1" t="n">
        <v>45702</v>
      </c>
      <c r="C18764" s="1" t="n">
        <v>45736</v>
      </c>
      <c r="D18764" t="inlineStr">
        <is>
          <t>VÄRMLANDS LÄN</t>
        </is>
      </c>
      <c r="E18764" t="inlineStr">
        <is>
          <t>HAGFORS</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7214-2025</t>
        </is>
      </c>
      <c r="B18765" s="1" t="n">
        <v>45702</v>
      </c>
      <c r="C18765" s="1" t="n">
        <v>45736</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45736</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45736</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7407-2025</t>
        </is>
      </c>
      <c r="B18768" s="1" t="n">
        <v>45702</v>
      </c>
      <c r="C18768" s="1" t="n">
        <v>45736</v>
      </c>
      <c r="D18768" t="inlineStr">
        <is>
          <t>VÄRMLANDS LÄN</t>
        </is>
      </c>
      <c r="E18768" t="inlineStr">
        <is>
          <t>KRISTINEHAMN</t>
        </is>
      </c>
      <c r="F18768" t="inlineStr">
        <is>
          <t>Sveaskog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45736</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7257-2025</t>
        </is>
      </c>
      <c r="B18770" s="1" t="n">
        <v>45702</v>
      </c>
      <c r="C18770" s="1" t="n">
        <v>45736</v>
      </c>
      <c r="D18770" t="inlineStr">
        <is>
          <t>VÄRMLANDS LÄN</t>
        </is>
      </c>
      <c r="E18770" t="inlineStr">
        <is>
          <t>SUNNE</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7156-2025</t>
        </is>
      </c>
      <c r="B18771" s="1" t="n">
        <v>45702</v>
      </c>
      <c r="C18771" s="1" t="n">
        <v>45736</v>
      </c>
      <c r="D18771" t="inlineStr">
        <is>
          <t>VÄRMLANDS LÄN</t>
        </is>
      </c>
      <c r="E18771" t="inlineStr">
        <is>
          <t>HAGFORS</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7148-2025</t>
        </is>
      </c>
      <c r="B18772" s="1" t="n">
        <v>45702</v>
      </c>
      <c r="C18772" s="1" t="n">
        <v>45736</v>
      </c>
      <c r="D18772" t="inlineStr">
        <is>
          <t>VÄRMLANDS LÄN</t>
        </is>
      </c>
      <c r="E18772" t="inlineStr">
        <is>
          <t>HAGFORS</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7132-2025</t>
        </is>
      </c>
      <c r="B18773" s="1" t="n">
        <v>45702</v>
      </c>
      <c r="C18773" s="1" t="n">
        <v>45736</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7215-2025</t>
        </is>
      </c>
      <c r="B18774" s="1" t="n">
        <v>45702</v>
      </c>
      <c r="C18774" s="1" t="n">
        <v>45736</v>
      </c>
      <c r="D18774" t="inlineStr">
        <is>
          <t>VÄRMLANDS LÄN</t>
        </is>
      </c>
      <c r="E18774" t="inlineStr">
        <is>
          <t>TORSBY</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7178-2025</t>
        </is>
      </c>
      <c r="B18775" s="1" t="n">
        <v>45702</v>
      </c>
      <c r="C18775" s="1" t="n">
        <v>45736</v>
      </c>
      <c r="D18775" t="inlineStr">
        <is>
          <t>VÄRMLANDS LÄN</t>
        </is>
      </c>
      <c r="E18775" t="inlineStr">
        <is>
          <t>TORSBY</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7122-2025</t>
        </is>
      </c>
      <c r="B18776" s="1" t="n">
        <v>45702</v>
      </c>
      <c r="C18776" s="1" t="n">
        <v>45736</v>
      </c>
      <c r="D18776" t="inlineStr">
        <is>
          <t>VÄRMLANDS LÄN</t>
        </is>
      </c>
      <c r="E18776" t="inlineStr">
        <is>
          <t>SÄFFLE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7258-2025</t>
        </is>
      </c>
      <c r="B18777" s="1" t="n">
        <v>45702</v>
      </c>
      <c r="C18777" s="1" t="n">
        <v>45736</v>
      </c>
      <c r="D18777" t="inlineStr">
        <is>
          <t>VÄRMLANDS LÄN</t>
        </is>
      </c>
      <c r="E18777" t="inlineStr">
        <is>
          <t>SUNNE</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7338-2025</t>
        </is>
      </c>
      <c r="B18778" s="1" t="n">
        <v>45703</v>
      </c>
      <c r="C18778" s="1" t="n">
        <v>45736</v>
      </c>
      <c r="D18778" t="inlineStr">
        <is>
          <t>VÄRMLANDS LÄN</t>
        </is>
      </c>
      <c r="E18778" t="inlineStr">
        <is>
          <t>SUNNE</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45736</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7332-2025</t>
        </is>
      </c>
      <c r="B18780" s="1" t="n">
        <v>45703</v>
      </c>
      <c r="C18780" s="1" t="n">
        <v>45736</v>
      </c>
      <c r="D18780" t="inlineStr">
        <is>
          <t>VÄRMLANDS LÄN</t>
        </is>
      </c>
      <c r="E18780" t="inlineStr">
        <is>
          <t>HAGFORS</t>
        </is>
      </c>
      <c r="F18780" t="inlineStr">
        <is>
          <t>Kyrkan</t>
        </is>
      </c>
      <c r="G18780" t="n">
        <v>15.9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7347-2025</t>
        </is>
      </c>
      <c r="B18781" s="1" t="n">
        <v>45703</v>
      </c>
      <c r="C18781" s="1" t="n">
        <v>45736</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45736</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45736</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7370-2025</t>
        </is>
      </c>
      <c r="B18784" s="1" t="n">
        <v>45704</v>
      </c>
      <c r="C18784" s="1" t="n">
        <v>45736</v>
      </c>
      <c r="D18784" t="inlineStr">
        <is>
          <t>VÄRMLANDS LÄN</t>
        </is>
      </c>
      <c r="E18784" t="inlineStr">
        <is>
          <t>KARLSTAD</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7367-2025</t>
        </is>
      </c>
      <c r="B18785" s="1" t="n">
        <v>45704</v>
      </c>
      <c r="C18785" s="1" t="n">
        <v>45736</v>
      </c>
      <c r="D18785" t="inlineStr">
        <is>
          <t>VÄRMLANDS LÄN</t>
        </is>
      </c>
      <c r="E18785" t="inlineStr">
        <is>
          <t>EDA</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7361-2025</t>
        </is>
      </c>
      <c r="B18786" s="1" t="n">
        <v>45704</v>
      </c>
      <c r="C18786" s="1" t="n">
        <v>45736</v>
      </c>
      <c r="D18786" t="inlineStr">
        <is>
          <t>VÄRMLANDS LÄN</t>
        </is>
      </c>
      <c r="E18786" t="inlineStr">
        <is>
          <t>SÄFFLE</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45736</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45736</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45736</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45736</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45736</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7701-2025</t>
        </is>
      </c>
      <c r="B18792" s="1" t="n">
        <v>45705</v>
      </c>
      <c r="C18792" s="1" t="n">
        <v>45736</v>
      </c>
      <c r="D18792" t="inlineStr">
        <is>
          <t>VÄRMLANDS LÄN</t>
        </is>
      </c>
      <c r="E18792" t="inlineStr">
        <is>
          <t>KRISTINEHAMN</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7555-2025</t>
        </is>
      </c>
      <c r="B18793" s="1" t="n">
        <v>45705</v>
      </c>
      <c r="C18793" s="1" t="n">
        <v>45736</v>
      </c>
      <c r="D18793" t="inlineStr">
        <is>
          <t>VÄRMLANDS LÄN</t>
        </is>
      </c>
      <c r="E18793" t="inlineStr">
        <is>
          <t>FILIPSTAD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7586-2025</t>
        </is>
      </c>
      <c r="B18794" s="1" t="n">
        <v>45705</v>
      </c>
      <c r="C18794" s="1" t="n">
        <v>45736</v>
      </c>
      <c r="D18794" t="inlineStr">
        <is>
          <t>VÄRMLANDS LÄN</t>
        </is>
      </c>
      <c r="E18794" t="inlineStr">
        <is>
          <t>KIL</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7378-2025</t>
        </is>
      </c>
      <c r="B18795" s="1" t="n">
        <v>45705</v>
      </c>
      <c r="C18795" s="1" t="n">
        <v>45736</v>
      </c>
      <c r="D18795" t="inlineStr">
        <is>
          <t>VÄRMLANDS LÄN</t>
        </is>
      </c>
      <c r="E18795" t="inlineStr">
        <is>
          <t>TORSBY</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7654-2025</t>
        </is>
      </c>
      <c r="B18796" s="1" t="n">
        <v>45705</v>
      </c>
      <c r="C18796" s="1" t="n">
        <v>45736</v>
      </c>
      <c r="D18796" t="inlineStr">
        <is>
          <t>VÄRMLANDS LÄN</t>
        </is>
      </c>
      <c r="E18796" t="inlineStr">
        <is>
          <t>SUNNE</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7420-2025</t>
        </is>
      </c>
      <c r="B18797" s="1" t="n">
        <v>45705</v>
      </c>
      <c r="C18797" s="1" t="n">
        <v>45736</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7406-2025</t>
        </is>
      </c>
      <c r="B18798" s="1" t="n">
        <v>45705</v>
      </c>
      <c r="C18798" s="1" t="n">
        <v>45736</v>
      </c>
      <c r="D18798" t="inlineStr">
        <is>
          <t>VÄRMLANDS LÄN</t>
        </is>
      </c>
      <c r="E18798" t="inlineStr">
        <is>
          <t>HAGFORS</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45736</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45736</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45736</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45736</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45736</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7931-2025</t>
        </is>
      </c>
      <c r="B18804" s="1" t="n">
        <v>45706</v>
      </c>
      <c r="C18804" s="1" t="n">
        <v>45736</v>
      </c>
      <c r="D18804" t="inlineStr">
        <is>
          <t>VÄRMLANDS LÄN</t>
        </is>
      </c>
      <c r="E18804" t="inlineStr">
        <is>
          <t>GRUMS</t>
        </is>
      </c>
      <c r="F18804" t="inlineStr">
        <is>
          <t>Bergvik skog väst AB</t>
        </is>
      </c>
      <c r="G18804" t="n">
        <v>13.8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7877-2025</t>
        </is>
      </c>
      <c r="B18805" s="1" t="n">
        <v>45706</v>
      </c>
      <c r="C18805" s="1" t="n">
        <v>45736</v>
      </c>
      <c r="D18805" t="inlineStr">
        <is>
          <t>VÄRMLANDS LÄN</t>
        </is>
      </c>
      <c r="E18805" t="inlineStr">
        <is>
          <t>ÅRJÄNG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7738-2025</t>
        </is>
      </c>
      <c r="B18806" s="1" t="n">
        <v>45706</v>
      </c>
      <c r="C18806" s="1" t="n">
        <v>45736</v>
      </c>
      <c r="D18806" t="inlineStr">
        <is>
          <t>VÄRMLANDS LÄN</t>
        </is>
      </c>
      <c r="E18806" t="inlineStr">
        <is>
          <t>SUNNE</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7717-2025</t>
        </is>
      </c>
      <c r="B18807" s="1" t="n">
        <v>45706</v>
      </c>
      <c r="C18807" s="1" t="n">
        <v>45736</v>
      </c>
      <c r="D18807" t="inlineStr">
        <is>
          <t>VÄRMLANDS LÄN</t>
        </is>
      </c>
      <c r="E18807" t="inlineStr">
        <is>
          <t>ARVIKA</t>
        </is>
      </c>
      <c r="F18807" t="inlineStr">
        <is>
          <t>Bergvik skog väst AB</t>
        </is>
      </c>
      <c r="G18807" t="n">
        <v>9.300000000000001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7683-2025</t>
        </is>
      </c>
      <c r="B18808" s="1" t="n">
        <v>45706</v>
      </c>
      <c r="C18808" s="1" t="n">
        <v>45736</v>
      </c>
      <c r="D18808" t="inlineStr">
        <is>
          <t>VÄRMLANDS LÄN</t>
        </is>
      </c>
      <c r="E18808" t="inlineStr">
        <is>
          <t>SUNNE</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7792-2025</t>
        </is>
      </c>
      <c r="B18809" s="1" t="n">
        <v>45706</v>
      </c>
      <c r="C18809" s="1" t="n">
        <v>45736</v>
      </c>
      <c r="D18809" t="inlineStr">
        <is>
          <t>VÄRMLANDS LÄN</t>
        </is>
      </c>
      <c r="E18809" t="inlineStr">
        <is>
          <t>ARVIKA</t>
        </is>
      </c>
      <c r="F18809" t="inlineStr">
        <is>
          <t>Bergvik skog väst AB</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7800-2025</t>
        </is>
      </c>
      <c r="B18810" s="1" t="n">
        <v>45706</v>
      </c>
      <c r="C18810" s="1" t="n">
        <v>45736</v>
      </c>
      <c r="D18810" t="inlineStr">
        <is>
          <t>VÄRMLANDS LÄN</t>
        </is>
      </c>
      <c r="E18810" t="inlineStr">
        <is>
          <t>ARVIKA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7685-2025</t>
        </is>
      </c>
      <c r="B18811" s="1" t="n">
        <v>45706</v>
      </c>
      <c r="C18811" s="1" t="n">
        <v>45736</v>
      </c>
      <c r="D18811" t="inlineStr">
        <is>
          <t>VÄRMLANDS LÄN</t>
        </is>
      </c>
      <c r="E18811" t="inlineStr">
        <is>
          <t>ARVIKA</t>
        </is>
      </c>
      <c r="F18811" t="inlineStr">
        <is>
          <t>Bergvik skog väst AB</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7741-2025</t>
        </is>
      </c>
      <c r="B18812" s="1" t="n">
        <v>45706</v>
      </c>
      <c r="C18812" s="1" t="n">
        <v>45736</v>
      </c>
      <c r="D18812" t="inlineStr">
        <is>
          <t>VÄRMLANDS LÄN</t>
        </is>
      </c>
      <c r="E18812" t="inlineStr">
        <is>
          <t>ARVIKA</t>
        </is>
      </c>
      <c r="F18812" t="inlineStr">
        <is>
          <t>Bergvik skog väst AB</t>
        </is>
      </c>
      <c r="G18812" t="n">
        <v>9.199999999999999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7966-2025</t>
        </is>
      </c>
      <c r="B18813" s="1" t="n">
        <v>45707</v>
      </c>
      <c r="C18813" s="1" t="n">
        <v>45736</v>
      </c>
      <c r="D18813" t="inlineStr">
        <is>
          <t>VÄRMLANDS LÄN</t>
        </is>
      </c>
      <c r="E18813" t="inlineStr">
        <is>
          <t>SÄFFLE</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7995-2025</t>
        </is>
      </c>
      <c r="B18814" s="1" t="n">
        <v>45707</v>
      </c>
      <c r="C18814" s="1" t="n">
        <v>45736</v>
      </c>
      <c r="D18814" t="inlineStr">
        <is>
          <t>VÄRMLANDS LÄN</t>
        </is>
      </c>
      <c r="E18814" t="inlineStr">
        <is>
          <t>ÅRJÄNG</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8005-2025</t>
        </is>
      </c>
      <c r="B18815" s="1" t="n">
        <v>45707</v>
      </c>
      <c r="C18815" s="1" t="n">
        <v>45736</v>
      </c>
      <c r="D18815" t="inlineStr">
        <is>
          <t>VÄRMLANDS LÄN</t>
        </is>
      </c>
      <c r="E18815" t="inlineStr">
        <is>
          <t>HAGFORS</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8018-2025</t>
        </is>
      </c>
      <c r="B18816" s="1" t="n">
        <v>45707</v>
      </c>
      <c r="C18816" s="1" t="n">
        <v>45736</v>
      </c>
      <c r="D18816" t="inlineStr">
        <is>
          <t>VÄRMLANDS LÄN</t>
        </is>
      </c>
      <c r="E18816" t="inlineStr">
        <is>
          <t>TORSBY</t>
        </is>
      </c>
      <c r="G18816" t="n">
        <v>22.6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7907-2025</t>
        </is>
      </c>
      <c r="B18817" s="1" t="n">
        <v>45707</v>
      </c>
      <c r="C18817" s="1" t="n">
        <v>45736</v>
      </c>
      <c r="D18817" t="inlineStr">
        <is>
          <t>VÄRMLANDS LÄN</t>
        </is>
      </c>
      <c r="E18817" t="inlineStr">
        <is>
          <t>TORSBY</t>
        </is>
      </c>
      <c r="G18817" t="n">
        <v>0.8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7996-2025</t>
        </is>
      </c>
      <c r="B18818" s="1" t="n">
        <v>45707</v>
      </c>
      <c r="C18818" s="1" t="n">
        <v>45736</v>
      </c>
      <c r="D18818" t="inlineStr">
        <is>
          <t>VÄRMLANDS LÄN</t>
        </is>
      </c>
      <c r="E18818" t="inlineStr">
        <is>
          <t>ÅRJÄNG</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8002-2025</t>
        </is>
      </c>
      <c r="B18819" s="1" t="n">
        <v>45707</v>
      </c>
      <c r="C18819" s="1" t="n">
        <v>45736</v>
      </c>
      <c r="D18819" t="inlineStr">
        <is>
          <t>VÄRMLANDS LÄN</t>
        </is>
      </c>
      <c r="E18819" t="inlineStr">
        <is>
          <t>ÅRJÄNG</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8022-2025</t>
        </is>
      </c>
      <c r="B18820" s="1" t="n">
        <v>45707</v>
      </c>
      <c r="C18820" s="1" t="n">
        <v>45736</v>
      </c>
      <c r="D18820" t="inlineStr">
        <is>
          <t>VÄRMLANDS LÄN</t>
        </is>
      </c>
      <c r="E18820" t="inlineStr">
        <is>
          <t>TORSBY</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7928-2025</t>
        </is>
      </c>
      <c r="B18821" s="1" t="n">
        <v>45707</v>
      </c>
      <c r="C18821" s="1" t="n">
        <v>45736</v>
      </c>
      <c r="D18821" t="inlineStr">
        <is>
          <t>VÄRMLANDS LÄN</t>
        </is>
      </c>
      <c r="E18821" t="inlineStr">
        <is>
          <t>SUNNE</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7933-2025</t>
        </is>
      </c>
      <c r="B18822" s="1" t="n">
        <v>45707</v>
      </c>
      <c r="C18822" s="1" t="n">
        <v>45736</v>
      </c>
      <c r="D18822" t="inlineStr">
        <is>
          <t>VÄRMLANDS LÄN</t>
        </is>
      </c>
      <c r="E18822" t="inlineStr">
        <is>
          <t>SÄFFLE</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7985-2025</t>
        </is>
      </c>
      <c r="B18823" s="1" t="n">
        <v>45707</v>
      </c>
      <c r="C18823" s="1" t="n">
        <v>45736</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45736</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8025-2025</t>
        </is>
      </c>
      <c r="B18825" s="1" t="n">
        <v>45707</v>
      </c>
      <c r="C18825" s="1" t="n">
        <v>45736</v>
      </c>
      <c r="D18825" t="inlineStr">
        <is>
          <t>VÄRMLANDS LÄN</t>
        </is>
      </c>
      <c r="E18825" t="inlineStr">
        <is>
          <t>TORSBY</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8129-2025</t>
        </is>
      </c>
      <c r="B18826" s="1" t="n">
        <v>45707</v>
      </c>
      <c r="C18826" s="1" t="n">
        <v>45736</v>
      </c>
      <c r="D18826" t="inlineStr">
        <is>
          <t>VÄRMLANDS LÄN</t>
        </is>
      </c>
      <c r="E18826" t="inlineStr">
        <is>
          <t>SÄFFLE</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7914-2025</t>
        </is>
      </c>
      <c r="B18827" s="1" t="n">
        <v>45707</v>
      </c>
      <c r="C18827" s="1" t="n">
        <v>45736</v>
      </c>
      <c r="D18827" t="inlineStr">
        <is>
          <t>VÄRMLANDS LÄN</t>
        </is>
      </c>
      <c r="E18827" t="inlineStr">
        <is>
          <t>FORSHAGA</t>
        </is>
      </c>
      <c r="F18827" t="inlineStr">
        <is>
          <t>Bergvik skog väst AB</t>
        </is>
      </c>
      <c r="G18827" t="n">
        <v>3.7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8070-2025</t>
        </is>
      </c>
      <c r="B18828" s="1" t="n">
        <v>45707</v>
      </c>
      <c r="C18828" s="1" t="n">
        <v>45736</v>
      </c>
      <c r="D18828" t="inlineStr">
        <is>
          <t>VÄRMLANDS LÄN</t>
        </is>
      </c>
      <c r="E18828" t="inlineStr">
        <is>
          <t>TORSBY</t>
        </is>
      </c>
      <c r="G18828" t="n">
        <v>4.5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8094-2025</t>
        </is>
      </c>
      <c r="B18829" s="1" t="n">
        <v>45707</v>
      </c>
      <c r="C18829" s="1" t="n">
        <v>45736</v>
      </c>
      <c r="D18829" t="inlineStr">
        <is>
          <t>VÄRMLANDS LÄN</t>
        </is>
      </c>
      <c r="E18829" t="inlineStr">
        <is>
          <t>ÅRJÄNG</t>
        </is>
      </c>
      <c r="G18829" t="n">
        <v>12.6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8138-2025</t>
        </is>
      </c>
      <c r="B18830" s="1" t="n">
        <v>45707</v>
      </c>
      <c r="C18830" s="1" t="n">
        <v>45736</v>
      </c>
      <c r="D18830" t="inlineStr">
        <is>
          <t>VÄRMLANDS LÄN</t>
        </is>
      </c>
      <c r="E18830" t="inlineStr">
        <is>
          <t>SÄFFLE</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45736</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7980-2025</t>
        </is>
      </c>
      <c r="B18832" s="1" t="n">
        <v>45707</v>
      </c>
      <c r="C18832" s="1" t="n">
        <v>45736</v>
      </c>
      <c r="D18832" t="inlineStr">
        <is>
          <t>VÄRMLANDS LÄN</t>
        </is>
      </c>
      <c r="E18832" t="inlineStr">
        <is>
          <t>ARVIKA</t>
        </is>
      </c>
      <c r="G18832" t="n">
        <v>0.3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8057-2025</t>
        </is>
      </c>
      <c r="B18833" s="1" t="n">
        <v>45707</v>
      </c>
      <c r="C18833" s="1" t="n">
        <v>45736</v>
      </c>
      <c r="D18833" t="inlineStr">
        <is>
          <t>VÄRMLANDS LÄN</t>
        </is>
      </c>
      <c r="E18833" t="inlineStr">
        <is>
          <t>SUNNE</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8061-2025</t>
        </is>
      </c>
      <c r="B18834" s="1" t="n">
        <v>45707</v>
      </c>
      <c r="C18834" s="1" t="n">
        <v>45736</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8156-2025</t>
        </is>
      </c>
      <c r="B18835" s="1" t="n">
        <v>45707</v>
      </c>
      <c r="C18835" s="1" t="n">
        <v>45736</v>
      </c>
      <c r="D18835" t="inlineStr">
        <is>
          <t>VÄRMLANDS LÄN</t>
        </is>
      </c>
      <c r="E18835" t="inlineStr">
        <is>
          <t>ARVIKA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8205-2025</t>
        </is>
      </c>
      <c r="B18836" s="1" t="n">
        <v>45707</v>
      </c>
      <c r="C18836" s="1" t="n">
        <v>45736</v>
      </c>
      <c r="D18836" t="inlineStr">
        <is>
          <t>VÄRMLANDS LÄN</t>
        </is>
      </c>
      <c r="E18836" t="inlineStr">
        <is>
          <t>SÄFFLE</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8206-2025</t>
        </is>
      </c>
      <c r="B18837" s="1" t="n">
        <v>45707</v>
      </c>
      <c r="C18837" s="1" t="n">
        <v>45736</v>
      </c>
      <c r="D18837" t="inlineStr">
        <is>
          <t>VÄRMLANDS LÄN</t>
        </is>
      </c>
      <c r="E18837" t="inlineStr">
        <is>
          <t>SÄFFLE</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8154-2025</t>
        </is>
      </c>
      <c r="B18838" s="1" t="n">
        <v>45708</v>
      </c>
      <c r="C18838" s="1" t="n">
        <v>45736</v>
      </c>
      <c r="D18838" t="inlineStr">
        <is>
          <t>VÄRMLANDS LÄN</t>
        </is>
      </c>
      <c r="E18838" t="inlineStr">
        <is>
          <t>ARVIKA</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45736</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8188-2025</t>
        </is>
      </c>
      <c r="B18840" s="1" t="n">
        <v>45708</v>
      </c>
      <c r="C18840" s="1" t="n">
        <v>45736</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45736</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45736</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8230-2025</t>
        </is>
      </c>
      <c r="B18843" s="1" t="n">
        <v>45708</v>
      </c>
      <c r="C18843" s="1" t="n">
        <v>45736</v>
      </c>
      <c r="D18843" t="inlineStr">
        <is>
          <t>VÄRMLANDS LÄN</t>
        </is>
      </c>
      <c r="E18843" t="inlineStr">
        <is>
          <t>ÅRJÄNG</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8255-2025</t>
        </is>
      </c>
      <c r="B18844" s="1" t="n">
        <v>45708</v>
      </c>
      <c r="C18844" s="1" t="n">
        <v>45736</v>
      </c>
      <c r="D18844" t="inlineStr">
        <is>
          <t>VÄRMLANDS LÄN</t>
        </is>
      </c>
      <c r="E18844" t="inlineStr">
        <is>
          <t>ÅRJÄNG</t>
        </is>
      </c>
      <c r="G18844" t="n">
        <v>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8294-2025</t>
        </is>
      </c>
      <c r="B18845" s="1" t="n">
        <v>45708</v>
      </c>
      <c r="C18845" s="1" t="n">
        <v>45736</v>
      </c>
      <c r="D18845" t="inlineStr">
        <is>
          <t>VÄRMLANDS LÄN</t>
        </is>
      </c>
      <c r="E18845" t="inlineStr">
        <is>
          <t>ÅRJÄNG</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8197-2025</t>
        </is>
      </c>
      <c r="B18846" s="1" t="n">
        <v>45708</v>
      </c>
      <c r="C18846" s="1" t="n">
        <v>45736</v>
      </c>
      <c r="D18846" t="inlineStr">
        <is>
          <t>VÄRMLANDS LÄN</t>
        </is>
      </c>
      <c r="E18846" t="inlineStr">
        <is>
          <t>TORSBY</t>
        </is>
      </c>
      <c r="G18846" t="n">
        <v>9.6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8246-2025</t>
        </is>
      </c>
      <c r="B18847" s="1" t="n">
        <v>45708</v>
      </c>
      <c r="C18847" s="1" t="n">
        <v>45736</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8296-2025</t>
        </is>
      </c>
      <c r="B18848" s="1" t="n">
        <v>45708</v>
      </c>
      <c r="C18848" s="1" t="n">
        <v>45736</v>
      </c>
      <c r="D18848" t="inlineStr">
        <is>
          <t>VÄRMLANDS LÄN</t>
        </is>
      </c>
      <c r="E18848" t="inlineStr">
        <is>
          <t>SUNNE</t>
        </is>
      </c>
      <c r="G18848" t="n">
        <v>5.1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8328-2025</t>
        </is>
      </c>
      <c r="B18849" s="1" t="n">
        <v>45708</v>
      </c>
      <c r="C18849" s="1" t="n">
        <v>45736</v>
      </c>
      <c r="D18849" t="inlineStr">
        <is>
          <t>VÄRMLANDS LÄN</t>
        </is>
      </c>
      <c r="E18849" t="inlineStr">
        <is>
          <t>ÅRJÄNG</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8303-2025</t>
        </is>
      </c>
      <c r="B18850" s="1" t="n">
        <v>45708</v>
      </c>
      <c r="C18850" s="1" t="n">
        <v>45736</v>
      </c>
      <c r="D18850" t="inlineStr">
        <is>
          <t>VÄRMLANDS LÄN</t>
        </is>
      </c>
      <c r="E18850" t="inlineStr">
        <is>
          <t>ÅRJÄNG</t>
        </is>
      </c>
      <c r="G18850" t="n">
        <v>4.3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8362-2025</t>
        </is>
      </c>
      <c r="B18851" s="1" t="n">
        <v>45708</v>
      </c>
      <c r="C18851" s="1" t="n">
        <v>45736</v>
      </c>
      <c r="D18851" t="inlineStr">
        <is>
          <t>VÄRMLANDS LÄN</t>
        </is>
      </c>
      <c r="E18851" t="inlineStr">
        <is>
          <t>GRUMS</t>
        </is>
      </c>
      <c r="G18851" t="n">
        <v>7.7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8356-2025</t>
        </is>
      </c>
      <c r="B18852" s="1" t="n">
        <v>45708</v>
      </c>
      <c r="C18852" s="1" t="n">
        <v>45736</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8364-2025</t>
        </is>
      </c>
      <c r="B18853" s="1" t="n">
        <v>45708</v>
      </c>
      <c r="C18853" s="1" t="n">
        <v>45736</v>
      </c>
      <c r="D18853" t="inlineStr">
        <is>
          <t>VÄRMLANDS LÄN</t>
        </is>
      </c>
      <c r="E18853" t="inlineStr">
        <is>
          <t>GRUMS</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8357-2025</t>
        </is>
      </c>
      <c r="B18854" s="1" t="n">
        <v>45708</v>
      </c>
      <c r="C18854" s="1" t="n">
        <v>45736</v>
      </c>
      <c r="D18854" t="inlineStr">
        <is>
          <t>VÄRMLANDS LÄN</t>
        </is>
      </c>
      <c r="E18854" t="inlineStr">
        <is>
          <t>ÅRJÄNG</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8361-2025</t>
        </is>
      </c>
      <c r="B18855" s="1" t="n">
        <v>45708</v>
      </c>
      <c r="C18855" s="1" t="n">
        <v>45736</v>
      </c>
      <c r="D18855" t="inlineStr">
        <is>
          <t>VÄRMLANDS LÄN</t>
        </is>
      </c>
      <c r="E18855" t="inlineStr">
        <is>
          <t>GRUMS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8359-2025</t>
        </is>
      </c>
      <c r="B18856" s="1" t="n">
        <v>45708</v>
      </c>
      <c r="C18856" s="1" t="n">
        <v>45736</v>
      </c>
      <c r="D18856" t="inlineStr">
        <is>
          <t>VÄRMLANDS LÄN</t>
        </is>
      </c>
      <c r="E18856" t="inlineStr">
        <is>
          <t>GRUMS</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8428-2025</t>
        </is>
      </c>
      <c r="B18857" s="1" t="n">
        <v>45709</v>
      </c>
      <c r="C18857" s="1" t="n">
        <v>45736</v>
      </c>
      <c r="D18857" t="inlineStr">
        <is>
          <t>VÄRMLANDS LÄN</t>
        </is>
      </c>
      <c r="E18857" t="inlineStr">
        <is>
          <t>TORSBY</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45736</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45736</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45736</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8390-2025</t>
        </is>
      </c>
      <c r="B18861" s="1" t="n">
        <v>45709</v>
      </c>
      <c r="C18861" s="1" t="n">
        <v>45736</v>
      </c>
      <c r="D18861" t="inlineStr">
        <is>
          <t>VÄRMLANDS LÄN</t>
        </is>
      </c>
      <c r="E18861" t="inlineStr">
        <is>
          <t>SUNNE</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8398-2025</t>
        </is>
      </c>
      <c r="B18862" s="1" t="n">
        <v>45709</v>
      </c>
      <c r="C18862" s="1" t="n">
        <v>45736</v>
      </c>
      <c r="D18862" t="inlineStr">
        <is>
          <t>VÄRMLANDS LÄN</t>
        </is>
      </c>
      <c r="E18862" t="inlineStr">
        <is>
          <t>TORSBY</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8514-2025</t>
        </is>
      </c>
      <c r="B18863" s="1" t="n">
        <v>45709</v>
      </c>
      <c r="C18863" s="1" t="n">
        <v>45736</v>
      </c>
      <c r="D18863" t="inlineStr">
        <is>
          <t>VÄRMLANDS LÄN</t>
        </is>
      </c>
      <c r="E18863" t="inlineStr">
        <is>
          <t>SÄFFLE</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8534-2025</t>
        </is>
      </c>
      <c r="B18864" s="1" t="n">
        <v>45709</v>
      </c>
      <c r="C18864" s="1" t="n">
        <v>45736</v>
      </c>
      <c r="D18864" t="inlineStr">
        <is>
          <t>VÄRMLANDS LÄN</t>
        </is>
      </c>
      <c r="E18864" t="inlineStr">
        <is>
          <t>KIL</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8591-2025</t>
        </is>
      </c>
      <c r="B18865" s="1" t="n">
        <v>45709</v>
      </c>
      <c r="C18865" s="1" t="n">
        <v>45736</v>
      </c>
      <c r="D18865" t="inlineStr">
        <is>
          <t>VÄRMLANDS LÄN</t>
        </is>
      </c>
      <c r="E18865" t="inlineStr">
        <is>
          <t>KRISTINEHAMN</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8528-2025</t>
        </is>
      </c>
      <c r="B18866" s="1" t="n">
        <v>45709</v>
      </c>
      <c r="C18866" s="1" t="n">
        <v>45736</v>
      </c>
      <c r="D18866" t="inlineStr">
        <is>
          <t>VÄRMLANDS LÄN</t>
        </is>
      </c>
      <c r="E18866" t="inlineStr">
        <is>
          <t>KIL</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8548-2025</t>
        </is>
      </c>
      <c r="B18867" s="1" t="n">
        <v>45709</v>
      </c>
      <c r="C18867" s="1" t="n">
        <v>45736</v>
      </c>
      <c r="D18867" t="inlineStr">
        <is>
          <t>VÄRMLANDS LÄN</t>
        </is>
      </c>
      <c r="E18867" t="inlineStr">
        <is>
          <t>SÄFFLE</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8597-2025</t>
        </is>
      </c>
      <c r="B18868" s="1" t="n">
        <v>45709</v>
      </c>
      <c r="C18868" s="1" t="n">
        <v>45736</v>
      </c>
      <c r="D18868" t="inlineStr">
        <is>
          <t>VÄRMLANDS LÄN</t>
        </is>
      </c>
      <c r="E18868" t="inlineStr">
        <is>
          <t>KRISTINEHAMN</t>
        </is>
      </c>
      <c r="G18868" t="n">
        <v>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8529-2025</t>
        </is>
      </c>
      <c r="B18869" s="1" t="n">
        <v>45709</v>
      </c>
      <c r="C18869" s="1" t="n">
        <v>45736</v>
      </c>
      <c r="D18869" t="inlineStr">
        <is>
          <t>VÄRMLANDS LÄN</t>
        </is>
      </c>
      <c r="E18869" t="inlineStr">
        <is>
          <t>KARLSTAD</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45736</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8598-2025</t>
        </is>
      </c>
      <c r="B18871" s="1" t="n">
        <v>45709</v>
      </c>
      <c r="C18871" s="1" t="n">
        <v>45736</v>
      </c>
      <c r="D18871" t="inlineStr">
        <is>
          <t>VÄRMLANDS LÄN</t>
        </is>
      </c>
      <c r="E18871" t="inlineStr">
        <is>
          <t>ARVIKA</t>
        </is>
      </c>
      <c r="G18871" t="n">
        <v>14.1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8555-2025</t>
        </is>
      </c>
      <c r="B18872" s="1" t="n">
        <v>45709</v>
      </c>
      <c r="C18872" s="1" t="n">
        <v>45736</v>
      </c>
      <c r="D18872" t="inlineStr">
        <is>
          <t>VÄRMLANDS LÄN</t>
        </is>
      </c>
      <c r="E18872" t="inlineStr">
        <is>
          <t>KIL</t>
        </is>
      </c>
      <c r="G18872" t="n">
        <v>4.8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8567-2025</t>
        </is>
      </c>
      <c r="B18873" s="1" t="n">
        <v>45709</v>
      </c>
      <c r="C18873" s="1" t="n">
        <v>45736</v>
      </c>
      <c r="D18873" t="inlineStr">
        <is>
          <t>VÄRMLANDS LÄN</t>
        </is>
      </c>
      <c r="E18873" t="inlineStr">
        <is>
          <t>ARVIKA</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8592-2025</t>
        </is>
      </c>
      <c r="B18874" s="1" t="n">
        <v>45709</v>
      </c>
      <c r="C18874" s="1" t="n">
        <v>45736</v>
      </c>
      <c r="D18874" t="inlineStr">
        <is>
          <t>VÄRMLANDS LÄN</t>
        </is>
      </c>
      <c r="E18874" t="inlineStr">
        <is>
          <t>KRISTINEHAMN</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8631-2025</t>
        </is>
      </c>
      <c r="B18875" s="1" t="n">
        <v>45711</v>
      </c>
      <c r="C18875" s="1" t="n">
        <v>45736</v>
      </c>
      <c r="D18875" t="inlineStr">
        <is>
          <t>VÄRMLANDS LÄN</t>
        </is>
      </c>
      <c r="E18875" t="inlineStr">
        <is>
          <t>ARVIKA</t>
        </is>
      </c>
      <c r="F18875" t="inlineStr">
        <is>
          <t>Bergvik skog väst AB</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8639-2025</t>
        </is>
      </c>
      <c r="B18876" s="1" t="n">
        <v>45711</v>
      </c>
      <c r="C18876" s="1" t="n">
        <v>45736</v>
      </c>
      <c r="D18876" t="inlineStr">
        <is>
          <t>VÄRMLANDS LÄN</t>
        </is>
      </c>
      <c r="E18876" t="inlineStr">
        <is>
          <t>STORFORS</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8620-2025</t>
        </is>
      </c>
      <c r="B18877" s="1" t="n">
        <v>45711</v>
      </c>
      <c r="C18877" s="1" t="n">
        <v>45736</v>
      </c>
      <c r="D18877" t="inlineStr">
        <is>
          <t>VÄRMLANDS LÄN</t>
        </is>
      </c>
      <c r="E18877" t="inlineStr">
        <is>
          <t>SÄFFLE</t>
        </is>
      </c>
      <c r="G18877" t="n">
        <v>4.4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8621-2025</t>
        </is>
      </c>
      <c r="B18878" s="1" t="n">
        <v>45711</v>
      </c>
      <c r="C18878" s="1" t="n">
        <v>45736</v>
      </c>
      <c r="D18878" t="inlineStr">
        <is>
          <t>VÄRMLANDS LÄN</t>
        </is>
      </c>
      <c r="E18878" t="inlineStr">
        <is>
          <t>SÄFFLE</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8633-2025</t>
        </is>
      </c>
      <c r="B18879" s="1" t="n">
        <v>45711</v>
      </c>
      <c r="C18879" s="1" t="n">
        <v>45736</v>
      </c>
      <c r="D18879" t="inlineStr">
        <is>
          <t>VÄRMLANDS LÄN</t>
        </is>
      </c>
      <c r="E18879" t="inlineStr">
        <is>
          <t>ARVIKA</t>
        </is>
      </c>
      <c r="F18879" t="inlineStr">
        <is>
          <t>Bergvik skog väst AB</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8634-2025</t>
        </is>
      </c>
      <c r="B18880" s="1" t="n">
        <v>45711</v>
      </c>
      <c r="C18880" s="1" t="n">
        <v>45736</v>
      </c>
      <c r="D18880" t="inlineStr">
        <is>
          <t>VÄRMLANDS LÄN</t>
        </is>
      </c>
      <c r="E18880" t="inlineStr">
        <is>
          <t>KARLSTAD</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45736</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8685-2025</t>
        </is>
      </c>
      <c r="B18882" s="1" t="n">
        <v>45712</v>
      </c>
      <c r="C18882" s="1" t="n">
        <v>45736</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8714-2025</t>
        </is>
      </c>
      <c r="B18883" s="1" t="n">
        <v>45712</v>
      </c>
      <c r="C18883" s="1" t="n">
        <v>45736</v>
      </c>
      <c r="D18883" t="inlineStr">
        <is>
          <t>VÄRMLANDS LÄN</t>
        </is>
      </c>
      <c r="E18883" t="inlineStr">
        <is>
          <t>SUNNE</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8766-2025</t>
        </is>
      </c>
      <c r="B18884" s="1" t="n">
        <v>45712</v>
      </c>
      <c r="C18884" s="1" t="n">
        <v>45736</v>
      </c>
      <c r="D18884" t="inlineStr">
        <is>
          <t>VÄRMLANDS LÄN</t>
        </is>
      </c>
      <c r="E18884" t="inlineStr">
        <is>
          <t>KRISTINEHAMN</t>
        </is>
      </c>
      <c r="F18884" t="inlineStr">
        <is>
          <t>Naturvårdsverket</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8668-2025</t>
        </is>
      </c>
      <c r="B18885" s="1" t="n">
        <v>45712</v>
      </c>
      <c r="C18885" s="1" t="n">
        <v>45736</v>
      </c>
      <c r="D18885" t="inlineStr">
        <is>
          <t>VÄRMLANDS LÄN</t>
        </is>
      </c>
      <c r="E18885" t="inlineStr">
        <is>
          <t>SÄFFLE</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45736</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8826-2025</t>
        </is>
      </c>
      <c r="B18887" s="1" t="n">
        <v>45712</v>
      </c>
      <c r="C18887" s="1" t="n">
        <v>45736</v>
      </c>
      <c r="D18887" t="inlineStr">
        <is>
          <t>VÄRMLANDS LÄN</t>
        </is>
      </c>
      <c r="E18887" t="inlineStr">
        <is>
          <t>SÄFFLE</t>
        </is>
      </c>
      <c r="F18887" t="inlineStr">
        <is>
          <t>Kommuner</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8834-2025</t>
        </is>
      </c>
      <c r="B18888" s="1" t="n">
        <v>45712</v>
      </c>
      <c r="C18888" s="1" t="n">
        <v>45736</v>
      </c>
      <c r="D18888" t="inlineStr">
        <is>
          <t>VÄRMLANDS LÄN</t>
        </is>
      </c>
      <c r="E18888" t="inlineStr">
        <is>
          <t>ÅRJÄNG</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8790-2025</t>
        </is>
      </c>
      <c r="B18889" s="1" t="n">
        <v>45712</v>
      </c>
      <c r="C18889" s="1" t="n">
        <v>45736</v>
      </c>
      <c r="D18889" t="inlineStr">
        <is>
          <t>VÄRMLANDS LÄN</t>
        </is>
      </c>
      <c r="E18889" t="inlineStr">
        <is>
          <t>SÄFFLE</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8831-2025</t>
        </is>
      </c>
      <c r="B18890" s="1" t="n">
        <v>45712</v>
      </c>
      <c r="C18890" s="1" t="n">
        <v>45736</v>
      </c>
      <c r="D18890" t="inlineStr">
        <is>
          <t>VÄRMLANDS LÄN</t>
        </is>
      </c>
      <c r="E18890" t="inlineStr">
        <is>
          <t>ÅRJÄNG</t>
        </is>
      </c>
      <c r="G18890" t="n">
        <v>32.9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8765-2025</t>
        </is>
      </c>
      <c r="B18891" s="1" t="n">
        <v>45712</v>
      </c>
      <c r="C18891" s="1" t="n">
        <v>45736</v>
      </c>
      <c r="D18891" t="inlineStr">
        <is>
          <t>VÄRMLANDS LÄN</t>
        </is>
      </c>
      <c r="E18891" t="inlineStr">
        <is>
          <t>KRISTINEHAMN</t>
        </is>
      </c>
      <c r="F18891" t="inlineStr">
        <is>
          <t>Naturvårdsverket</t>
        </is>
      </c>
      <c r="G18891" t="n">
        <v>7.3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8717-2025</t>
        </is>
      </c>
      <c r="B18892" s="1" t="n">
        <v>45712</v>
      </c>
      <c r="C18892" s="1" t="n">
        <v>45736</v>
      </c>
      <c r="D18892" t="inlineStr">
        <is>
          <t>VÄRMLANDS LÄN</t>
        </is>
      </c>
      <c r="E18892" t="inlineStr">
        <is>
          <t>KRISTINEHAMN</t>
        </is>
      </c>
      <c r="F18892" t="inlineStr">
        <is>
          <t>Naturvårdsverket</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8835-2025</t>
        </is>
      </c>
      <c r="B18893" s="1" t="n">
        <v>45712</v>
      </c>
      <c r="C18893" s="1" t="n">
        <v>45736</v>
      </c>
      <c r="D18893" t="inlineStr">
        <is>
          <t>VÄRMLANDS LÄN</t>
        </is>
      </c>
      <c r="E18893" t="inlineStr">
        <is>
          <t>ÅRJÄNG</t>
        </is>
      </c>
      <c r="G18893" t="n">
        <v>7.3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8825-2025</t>
        </is>
      </c>
      <c r="B18894" s="1" t="n">
        <v>45712</v>
      </c>
      <c r="C18894" s="1" t="n">
        <v>45736</v>
      </c>
      <c r="D18894" t="inlineStr">
        <is>
          <t>VÄRMLANDS LÄN</t>
        </is>
      </c>
      <c r="E18894" t="inlineStr">
        <is>
          <t>ARVIKA</t>
        </is>
      </c>
      <c r="G18894" t="n">
        <v>8.1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8833-2025</t>
        </is>
      </c>
      <c r="B18895" s="1" t="n">
        <v>45712</v>
      </c>
      <c r="C18895" s="1" t="n">
        <v>45736</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8832-2025</t>
        </is>
      </c>
      <c r="B18896" s="1" t="n">
        <v>45712</v>
      </c>
      <c r="C18896" s="1" t="n">
        <v>45736</v>
      </c>
      <c r="D18896" t="inlineStr">
        <is>
          <t>VÄRMLANDS LÄN</t>
        </is>
      </c>
      <c r="E18896" t="inlineStr">
        <is>
          <t>ÅRJÄNG</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8844-2025</t>
        </is>
      </c>
      <c r="B18897" s="1" t="n">
        <v>45713</v>
      </c>
      <c r="C18897" s="1" t="n">
        <v>45736</v>
      </c>
      <c r="D18897" t="inlineStr">
        <is>
          <t>VÄRMLANDS LÄN</t>
        </is>
      </c>
      <c r="E18897" t="inlineStr">
        <is>
          <t>MUNKFORS</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8892-2025</t>
        </is>
      </c>
      <c r="B18898" s="1" t="n">
        <v>45713</v>
      </c>
      <c r="C18898" s="1" t="n">
        <v>45736</v>
      </c>
      <c r="D18898" t="inlineStr">
        <is>
          <t>VÄRMLANDS LÄN</t>
        </is>
      </c>
      <c r="E18898" t="inlineStr">
        <is>
          <t>KARLSTAD</t>
        </is>
      </c>
      <c r="G18898" t="n">
        <v>4.8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8897-2025</t>
        </is>
      </c>
      <c r="B18899" s="1" t="n">
        <v>45713</v>
      </c>
      <c r="C18899" s="1" t="n">
        <v>45736</v>
      </c>
      <c r="D18899" t="inlineStr">
        <is>
          <t>VÄRMLANDS LÄN</t>
        </is>
      </c>
      <c r="E18899" t="inlineStr">
        <is>
          <t>KARLSTAD</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8847-2025</t>
        </is>
      </c>
      <c r="B18900" s="1" t="n">
        <v>45713</v>
      </c>
      <c r="C18900" s="1" t="n">
        <v>45736</v>
      </c>
      <c r="D18900" t="inlineStr">
        <is>
          <t>VÄRMLANDS LÄN</t>
        </is>
      </c>
      <c r="E18900" t="inlineStr">
        <is>
          <t>SUNNE</t>
        </is>
      </c>
      <c r="G18900" t="n">
        <v>2.6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8911-2025</t>
        </is>
      </c>
      <c r="B18901" s="1" t="n">
        <v>45713</v>
      </c>
      <c r="C18901" s="1" t="n">
        <v>45736</v>
      </c>
      <c r="D18901" t="inlineStr">
        <is>
          <t>VÄRMLANDS LÄN</t>
        </is>
      </c>
      <c r="E18901" t="inlineStr">
        <is>
          <t>KIL</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8842-2025</t>
        </is>
      </c>
      <c r="B18902" s="1" t="n">
        <v>45713</v>
      </c>
      <c r="C18902" s="1" t="n">
        <v>45736</v>
      </c>
      <c r="D18902" t="inlineStr">
        <is>
          <t>VÄRMLANDS LÄN</t>
        </is>
      </c>
      <c r="E18902" t="inlineStr">
        <is>
          <t>HAGFORS</t>
        </is>
      </c>
      <c r="F18902" t="inlineStr">
        <is>
          <t>Bergvik skog väst AB</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8944-2025</t>
        </is>
      </c>
      <c r="B18903" s="1" t="n">
        <v>45713</v>
      </c>
      <c r="C18903" s="1" t="n">
        <v>45736</v>
      </c>
      <c r="D18903" t="inlineStr">
        <is>
          <t>VÄRMLANDS LÄN</t>
        </is>
      </c>
      <c r="E18903" t="inlineStr">
        <is>
          <t>KARLSTAD</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8910-2025</t>
        </is>
      </c>
      <c r="B18904" s="1" t="n">
        <v>45713</v>
      </c>
      <c r="C18904" s="1" t="n">
        <v>45736</v>
      </c>
      <c r="D18904" t="inlineStr">
        <is>
          <t>VÄRMLANDS LÄN</t>
        </is>
      </c>
      <c r="E18904" t="inlineStr">
        <is>
          <t>KIL</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8979-2025</t>
        </is>
      </c>
      <c r="B18905" s="1" t="n">
        <v>45713</v>
      </c>
      <c r="C18905" s="1" t="n">
        <v>45736</v>
      </c>
      <c r="D18905" t="inlineStr">
        <is>
          <t>VÄRMLANDS LÄN</t>
        </is>
      </c>
      <c r="E18905" t="inlineStr">
        <is>
          <t>TORSBY</t>
        </is>
      </c>
      <c r="G18905" t="n">
        <v>6.5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9031-2025</t>
        </is>
      </c>
      <c r="B18906" s="1" t="n">
        <v>45713</v>
      </c>
      <c r="C18906" s="1" t="n">
        <v>45736</v>
      </c>
      <c r="D18906" t="inlineStr">
        <is>
          <t>VÄRMLANDS LÄN</t>
        </is>
      </c>
      <c r="E18906" t="inlineStr">
        <is>
          <t>SÄFFLE</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9059-2025</t>
        </is>
      </c>
      <c r="B18907" s="1" t="n">
        <v>45713</v>
      </c>
      <c r="C18907" s="1" t="n">
        <v>45736</v>
      </c>
      <c r="D18907" t="inlineStr">
        <is>
          <t>VÄRMLANDS LÄN</t>
        </is>
      </c>
      <c r="E18907" t="inlineStr">
        <is>
          <t>ARVIKA</t>
        </is>
      </c>
      <c r="G18907" t="n">
        <v>1.2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8918-2025</t>
        </is>
      </c>
      <c r="B18908" s="1" t="n">
        <v>45713</v>
      </c>
      <c r="C18908" s="1" t="n">
        <v>45736</v>
      </c>
      <c r="D18908" t="inlineStr">
        <is>
          <t>VÄRMLANDS LÄN</t>
        </is>
      </c>
      <c r="E18908" t="inlineStr">
        <is>
          <t>ÅRJÄNG</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8922-2025</t>
        </is>
      </c>
      <c r="B18909" s="1" t="n">
        <v>45713</v>
      </c>
      <c r="C18909" s="1" t="n">
        <v>45736</v>
      </c>
      <c r="D18909" t="inlineStr">
        <is>
          <t>VÄRMLANDS LÄN</t>
        </is>
      </c>
      <c r="E18909" t="inlineStr">
        <is>
          <t>HAGFORS</t>
        </is>
      </c>
      <c r="F18909" t="inlineStr">
        <is>
          <t>Bergvik skog väst AB</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8951-2025</t>
        </is>
      </c>
      <c r="B18910" s="1" t="n">
        <v>45713</v>
      </c>
      <c r="C18910" s="1" t="n">
        <v>45736</v>
      </c>
      <c r="D18910" t="inlineStr">
        <is>
          <t>VÄRMLANDS LÄN</t>
        </is>
      </c>
      <c r="E18910" t="inlineStr">
        <is>
          <t>STORFORS</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9062-2025</t>
        </is>
      </c>
      <c r="B18911" s="1" t="n">
        <v>45713</v>
      </c>
      <c r="C18911" s="1" t="n">
        <v>45736</v>
      </c>
      <c r="D18911" t="inlineStr">
        <is>
          <t>VÄRMLANDS LÄN</t>
        </is>
      </c>
      <c r="E18911" t="inlineStr">
        <is>
          <t>FILIPSTAD</t>
        </is>
      </c>
      <c r="F18911" t="inlineStr">
        <is>
          <t>Bergvik skog väst AB</t>
        </is>
      </c>
      <c r="G18911" t="n">
        <v>6.8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9171-2025</t>
        </is>
      </c>
      <c r="B18912" s="1" t="n">
        <v>45713</v>
      </c>
      <c r="C18912" s="1" t="n">
        <v>45736</v>
      </c>
      <c r="D18912" t="inlineStr">
        <is>
          <t>VÄRMLANDS LÄN</t>
        </is>
      </c>
      <c r="E18912" t="inlineStr">
        <is>
          <t>TORSBY</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9131-2025</t>
        </is>
      </c>
      <c r="B18913" s="1" t="n">
        <v>45714</v>
      </c>
      <c r="C18913" s="1" t="n">
        <v>45736</v>
      </c>
      <c r="D18913" t="inlineStr">
        <is>
          <t>VÄRMLANDS LÄN</t>
        </is>
      </c>
      <c r="E18913" t="inlineStr">
        <is>
          <t>ÅRJÄNG</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9179-2025</t>
        </is>
      </c>
      <c r="B18914" s="1" t="n">
        <v>45714</v>
      </c>
      <c r="C18914" s="1" t="n">
        <v>45736</v>
      </c>
      <c r="D18914" t="inlineStr">
        <is>
          <t>VÄRMLANDS LÄN</t>
        </is>
      </c>
      <c r="E18914" t="inlineStr">
        <is>
          <t>EDA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9213-2025</t>
        </is>
      </c>
      <c r="B18915" s="1" t="n">
        <v>45714</v>
      </c>
      <c r="C18915" s="1" t="n">
        <v>45736</v>
      </c>
      <c r="D18915" t="inlineStr">
        <is>
          <t>VÄRMLANDS LÄN</t>
        </is>
      </c>
      <c r="E18915" t="inlineStr">
        <is>
          <t>ARVIKA</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9221-2025</t>
        </is>
      </c>
      <c r="B18916" s="1" t="n">
        <v>45714</v>
      </c>
      <c r="C18916" s="1" t="n">
        <v>45736</v>
      </c>
      <c r="D18916" t="inlineStr">
        <is>
          <t>VÄRMLANDS LÄN</t>
        </is>
      </c>
      <c r="E18916" t="inlineStr">
        <is>
          <t>EDA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9214-2025</t>
        </is>
      </c>
      <c r="B18917" s="1" t="n">
        <v>45714</v>
      </c>
      <c r="C18917" s="1" t="n">
        <v>45736</v>
      </c>
      <c r="D18917" t="inlineStr">
        <is>
          <t>VÄRMLANDS LÄN</t>
        </is>
      </c>
      <c r="E18917" t="inlineStr">
        <is>
          <t>ARVIKA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9226-2025</t>
        </is>
      </c>
      <c r="B18918" s="1" t="n">
        <v>45714</v>
      </c>
      <c r="C18918" s="1" t="n">
        <v>45736</v>
      </c>
      <c r="D18918" t="inlineStr">
        <is>
          <t>VÄRMLANDS LÄN</t>
        </is>
      </c>
      <c r="E18918" t="inlineStr">
        <is>
          <t>TORSBY</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9231-2025</t>
        </is>
      </c>
      <c r="B18919" s="1" t="n">
        <v>45714</v>
      </c>
      <c r="C18919" s="1" t="n">
        <v>45736</v>
      </c>
      <c r="D18919" t="inlineStr">
        <is>
          <t>VÄRMLANDS LÄN</t>
        </is>
      </c>
      <c r="E18919" t="inlineStr">
        <is>
          <t>FILIPSTAD</t>
        </is>
      </c>
      <c r="F18919" t="inlineStr">
        <is>
          <t>Bergvik skog väst AB</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9286-2025</t>
        </is>
      </c>
      <c r="B18920" s="1" t="n">
        <v>45714</v>
      </c>
      <c r="C18920" s="1" t="n">
        <v>45736</v>
      </c>
      <c r="D18920" t="inlineStr">
        <is>
          <t>VÄRMLANDS LÄN</t>
        </is>
      </c>
      <c r="E18920" t="inlineStr">
        <is>
          <t>TORSBY</t>
        </is>
      </c>
      <c r="F18920" t="inlineStr">
        <is>
          <t>Kommuner</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9288-2025</t>
        </is>
      </c>
      <c r="B18921" s="1" t="n">
        <v>45714</v>
      </c>
      <c r="C18921" s="1" t="n">
        <v>45736</v>
      </c>
      <c r="D18921" t="inlineStr">
        <is>
          <t>VÄRMLANDS LÄN</t>
        </is>
      </c>
      <c r="E18921" t="inlineStr">
        <is>
          <t>HAGFORS</t>
        </is>
      </c>
      <c r="F18921" t="inlineStr">
        <is>
          <t>Bergvik skog väst AB</t>
        </is>
      </c>
      <c r="G18921" t="n">
        <v>9.800000000000001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9557-2025</t>
        </is>
      </c>
      <c r="B18922" s="1" t="n">
        <v>45714</v>
      </c>
      <c r="C18922" s="1" t="n">
        <v>45736</v>
      </c>
      <c r="D18922" t="inlineStr">
        <is>
          <t>VÄRMLANDS LÄN</t>
        </is>
      </c>
      <c r="E18922" t="inlineStr">
        <is>
          <t>SUNNE</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9593-2025</t>
        </is>
      </c>
      <c r="B18923" s="1" t="n">
        <v>45714</v>
      </c>
      <c r="C18923" s="1" t="n">
        <v>45736</v>
      </c>
      <c r="D18923" t="inlineStr">
        <is>
          <t>VÄRMLANDS LÄN</t>
        </is>
      </c>
      <c r="E18923" t="inlineStr">
        <is>
          <t>SUNNE</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9500-2025</t>
        </is>
      </c>
      <c r="B18924" s="1" t="n">
        <v>45714</v>
      </c>
      <c r="C18924" s="1" t="n">
        <v>45736</v>
      </c>
      <c r="D18924" t="inlineStr">
        <is>
          <t>VÄRMLANDS LÄN</t>
        </is>
      </c>
      <c r="E18924" t="inlineStr">
        <is>
          <t>SÄFFLE</t>
        </is>
      </c>
      <c r="G18924" t="n">
        <v>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9588-2025</t>
        </is>
      </c>
      <c r="B18925" s="1" t="n">
        <v>45714</v>
      </c>
      <c r="C18925" s="1" t="n">
        <v>45736</v>
      </c>
      <c r="D18925" t="inlineStr">
        <is>
          <t>VÄRMLANDS LÄN</t>
        </is>
      </c>
      <c r="E18925" t="inlineStr">
        <is>
          <t>SUNNE</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9498-2025</t>
        </is>
      </c>
      <c r="B18926" s="1" t="n">
        <v>45714</v>
      </c>
      <c r="C18926" s="1" t="n">
        <v>45736</v>
      </c>
      <c r="D18926" t="inlineStr">
        <is>
          <t>VÄRMLANDS LÄN</t>
        </is>
      </c>
      <c r="E18926" t="inlineStr">
        <is>
          <t>SÄFFLE</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9628-2025</t>
        </is>
      </c>
      <c r="B18927" s="1" t="n">
        <v>45714</v>
      </c>
      <c r="C18927" s="1" t="n">
        <v>45736</v>
      </c>
      <c r="D18927" t="inlineStr">
        <is>
          <t>VÄRMLANDS LÄN</t>
        </is>
      </c>
      <c r="E18927" t="inlineStr">
        <is>
          <t>TORSBY</t>
        </is>
      </c>
      <c r="G18927" t="n">
        <v>5.6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9405-2025</t>
        </is>
      </c>
      <c r="B18928" s="1" t="n">
        <v>45715</v>
      </c>
      <c r="C18928" s="1" t="n">
        <v>45736</v>
      </c>
      <c r="D18928" t="inlineStr">
        <is>
          <t>VÄRMLANDS LÄN</t>
        </is>
      </c>
      <c r="E18928" t="inlineStr">
        <is>
          <t>KARLSTAD</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9428-2025</t>
        </is>
      </c>
      <c r="B18929" s="1" t="n">
        <v>45715</v>
      </c>
      <c r="C18929" s="1" t="n">
        <v>45736</v>
      </c>
      <c r="D18929" t="inlineStr">
        <is>
          <t>VÄRMLANDS LÄN</t>
        </is>
      </c>
      <c r="E18929" t="inlineStr">
        <is>
          <t>SUNNE</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9425-2025</t>
        </is>
      </c>
      <c r="B18930" s="1" t="n">
        <v>45715</v>
      </c>
      <c r="C18930" s="1" t="n">
        <v>45736</v>
      </c>
      <c r="D18930" t="inlineStr">
        <is>
          <t>VÄRMLANDS LÄN</t>
        </is>
      </c>
      <c r="E18930" t="inlineStr">
        <is>
          <t>ÅRJÄNG</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9538-2025</t>
        </is>
      </c>
      <c r="B18931" s="1" t="n">
        <v>45715</v>
      </c>
      <c r="C18931" s="1" t="n">
        <v>45736</v>
      </c>
      <c r="D18931" t="inlineStr">
        <is>
          <t>VÄRMLANDS LÄN</t>
        </is>
      </c>
      <c r="E18931" t="inlineStr">
        <is>
          <t>FORSHAGA</t>
        </is>
      </c>
      <c r="G18931" t="n">
        <v>7.1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9569-2025</t>
        </is>
      </c>
      <c r="B18932" s="1" t="n">
        <v>45715</v>
      </c>
      <c r="C18932" s="1" t="n">
        <v>45736</v>
      </c>
      <c r="D18932" t="inlineStr">
        <is>
          <t>VÄRMLANDS LÄN</t>
        </is>
      </c>
      <c r="E18932" t="inlineStr">
        <is>
          <t>KRISTINEHAMN</t>
        </is>
      </c>
      <c r="F18932" t="inlineStr">
        <is>
          <t>Naturvårdsverket</t>
        </is>
      </c>
      <c r="G18932" t="n">
        <v>18.4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9474-2025</t>
        </is>
      </c>
      <c r="B18933" s="1" t="n">
        <v>45715</v>
      </c>
      <c r="C18933" s="1" t="n">
        <v>45736</v>
      </c>
      <c r="D18933" t="inlineStr">
        <is>
          <t>VÄRMLANDS LÄN</t>
        </is>
      </c>
      <c r="E18933" t="inlineStr">
        <is>
          <t>HAGFORS</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9486-2025</t>
        </is>
      </c>
      <c r="B18934" s="1" t="n">
        <v>45715</v>
      </c>
      <c r="C18934" s="1" t="n">
        <v>45736</v>
      </c>
      <c r="D18934" t="inlineStr">
        <is>
          <t>VÄRMLANDS LÄN</t>
        </is>
      </c>
      <c r="E18934" t="inlineStr">
        <is>
          <t>KARLSTAD</t>
        </is>
      </c>
      <c r="G18934" t="n">
        <v>5.1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9513-2025</t>
        </is>
      </c>
      <c r="B18935" s="1" t="n">
        <v>45715</v>
      </c>
      <c r="C18935" s="1" t="n">
        <v>45736</v>
      </c>
      <c r="D18935" t="inlineStr">
        <is>
          <t>VÄRMLANDS LÄN</t>
        </is>
      </c>
      <c r="E18935" t="inlineStr">
        <is>
          <t>EDA</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9575-2025</t>
        </is>
      </c>
      <c r="B18936" s="1" t="n">
        <v>45715</v>
      </c>
      <c r="C18936" s="1" t="n">
        <v>45736</v>
      </c>
      <c r="D18936" t="inlineStr">
        <is>
          <t>VÄRMLANDS LÄN</t>
        </is>
      </c>
      <c r="E18936" t="inlineStr">
        <is>
          <t>KRISTINEHAMN</t>
        </is>
      </c>
      <c r="F18936" t="inlineStr">
        <is>
          <t>Naturvårdsverket</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9427-2025</t>
        </is>
      </c>
      <c r="B18937" s="1" t="n">
        <v>45715</v>
      </c>
      <c r="C18937" s="1" t="n">
        <v>45736</v>
      </c>
      <c r="D18937" t="inlineStr">
        <is>
          <t>VÄRMLANDS LÄN</t>
        </is>
      </c>
      <c r="E18937" t="inlineStr">
        <is>
          <t>ÅRJÄNG</t>
        </is>
      </c>
      <c r="G18937" t="n">
        <v>4.5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9489-2025</t>
        </is>
      </c>
      <c r="B18938" s="1" t="n">
        <v>45715</v>
      </c>
      <c r="C18938" s="1" t="n">
        <v>45736</v>
      </c>
      <c r="D18938" t="inlineStr">
        <is>
          <t>VÄRMLANDS LÄN</t>
        </is>
      </c>
      <c r="E18938" t="inlineStr">
        <is>
          <t>ÅRJÄNG</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9506-2025</t>
        </is>
      </c>
      <c r="B18939" s="1" t="n">
        <v>45715</v>
      </c>
      <c r="C18939" s="1" t="n">
        <v>45736</v>
      </c>
      <c r="D18939" t="inlineStr">
        <is>
          <t>VÄRMLANDS LÄN</t>
        </is>
      </c>
      <c r="E18939" t="inlineStr">
        <is>
          <t>EDA</t>
        </is>
      </c>
      <c r="G18939" t="n">
        <v>3.9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9672-2025</t>
        </is>
      </c>
      <c r="B18940" s="1" t="n">
        <v>45715</v>
      </c>
      <c r="C18940" s="1" t="n">
        <v>45736</v>
      </c>
      <c r="D18940" t="inlineStr">
        <is>
          <t>VÄRMLANDS LÄN</t>
        </is>
      </c>
      <c r="E18940" t="inlineStr">
        <is>
          <t>SÄFFLE</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9597-2025</t>
        </is>
      </c>
      <c r="B18941" s="1" t="n">
        <v>45715</v>
      </c>
      <c r="C18941" s="1" t="n">
        <v>45736</v>
      </c>
      <c r="D18941" t="inlineStr">
        <is>
          <t>VÄRMLANDS LÄN</t>
        </is>
      </c>
      <c r="E18941" t="inlineStr">
        <is>
          <t>HAGFORS</t>
        </is>
      </c>
      <c r="G18941" t="n">
        <v>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9630-2025</t>
        </is>
      </c>
      <c r="B18942" s="1" t="n">
        <v>45715</v>
      </c>
      <c r="C18942" s="1" t="n">
        <v>45736</v>
      </c>
      <c r="D18942" t="inlineStr">
        <is>
          <t>VÄRMLANDS LÄN</t>
        </is>
      </c>
      <c r="E18942" t="inlineStr">
        <is>
          <t>ÅRJÄNG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9723-2025</t>
        </is>
      </c>
      <c r="B18943" s="1" t="n">
        <v>45715</v>
      </c>
      <c r="C18943" s="1" t="n">
        <v>45736</v>
      </c>
      <c r="D18943" t="inlineStr">
        <is>
          <t>VÄRMLANDS LÄN</t>
        </is>
      </c>
      <c r="E18943" t="inlineStr">
        <is>
          <t>TORSBY</t>
        </is>
      </c>
      <c r="G18943" t="n">
        <v>8.199999999999999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9729-2025</t>
        </is>
      </c>
      <c r="B18944" s="1" t="n">
        <v>45715</v>
      </c>
      <c r="C18944" s="1" t="n">
        <v>45736</v>
      </c>
      <c r="D18944" t="inlineStr">
        <is>
          <t>VÄRMLANDS LÄN</t>
        </is>
      </c>
      <c r="E18944" t="inlineStr">
        <is>
          <t>TORSBY</t>
        </is>
      </c>
      <c r="G18944" t="n">
        <v>3.4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9807-2025</t>
        </is>
      </c>
      <c r="B18945" s="1" t="n">
        <v>45715</v>
      </c>
      <c r="C18945" s="1" t="n">
        <v>45736</v>
      </c>
      <c r="D18945" t="inlineStr">
        <is>
          <t>VÄRMLANDS LÄN</t>
        </is>
      </c>
      <c r="E18945" t="inlineStr">
        <is>
          <t>SUNNE</t>
        </is>
      </c>
      <c r="G18945" t="n">
        <v>13.4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9691-2025</t>
        </is>
      </c>
      <c r="B18946" s="1" t="n">
        <v>45716</v>
      </c>
      <c r="C18946" s="1" t="n">
        <v>45736</v>
      </c>
      <c r="D18946" t="inlineStr">
        <is>
          <t>VÄRMLANDS LÄN</t>
        </is>
      </c>
      <c r="E18946" t="inlineStr">
        <is>
          <t>ARVIKA</t>
        </is>
      </c>
      <c r="F18946" t="inlineStr">
        <is>
          <t>Bergvik skog väst AB</t>
        </is>
      </c>
      <c r="G18946" t="n">
        <v>0.4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9704-2025</t>
        </is>
      </c>
      <c r="B18947" s="1" t="n">
        <v>45716</v>
      </c>
      <c r="C18947" s="1" t="n">
        <v>45736</v>
      </c>
      <c r="D18947" t="inlineStr">
        <is>
          <t>VÄRMLANDS LÄN</t>
        </is>
      </c>
      <c r="E18947" t="inlineStr">
        <is>
          <t>TORSBY</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9690-2025</t>
        </is>
      </c>
      <c r="B18948" s="1" t="n">
        <v>45716</v>
      </c>
      <c r="C18948" s="1" t="n">
        <v>45736</v>
      </c>
      <c r="D18948" t="inlineStr">
        <is>
          <t>VÄRMLANDS LÄN</t>
        </is>
      </c>
      <c r="E18948" t="inlineStr">
        <is>
          <t>ARVIKA</t>
        </is>
      </c>
      <c r="F18948" t="inlineStr">
        <is>
          <t>Bergvik skog väst AB</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9757-2025</t>
        </is>
      </c>
      <c r="B18949" s="1" t="n">
        <v>45716</v>
      </c>
      <c r="C18949" s="1" t="n">
        <v>45736</v>
      </c>
      <c r="D18949" t="inlineStr">
        <is>
          <t>VÄRMLANDS LÄN</t>
        </is>
      </c>
      <c r="E18949" t="inlineStr">
        <is>
          <t>KRISTINEHAMN</t>
        </is>
      </c>
      <c r="G18949" t="n">
        <v>2.2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9777-2025</t>
        </is>
      </c>
      <c r="B18950" s="1" t="n">
        <v>45716</v>
      </c>
      <c r="C18950" s="1" t="n">
        <v>45736</v>
      </c>
      <c r="D18950" t="inlineStr">
        <is>
          <t>VÄRMLANDS LÄN</t>
        </is>
      </c>
      <c r="E18950" t="inlineStr">
        <is>
          <t>KARLSTAD</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9781-2025</t>
        </is>
      </c>
      <c r="B18951" s="1" t="n">
        <v>45716</v>
      </c>
      <c r="C18951" s="1" t="n">
        <v>45736</v>
      </c>
      <c r="D18951" t="inlineStr">
        <is>
          <t>VÄRMLANDS LÄN</t>
        </is>
      </c>
      <c r="E18951" t="inlineStr">
        <is>
          <t>SUNNE</t>
        </is>
      </c>
      <c r="G18951" t="n">
        <v>4.4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9792-2025</t>
        </is>
      </c>
      <c r="B18952" s="1" t="n">
        <v>45716</v>
      </c>
      <c r="C18952" s="1" t="n">
        <v>45736</v>
      </c>
      <c r="D18952" t="inlineStr">
        <is>
          <t>VÄRMLANDS LÄN</t>
        </is>
      </c>
      <c r="E18952" t="inlineStr">
        <is>
          <t>KARLSTAD</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9693-2025</t>
        </is>
      </c>
      <c r="B18953" s="1" t="n">
        <v>45716</v>
      </c>
      <c r="C18953" s="1" t="n">
        <v>45736</v>
      </c>
      <c r="D18953" t="inlineStr">
        <is>
          <t>VÄRMLANDS LÄN</t>
        </is>
      </c>
      <c r="E18953" t="inlineStr">
        <is>
          <t>FORSHAGA</t>
        </is>
      </c>
      <c r="F18953" t="inlineStr">
        <is>
          <t>Bergvik skog väst AB</t>
        </is>
      </c>
      <c r="G18953" t="n">
        <v>2.2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9721-2025</t>
        </is>
      </c>
      <c r="B18954" s="1" t="n">
        <v>45716</v>
      </c>
      <c r="C18954" s="1" t="n">
        <v>45736</v>
      </c>
      <c r="D18954" t="inlineStr">
        <is>
          <t>VÄRMLANDS LÄN</t>
        </is>
      </c>
      <c r="E18954" t="inlineStr">
        <is>
          <t>ARVIKA</t>
        </is>
      </c>
      <c r="F18954" t="inlineStr">
        <is>
          <t>Bergvik skog väst AB</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9749-2025</t>
        </is>
      </c>
      <c r="B18955" s="1" t="n">
        <v>45716</v>
      </c>
      <c r="C18955" s="1" t="n">
        <v>45736</v>
      </c>
      <c r="D18955" t="inlineStr">
        <is>
          <t>VÄRMLANDS LÄN</t>
        </is>
      </c>
      <c r="E18955" t="inlineStr">
        <is>
          <t>ARVIKA</t>
        </is>
      </c>
      <c r="F18955" t="inlineStr">
        <is>
          <t>Bergvik skog väst AB</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9753-2025</t>
        </is>
      </c>
      <c r="B18956" s="1" t="n">
        <v>45716</v>
      </c>
      <c r="C18956" s="1" t="n">
        <v>45736</v>
      </c>
      <c r="D18956" t="inlineStr">
        <is>
          <t>VÄRMLANDS LÄN</t>
        </is>
      </c>
      <c r="E18956" t="inlineStr">
        <is>
          <t>SUNNE</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9766-2025</t>
        </is>
      </c>
      <c r="B18957" s="1" t="n">
        <v>45716</v>
      </c>
      <c r="C18957" s="1" t="n">
        <v>45736</v>
      </c>
      <c r="D18957" t="inlineStr">
        <is>
          <t>VÄRMLANDS LÄN</t>
        </is>
      </c>
      <c r="E18957" t="inlineStr">
        <is>
          <t>MUNKFORS</t>
        </is>
      </c>
      <c r="G18957" t="n">
        <v>4.1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9742-2025</t>
        </is>
      </c>
      <c r="B18958" s="1" t="n">
        <v>45716</v>
      </c>
      <c r="C18958" s="1" t="n">
        <v>45736</v>
      </c>
      <c r="D18958" t="inlineStr">
        <is>
          <t>VÄRMLANDS LÄN</t>
        </is>
      </c>
      <c r="E18958" t="inlineStr">
        <is>
          <t>SUNNE</t>
        </is>
      </c>
      <c r="G18958" t="n">
        <v>6.2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9839-2025</t>
        </is>
      </c>
      <c r="B18959" s="1" t="n">
        <v>45716</v>
      </c>
      <c r="C18959" s="1" t="n">
        <v>45736</v>
      </c>
      <c r="D18959" t="inlineStr">
        <is>
          <t>VÄRMLANDS LÄN</t>
        </is>
      </c>
      <c r="E18959" t="inlineStr">
        <is>
          <t>FILIPSTAD</t>
        </is>
      </c>
      <c r="F18959" t="inlineStr">
        <is>
          <t>Kommuner</t>
        </is>
      </c>
      <c r="G18959" t="n">
        <v>29.5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9763-2025</t>
        </is>
      </c>
      <c r="B18960" s="1" t="n">
        <v>45716</v>
      </c>
      <c r="C18960" s="1" t="n">
        <v>45736</v>
      </c>
      <c r="D18960" t="inlineStr">
        <is>
          <t>VÄRMLANDS LÄN</t>
        </is>
      </c>
      <c r="E18960" t="inlineStr">
        <is>
          <t>HAGFORS</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9779-2025</t>
        </is>
      </c>
      <c r="B18961" s="1" t="n">
        <v>45716</v>
      </c>
      <c r="C18961" s="1" t="n">
        <v>45736</v>
      </c>
      <c r="D18961" t="inlineStr">
        <is>
          <t>VÄRMLANDS LÄN</t>
        </is>
      </c>
      <c r="E18961" t="inlineStr">
        <is>
          <t>MUNKFORS</t>
        </is>
      </c>
      <c r="G18961" t="n">
        <v>3.7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9888-2025</t>
        </is>
      </c>
      <c r="B18962" s="1" t="n">
        <v>45716</v>
      </c>
      <c r="C18962" s="1" t="n">
        <v>45736</v>
      </c>
      <c r="D18962" t="inlineStr">
        <is>
          <t>VÄRMLANDS LÄN</t>
        </is>
      </c>
      <c r="E18962" t="inlineStr">
        <is>
          <t>SÄFFLE</t>
        </is>
      </c>
      <c r="G18962" t="n">
        <v>5.1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9990-2025</t>
        </is>
      </c>
      <c r="B18963" s="1" t="n">
        <v>45719</v>
      </c>
      <c r="C18963" s="1" t="n">
        <v>45736</v>
      </c>
      <c r="D18963" t="inlineStr">
        <is>
          <t>VÄRMLANDS LÄN</t>
        </is>
      </c>
      <c r="E18963" t="inlineStr">
        <is>
          <t>ÅRJÄNG</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9998-2025</t>
        </is>
      </c>
      <c r="B18964" s="1" t="n">
        <v>45719</v>
      </c>
      <c r="C18964" s="1" t="n">
        <v>45736</v>
      </c>
      <c r="D18964" t="inlineStr">
        <is>
          <t>VÄRMLANDS LÄN</t>
        </is>
      </c>
      <c r="E18964" t="inlineStr">
        <is>
          <t>ARVIKA</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10006-2025</t>
        </is>
      </c>
      <c r="B18965" s="1" t="n">
        <v>45719</v>
      </c>
      <c r="C18965" s="1" t="n">
        <v>45736</v>
      </c>
      <c r="D18965" t="inlineStr">
        <is>
          <t>VÄRMLANDS LÄN</t>
        </is>
      </c>
      <c r="E18965" t="inlineStr">
        <is>
          <t>TORSBY</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9942-2025</t>
        </is>
      </c>
      <c r="B18966" s="1" t="n">
        <v>45719</v>
      </c>
      <c r="C18966" s="1" t="n">
        <v>45736</v>
      </c>
      <c r="D18966" t="inlineStr">
        <is>
          <t>VÄRMLANDS LÄN</t>
        </is>
      </c>
      <c r="E18966" t="inlineStr">
        <is>
          <t>TORSBY</t>
        </is>
      </c>
      <c r="G18966" t="n">
        <v>2.6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10023-2025</t>
        </is>
      </c>
      <c r="B18967" s="1" t="n">
        <v>45719</v>
      </c>
      <c r="C18967" s="1" t="n">
        <v>45736</v>
      </c>
      <c r="D18967" t="inlineStr">
        <is>
          <t>VÄRMLANDS LÄN</t>
        </is>
      </c>
      <c r="E18967" t="inlineStr">
        <is>
          <t>TORSBY</t>
        </is>
      </c>
      <c r="F18967" t="inlineStr">
        <is>
          <t>Bergvik skog väst AB</t>
        </is>
      </c>
      <c r="G18967" t="n">
        <v>14.3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9992-2025</t>
        </is>
      </c>
      <c r="B18968" s="1" t="n">
        <v>45719</v>
      </c>
      <c r="C18968" s="1" t="n">
        <v>45736</v>
      </c>
      <c r="D18968" t="inlineStr">
        <is>
          <t>VÄRMLANDS LÄN</t>
        </is>
      </c>
      <c r="E18968" t="inlineStr">
        <is>
          <t>ÅRJÄNG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10102-2025</t>
        </is>
      </c>
      <c r="B18969" s="1" t="n">
        <v>45719</v>
      </c>
      <c r="C18969" s="1" t="n">
        <v>45736</v>
      </c>
      <c r="D18969" t="inlineStr">
        <is>
          <t>VÄRMLANDS LÄN</t>
        </is>
      </c>
      <c r="E18969" t="inlineStr">
        <is>
          <t>SÄFFLE</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10129-2025</t>
        </is>
      </c>
      <c r="B18970" s="1" t="n">
        <v>45719</v>
      </c>
      <c r="C18970" s="1" t="n">
        <v>45736</v>
      </c>
      <c r="D18970" t="inlineStr">
        <is>
          <t>VÄRMLANDS LÄN</t>
        </is>
      </c>
      <c r="E18970" t="inlineStr">
        <is>
          <t>ARVIKA</t>
        </is>
      </c>
      <c r="G18970" t="n">
        <v>6.1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10087-2025</t>
        </is>
      </c>
      <c r="B18971" s="1" t="n">
        <v>45719</v>
      </c>
      <c r="C18971" s="1" t="n">
        <v>45736</v>
      </c>
      <c r="D18971" t="inlineStr">
        <is>
          <t>VÄRMLANDS LÄN</t>
        </is>
      </c>
      <c r="E18971" t="inlineStr">
        <is>
          <t>SÄFFLE</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10115-2025</t>
        </is>
      </c>
      <c r="B18972" s="1" t="n">
        <v>45719</v>
      </c>
      <c r="C18972" s="1" t="n">
        <v>45736</v>
      </c>
      <c r="D18972" t="inlineStr">
        <is>
          <t>VÄRMLANDS LÄN</t>
        </is>
      </c>
      <c r="E18972" t="inlineStr">
        <is>
          <t>SÄFFLE</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10108-2025</t>
        </is>
      </c>
      <c r="B18973" s="1" t="n">
        <v>45719</v>
      </c>
      <c r="C18973" s="1" t="n">
        <v>45736</v>
      </c>
      <c r="D18973" t="inlineStr">
        <is>
          <t>VÄRMLANDS LÄN</t>
        </is>
      </c>
      <c r="E18973" t="inlineStr">
        <is>
          <t>TORSBY</t>
        </is>
      </c>
      <c r="F18973" t="inlineStr">
        <is>
          <t>Bergvik skog väst AB</t>
        </is>
      </c>
      <c r="G18973" t="n">
        <v>17.9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10154-2025</t>
        </is>
      </c>
      <c r="B18974" s="1" t="n">
        <v>45719</v>
      </c>
      <c r="C18974" s="1" t="n">
        <v>45736</v>
      </c>
      <c r="D18974" t="inlineStr">
        <is>
          <t>VÄRMLANDS LÄN</t>
        </is>
      </c>
      <c r="E18974" t="inlineStr">
        <is>
          <t>EDA</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10256-2025</t>
        </is>
      </c>
      <c r="B18975" s="1" t="n">
        <v>45720</v>
      </c>
      <c r="C18975" s="1" t="n">
        <v>45736</v>
      </c>
      <c r="D18975" t="inlineStr">
        <is>
          <t>VÄRMLANDS LÄN</t>
        </is>
      </c>
      <c r="E18975" t="inlineStr">
        <is>
          <t>ARVIKA</t>
        </is>
      </c>
      <c r="G18975" t="n">
        <v>6.5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10260-2025</t>
        </is>
      </c>
      <c r="B18976" s="1" t="n">
        <v>45720</v>
      </c>
      <c r="C18976" s="1" t="n">
        <v>45736</v>
      </c>
      <c r="D18976" t="inlineStr">
        <is>
          <t>VÄRMLANDS LÄN</t>
        </is>
      </c>
      <c r="E18976" t="inlineStr">
        <is>
          <t>KARLSTAD</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10264-2025</t>
        </is>
      </c>
      <c r="B18977" s="1" t="n">
        <v>45720</v>
      </c>
      <c r="C18977" s="1" t="n">
        <v>45736</v>
      </c>
      <c r="D18977" t="inlineStr">
        <is>
          <t>VÄRMLANDS LÄN</t>
        </is>
      </c>
      <c r="E18977" t="inlineStr">
        <is>
          <t>KARLSTAD</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10276-2025</t>
        </is>
      </c>
      <c r="B18978" s="1" t="n">
        <v>45720</v>
      </c>
      <c r="C18978" s="1" t="n">
        <v>45736</v>
      </c>
      <c r="D18978" t="inlineStr">
        <is>
          <t>VÄRMLANDS LÄN</t>
        </is>
      </c>
      <c r="E18978" t="inlineStr">
        <is>
          <t>ARVIKA</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10288-2025</t>
        </is>
      </c>
      <c r="B18979" s="1" t="n">
        <v>45720</v>
      </c>
      <c r="C18979" s="1" t="n">
        <v>45736</v>
      </c>
      <c r="D18979" t="inlineStr">
        <is>
          <t>VÄRMLANDS LÄN</t>
        </is>
      </c>
      <c r="E18979" t="inlineStr">
        <is>
          <t>TORSBY</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10292-2025</t>
        </is>
      </c>
      <c r="B18980" s="1" t="n">
        <v>45720</v>
      </c>
      <c r="C18980" s="1" t="n">
        <v>45736</v>
      </c>
      <c r="D18980" t="inlineStr">
        <is>
          <t>VÄRMLANDS LÄN</t>
        </is>
      </c>
      <c r="E18980" t="inlineStr">
        <is>
          <t>TORSBY</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10316-2025</t>
        </is>
      </c>
      <c r="B18981" s="1" t="n">
        <v>45720</v>
      </c>
      <c r="C18981" s="1" t="n">
        <v>45736</v>
      </c>
      <c r="D18981" t="inlineStr">
        <is>
          <t>VÄRMLANDS LÄN</t>
        </is>
      </c>
      <c r="E18981" t="inlineStr">
        <is>
          <t>ARVIKA</t>
        </is>
      </c>
      <c r="G18981" t="n">
        <v>7.5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10259-2025</t>
        </is>
      </c>
      <c r="B18982" s="1" t="n">
        <v>45720</v>
      </c>
      <c r="C18982" s="1" t="n">
        <v>45736</v>
      </c>
      <c r="D18982" t="inlineStr">
        <is>
          <t>VÄRMLANDS LÄN</t>
        </is>
      </c>
      <c r="E18982" t="inlineStr">
        <is>
          <t>KARLSTAD</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10348-2025</t>
        </is>
      </c>
      <c r="B18983" s="1" t="n">
        <v>45720</v>
      </c>
      <c r="C18983" s="1" t="n">
        <v>45736</v>
      </c>
      <c r="D18983" t="inlineStr">
        <is>
          <t>VÄRMLANDS LÄN</t>
        </is>
      </c>
      <c r="E18983" t="inlineStr">
        <is>
          <t>HAGFORS</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10343-2025</t>
        </is>
      </c>
      <c r="B18984" s="1" t="n">
        <v>45720</v>
      </c>
      <c r="C18984" s="1" t="n">
        <v>45736</v>
      </c>
      <c r="D18984" t="inlineStr">
        <is>
          <t>VÄRMLANDS LÄN</t>
        </is>
      </c>
      <c r="E18984" t="inlineStr">
        <is>
          <t>TORSBY</t>
        </is>
      </c>
      <c r="G18984" t="n">
        <v>3.1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10347-2025</t>
        </is>
      </c>
      <c r="B18985" s="1" t="n">
        <v>45720</v>
      </c>
      <c r="C18985" s="1" t="n">
        <v>45736</v>
      </c>
      <c r="D18985" t="inlineStr">
        <is>
          <t>VÄRMLANDS LÄN</t>
        </is>
      </c>
      <c r="E18985" t="inlineStr">
        <is>
          <t>SUNNE</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10249-2025</t>
        </is>
      </c>
      <c r="B18986" s="1" t="n">
        <v>45720</v>
      </c>
      <c r="C18986" s="1" t="n">
        <v>45736</v>
      </c>
      <c r="D18986" t="inlineStr">
        <is>
          <t>VÄRMLANDS LÄN</t>
        </is>
      </c>
      <c r="E18986" t="inlineStr">
        <is>
          <t>ARVIKA</t>
        </is>
      </c>
      <c r="G18986" t="n">
        <v>8.800000000000001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10257-2025</t>
        </is>
      </c>
      <c r="B18987" s="1" t="n">
        <v>45720</v>
      </c>
      <c r="C18987" s="1" t="n">
        <v>45736</v>
      </c>
      <c r="D18987" t="inlineStr">
        <is>
          <t>VÄRMLANDS LÄN</t>
        </is>
      </c>
      <c r="E18987" t="inlineStr">
        <is>
          <t>SUNNE</t>
        </is>
      </c>
      <c r="G18987" t="n">
        <v>10.1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10261-2025</t>
        </is>
      </c>
      <c r="B18988" s="1" t="n">
        <v>45720</v>
      </c>
      <c r="C18988" s="1" t="n">
        <v>45736</v>
      </c>
      <c r="D18988" t="inlineStr">
        <is>
          <t>VÄRMLANDS LÄN</t>
        </is>
      </c>
      <c r="E18988" t="inlineStr">
        <is>
          <t>SUNNE</t>
        </is>
      </c>
      <c r="G18988" t="n">
        <v>5.1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10306-2025</t>
        </is>
      </c>
      <c r="B18989" s="1" t="n">
        <v>45720</v>
      </c>
      <c r="C18989" s="1" t="n">
        <v>45736</v>
      </c>
      <c r="D18989" t="inlineStr">
        <is>
          <t>VÄRMLANDS LÄN</t>
        </is>
      </c>
      <c r="E18989" t="inlineStr">
        <is>
          <t>FILIPSTAD</t>
        </is>
      </c>
      <c r="F18989" t="inlineStr">
        <is>
          <t>Bergvik skog väst AB</t>
        </is>
      </c>
      <c r="G18989" t="n">
        <v>3.1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10297-2025</t>
        </is>
      </c>
      <c r="B18990" s="1" t="n">
        <v>45720</v>
      </c>
      <c r="C18990" s="1" t="n">
        <v>45736</v>
      </c>
      <c r="D18990" t="inlineStr">
        <is>
          <t>VÄRMLANDS LÄN</t>
        </is>
      </c>
      <c r="E18990" t="inlineStr">
        <is>
          <t>HAGFORS</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10338-2025</t>
        </is>
      </c>
      <c r="B18991" s="1" t="n">
        <v>45720</v>
      </c>
      <c r="C18991" s="1" t="n">
        <v>45736</v>
      </c>
      <c r="D18991" t="inlineStr">
        <is>
          <t>VÄRMLANDS LÄN</t>
        </is>
      </c>
      <c r="E18991" t="inlineStr">
        <is>
          <t>FILIPSTAD</t>
        </is>
      </c>
      <c r="F18991" t="inlineStr">
        <is>
          <t>Bergvik skog väst AB</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10342-2025</t>
        </is>
      </c>
      <c r="B18992" s="1" t="n">
        <v>45720</v>
      </c>
      <c r="C18992" s="1" t="n">
        <v>45736</v>
      </c>
      <c r="D18992" t="inlineStr">
        <is>
          <t>VÄRMLANDS LÄN</t>
        </is>
      </c>
      <c r="E18992" t="inlineStr">
        <is>
          <t>TORSBY</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10346-2025</t>
        </is>
      </c>
      <c r="B18993" s="1" t="n">
        <v>45720</v>
      </c>
      <c r="C18993" s="1" t="n">
        <v>45736</v>
      </c>
      <c r="D18993" t="inlineStr">
        <is>
          <t>VÄRMLANDS LÄN</t>
        </is>
      </c>
      <c r="E18993" t="inlineStr">
        <is>
          <t>SUNNE</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10350-2025</t>
        </is>
      </c>
      <c r="B18994" s="1" t="n">
        <v>45720</v>
      </c>
      <c r="C18994" s="1" t="n">
        <v>45736</v>
      </c>
      <c r="D18994" t="inlineStr">
        <is>
          <t>VÄRMLANDS LÄN</t>
        </is>
      </c>
      <c r="E18994" t="inlineStr">
        <is>
          <t>SÄFFLE</t>
        </is>
      </c>
      <c r="F18994" t="inlineStr">
        <is>
          <t>Kyrkan</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10321-2025</t>
        </is>
      </c>
      <c r="B18995" s="1" t="n">
        <v>45720</v>
      </c>
      <c r="C18995" s="1" t="n">
        <v>45736</v>
      </c>
      <c r="D18995" t="inlineStr">
        <is>
          <t>VÄRMLANDS LÄN</t>
        </is>
      </c>
      <c r="E18995" t="inlineStr">
        <is>
          <t>ÅRJÄNG</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10325-2025</t>
        </is>
      </c>
      <c r="B18996" s="1" t="n">
        <v>45720</v>
      </c>
      <c r="C18996" s="1" t="n">
        <v>45736</v>
      </c>
      <c r="D18996" t="inlineStr">
        <is>
          <t>VÄRMLANDS LÄN</t>
        </is>
      </c>
      <c r="E18996" t="inlineStr">
        <is>
          <t>FILIPSTAD</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10354-2025</t>
        </is>
      </c>
      <c r="B18997" s="1" t="n">
        <v>45720</v>
      </c>
      <c r="C18997" s="1" t="n">
        <v>45736</v>
      </c>
      <c r="D18997" t="inlineStr">
        <is>
          <t>VÄRMLANDS LÄN</t>
        </is>
      </c>
      <c r="E18997" t="inlineStr">
        <is>
          <t>SÄFFLE</t>
        </is>
      </c>
      <c r="F18997" t="inlineStr">
        <is>
          <t>Kyrkan</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10382-2025</t>
        </is>
      </c>
      <c r="B18998" s="1" t="n">
        <v>45720</v>
      </c>
      <c r="C18998" s="1" t="n">
        <v>45736</v>
      </c>
      <c r="D18998" t="inlineStr">
        <is>
          <t>VÄRMLANDS LÄN</t>
        </is>
      </c>
      <c r="E18998" t="inlineStr">
        <is>
          <t>HAGFORS</t>
        </is>
      </c>
      <c r="G18998" t="n">
        <v>4.7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10398-2025</t>
        </is>
      </c>
      <c r="B18999" s="1" t="n">
        <v>45720</v>
      </c>
      <c r="C18999" s="1" t="n">
        <v>45736</v>
      </c>
      <c r="D18999" t="inlineStr">
        <is>
          <t>VÄRMLANDS LÄN</t>
        </is>
      </c>
      <c r="E18999" t="inlineStr">
        <is>
          <t>KIL</t>
        </is>
      </c>
      <c r="G18999" t="n">
        <v>4.9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10411-2025</t>
        </is>
      </c>
      <c r="B19000" s="1" t="n">
        <v>45720</v>
      </c>
      <c r="C19000" s="1" t="n">
        <v>45736</v>
      </c>
      <c r="D19000" t="inlineStr">
        <is>
          <t>VÄRMLANDS LÄN</t>
        </is>
      </c>
      <c r="E19000" t="inlineStr">
        <is>
          <t>ARVIKA</t>
        </is>
      </c>
      <c r="F19000" t="inlineStr">
        <is>
          <t>Bergvik skog väst AB</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10456-2025</t>
        </is>
      </c>
      <c r="B19001" s="1" t="n">
        <v>45720</v>
      </c>
      <c r="C19001" s="1" t="n">
        <v>45736</v>
      </c>
      <c r="D19001" t="inlineStr">
        <is>
          <t>VÄRMLANDS LÄN</t>
        </is>
      </c>
      <c r="E19001" t="inlineStr">
        <is>
          <t>TORSBY</t>
        </is>
      </c>
      <c r="G19001" t="n">
        <v>3.6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10329-2025</t>
        </is>
      </c>
      <c r="B19002" s="1" t="n">
        <v>45720</v>
      </c>
      <c r="C19002" s="1" t="n">
        <v>45736</v>
      </c>
      <c r="D19002" t="inlineStr">
        <is>
          <t>VÄRMLANDS LÄN</t>
        </is>
      </c>
      <c r="E19002" t="inlineStr">
        <is>
          <t>TORSBY</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10349-2025</t>
        </is>
      </c>
      <c r="B19003" s="1" t="n">
        <v>45720</v>
      </c>
      <c r="C19003" s="1" t="n">
        <v>45736</v>
      </c>
      <c r="D19003" t="inlineStr">
        <is>
          <t>VÄRMLANDS LÄN</t>
        </is>
      </c>
      <c r="E19003" t="inlineStr">
        <is>
          <t>SUNNE</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10476-2025</t>
        </is>
      </c>
      <c r="B19004" s="1" t="n">
        <v>45720</v>
      </c>
      <c r="C19004" s="1" t="n">
        <v>45736</v>
      </c>
      <c r="D19004" t="inlineStr">
        <is>
          <t>VÄRMLANDS LÄN</t>
        </is>
      </c>
      <c r="E19004" t="inlineStr">
        <is>
          <t>KIL</t>
        </is>
      </c>
      <c r="F19004" t="inlineStr">
        <is>
          <t>Kyrkan</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10473-2025</t>
        </is>
      </c>
      <c r="B19005" s="1" t="n">
        <v>45720</v>
      </c>
      <c r="C19005" s="1" t="n">
        <v>45736</v>
      </c>
      <c r="D19005" t="inlineStr">
        <is>
          <t>VÄRMLANDS LÄN</t>
        </is>
      </c>
      <c r="E19005" t="inlineStr">
        <is>
          <t>SÄFFLE</t>
        </is>
      </c>
      <c r="F19005" t="inlineStr">
        <is>
          <t>Kyrkan</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10404-2025</t>
        </is>
      </c>
      <c r="B19006" s="1" t="n">
        <v>45720</v>
      </c>
      <c r="C19006" s="1" t="n">
        <v>45736</v>
      </c>
      <c r="D19006" t="inlineStr">
        <is>
          <t>VÄRMLANDS LÄN</t>
        </is>
      </c>
      <c r="E19006" t="inlineStr">
        <is>
          <t>ARVIKA</t>
        </is>
      </c>
      <c r="F19006" t="inlineStr">
        <is>
          <t>Bergvik skog väst AB</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10475-2025</t>
        </is>
      </c>
      <c r="B19007" s="1" t="n">
        <v>45720</v>
      </c>
      <c r="C19007" s="1" t="n">
        <v>45736</v>
      </c>
      <c r="D19007" t="inlineStr">
        <is>
          <t>VÄRMLANDS LÄN</t>
        </is>
      </c>
      <c r="E19007" t="inlineStr">
        <is>
          <t>ARVIKA</t>
        </is>
      </c>
      <c r="F19007" t="inlineStr">
        <is>
          <t>Kyrkan</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10484-2025</t>
        </is>
      </c>
      <c r="B19008" s="1" t="n">
        <v>45721</v>
      </c>
      <c r="C19008" s="1" t="n">
        <v>45736</v>
      </c>
      <c r="D19008" t="inlineStr">
        <is>
          <t>VÄRMLANDS LÄN</t>
        </is>
      </c>
      <c r="E19008" t="inlineStr">
        <is>
          <t>ARVIKA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10512-2025</t>
        </is>
      </c>
      <c r="B19009" s="1" t="n">
        <v>45721</v>
      </c>
      <c r="C19009" s="1" t="n">
        <v>45736</v>
      </c>
      <c r="D19009" t="inlineStr">
        <is>
          <t>VÄRMLANDS LÄN</t>
        </is>
      </c>
      <c r="E19009" t="inlineStr">
        <is>
          <t>KARLSTAD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10548-2025</t>
        </is>
      </c>
      <c r="B19010" s="1" t="n">
        <v>45721</v>
      </c>
      <c r="C19010" s="1" t="n">
        <v>45736</v>
      </c>
      <c r="D19010" t="inlineStr">
        <is>
          <t>VÄRMLANDS LÄN</t>
        </is>
      </c>
      <c r="E19010" t="inlineStr">
        <is>
          <t>SUNNE</t>
        </is>
      </c>
      <c r="G19010" t="n">
        <v>0.9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10599-2025</t>
        </is>
      </c>
      <c r="B19011" s="1" t="n">
        <v>45721</v>
      </c>
      <c r="C19011" s="1" t="n">
        <v>45736</v>
      </c>
      <c r="D19011" t="inlineStr">
        <is>
          <t>VÄRMLANDS LÄN</t>
        </is>
      </c>
      <c r="E19011" t="inlineStr">
        <is>
          <t>ARVIKA</t>
        </is>
      </c>
      <c r="F19011" t="inlineStr">
        <is>
          <t>Bergvik skog väst AB</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10481-2025</t>
        </is>
      </c>
      <c r="B19012" s="1" t="n">
        <v>45721</v>
      </c>
      <c r="C19012" s="1" t="n">
        <v>45736</v>
      </c>
      <c r="D19012" t="inlineStr">
        <is>
          <t>VÄRMLANDS LÄN</t>
        </is>
      </c>
      <c r="E19012" t="inlineStr">
        <is>
          <t>SUNNE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10574-2025</t>
        </is>
      </c>
      <c r="B19013" s="1" t="n">
        <v>45721</v>
      </c>
      <c r="C19013" s="1" t="n">
        <v>45736</v>
      </c>
      <c r="D19013" t="inlineStr">
        <is>
          <t>VÄRMLANDS LÄN</t>
        </is>
      </c>
      <c r="E19013" t="inlineStr">
        <is>
          <t>ARVIKA</t>
        </is>
      </c>
      <c r="F19013" t="inlineStr">
        <is>
          <t>Bergvik skog väst AB</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10625-2025</t>
        </is>
      </c>
      <c r="B19014" s="1" t="n">
        <v>45721</v>
      </c>
      <c r="C19014" s="1" t="n">
        <v>45736</v>
      </c>
      <c r="D19014" t="inlineStr">
        <is>
          <t>VÄRMLANDS LÄN</t>
        </is>
      </c>
      <c r="E19014" t="inlineStr">
        <is>
          <t>ÅRJÄNG</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10651-2025</t>
        </is>
      </c>
      <c r="B19015" s="1" t="n">
        <v>45721</v>
      </c>
      <c r="C19015" s="1" t="n">
        <v>45736</v>
      </c>
      <c r="D19015" t="inlineStr">
        <is>
          <t>VÄRMLANDS LÄN</t>
        </is>
      </c>
      <c r="E19015" t="inlineStr">
        <is>
          <t>KARLSTAD</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10650-2025</t>
        </is>
      </c>
      <c r="B19016" s="1" t="n">
        <v>45721</v>
      </c>
      <c r="C19016" s="1" t="n">
        <v>45736</v>
      </c>
      <c r="D19016" t="inlineStr">
        <is>
          <t>VÄRMLANDS LÄN</t>
        </is>
      </c>
      <c r="E19016" t="inlineStr">
        <is>
          <t>KARLSTAD</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10597-2025</t>
        </is>
      </c>
      <c r="B19017" s="1" t="n">
        <v>45721</v>
      </c>
      <c r="C19017" s="1" t="n">
        <v>45736</v>
      </c>
      <c r="D19017" t="inlineStr">
        <is>
          <t>VÄRMLANDS LÄN</t>
        </is>
      </c>
      <c r="E19017" t="inlineStr">
        <is>
          <t>SÄFFLE</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10648-2025</t>
        </is>
      </c>
      <c r="B19018" s="1" t="n">
        <v>45721</v>
      </c>
      <c r="C19018" s="1" t="n">
        <v>45736</v>
      </c>
      <c r="D19018" t="inlineStr">
        <is>
          <t>VÄRMLANDS LÄN</t>
        </is>
      </c>
      <c r="E19018" t="inlineStr">
        <is>
          <t>ARVIKA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10572-2025</t>
        </is>
      </c>
      <c r="B19019" s="1" t="n">
        <v>45721</v>
      </c>
      <c r="C19019" s="1" t="n">
        <v>45736</v>
      </c>
      <c r="D19019" t="inlineStr">
        <is>
          <t>VÄRMLANDS LÄN</t>
        </is>
      </c>
      <c r="E19019" t="inlineStr">
        <is>
          <t>ARVIKA</t>
        </is>
      </c>
      <c r="F19019" t="inlineStr">
        <is>
          <t>Bergvik skog väst AB</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10589-2025</t>
        </is>
      </c>
      <c r="B19020" s="1" t="n">
        <v>45721</v>
      </c>
      <c r="C19020" s="1" t="n">
        <v>45736</v>
      </c>
      <c r="D19020" t="inlineStr">
        <is>
          <t>VÄRMLANDS LÄN</t>
        </is>
      </c>
      <c r="E19020" t="inlineStr">
        <is>
          <t>EDA</t>
        </is>
      </c>
      <c r="G19020" t="n">
        <v>4.4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10602-2025</t>
        </is>
      </c>
      <c r="B19021" s="1" t="n">
        <v>45721</v>
      </c>
      <c r="C19021" s="1" t="n">
        <v>45736</v>
      </c>
      <c r="D19021" t="inlineStr">
        <is>
          <t>VÄRMLANDS LÄN</t>
        </is>
      </c>
      <c r="E19021" t="inlineStr">
        <is>
          <t>EDA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10615-2025</t>
        </is>
      </c>
      <c r="B19022" s="1" t="n">
        <v>45721</v>
      </c>
      <c r="C19022" s="1" t="n">
        <v>45736</v>
      </c>
      <c r="D19022" t="inlineStr">
        <is>
          <t>VÄRMLANDS LÄN</t>
        </is>
      </c>
      <c r="E19022" t="inlineStr">
        <is>
          <t>SUNNE</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10627-2025</t>
        </is>
      </c>
      <c r="B19023" s="1" t="n">
        <v>45721</v>
      </c>
      <c r="C19023" s="1" t="n">
        <v>45736</v>
      </c>
      <c r="D19023" t="inlineStr">
        <is>
          <t>VÄRMLANDS LÄN</t>
        </is>
      </c>
      <c r="E19023" t="inlineStr">
        <is>
          <t>ÅRJÄNG</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10631-2025</t>
        </is>
      </c>
      <c r="B19024" s="1" t="n">
        <v>45721</v>
      </c>
      <c r="C19024" s="1" t="n">
        <v>45736</v>
      </c>
      <c r="D19024" t="inlineStr">
        <is>
          <t>VÄRMLANDS LÄN</t>
        </is>
      </c>
      <c r="E19024" t="inlineStr">
        <is>
          <t>EDA</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10675-2025</t>
        </is>
      </c>
      <c r="B19025" s="1" t="n">
        <v>45721</v>
      </c>
      <c r="C19025" s="1" t="n">
        <v>45736</v>
      </c>
      <c r="D19025" t="inlineStr">
        <is>
          <t>VÄRMLANDS LÄN</t>
        </is>
      </c>
      <c r="E19025" t="inlineStr">
        <is>
          <t>SUNNE</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10733-2025</t>
        </is>
      </c>
      <c r="B19026" s="1" t="n">
        <v>45722</v>
      </c>
      <c r="C19026" s="1" t="n">
        <v>45736</v>
      </c>
      <c r="D19026" t="inlineStr">
        <is>
          <t>VÄRMLANDS LÄN</t>
        </is>
      </c>
      <c r="E19026" t="inlineStr">
        <is>
          <t>EDA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10759-2025</t>
        </is>
      </c>
      <c r="B19027" s="1" t="n">
        <v>45722</v>
      </c>
      <c r="C19027" s="1" t="n">
        <v>45736</v>
      </c>
      <c r="D19027" t="inlineStr">
        <is>
          <t>VÄRMLANDS LÄN</t>
        </is>
      </c>
      <c r="E19027" t="inlineStr">
        <is>
          <t>HAGFORS</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10793-2025</t>
        </is>
      </c>
      <c r="B19028" s="1" t="n">
        <v>45722</v>
      </c>
      <c r="C19028" s="1" t="n">
        <v>45736</v>
      </c>
      <c r="D19028" t="inlineStr">
        <is>
          <t>VÄRMLANDS LÄN</t>
        </is>
      </c>
      <c r="E19028" t="inlineStr">
        <is>
          <t>HAMMARÖ</t>
        </is>
      </c>
      <c r="G19028" t="n">
        <v>0.5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10816-2025</t>
        </is>
      </c>
      <c r="B19029" s="1" t="n">
        <v>45722</v>
      </c>
      <c r="C19029" s="1" t="n">
        <v>45736</v>
      </c>
      <c r="D19029" t="inlineStr">
        <is>
          <t>VÄRMLANDS LÄN</t>
        </is>
      </c>
      <c r="E19029" t="inlineStr">
        <is>
          <t>TORSBY</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10917-2025</t>
        </is>
      </c>
      <c r="B19030" s="1" t="n">
        <v>45722</v>
      </c>
      <c r="C19030" s="1" t="n">
        <v>45736</v>
      </c>
      <c r="D19030" t="inlineStr">
        <is>
          <t>VÄRMLANDS LÄN</t>
        </is>
      </c>
      <c r="E19030" t="inlineStr">
        <is>
          <t>TORSBY</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10915-2025</t>
        </is>
      </c>
      <c r="B19031" s="1" t="n">
        <v>45722</v>
      </c>
      <c r="C19031" s="1" t="n">
        <v>45736</v>
      </c>
      <c r="D19031" t="inlineStr">
        <is>
          <t>VÄRMLANDS LÄN</t>
        </is>
      </c>
      <c r="E19031" t="inlineStr">
        <is>
          <t>SÄFFLE</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10939-2025</t>
        </is>
      </c>
      <c r="B19032" s="1" t="n">
        <v>45723</v>
      </c>
      <c r="C19032" s="1" t="n">
        <v>45736</v>
      </c>
      <c r="D19032" t="inlineStr">
        <is>
          <t>VÄRMLANDS LÄN</t>
        </is>
      </c>
      <c r="E19032" t="inlineStr">
        <is>
          <t>KARLSTAD</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10931-2025</t>
        </is>
      </c>
      <c r="B19033" s="1" t="n">
        <v>45723</v>
      </c>
      <c r="C19033" s="1" t="n">
        <v>45736</v>
      </c>
      <c r="D19033" t="inlineStr">
        <is>
          <t>VÄRMLANDS LÄN</t>
        </is>
      </c>
      <c r="E19033" t="inlineStr">
        <is>
          <t>KARLSTAD</t>
        </is>
      </c>
      <c r="G19033" t="n">
        <v>0.3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10990-2025</t>
        </is>
      </c>
      <c r="B19034" s="1" t="n">
        <v>45723</v>
      </c>
      <c r="C19034" s="1" t="n">
        <v>45736</v>
      </c>
      <c r="D19034" t="inlineStr">
        <is>
          <t>VÄRMLANDS LÄN</t>
        </is>
      </c>
      <c r="E19034" t="inlineStr">
        <is>
          <t>SÄFFLE</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11020-2025</t>
        </is>
      </c>
      <c r="B19035" s="1" t="n">
        <v>45723</v>
      </c>
      <c r="C19035" s="1" t="n">
        <v>45736</v>
      </c>
      <c r="D19035" t="inlineStr">
        <is>
          <t>VÄRMLANDS LÄN</t>
        </is>
      </c>
      <c r="E19035" t="inlineStr">
        <is>
          <t>SÄFFLE</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11079-2025</t>
        </is>
      </c>
      <c r="B19036" s="1" t="n">
        <v>45723</v>
      </c>
      <c r="C19036" s="1" t="n">
        <v>45736</v>
      </c>
      <c r="D19036" t="inlineStr">
        <is>
          <t>VÄRMLANDS LÄN</t>
        </is>
      </c>
      <c r="E19036" t="inlineStr">
        <is>
          <t>EDA</t>
        </is>
      </c>
      <c r="G19036" t="n">
        <v>4.5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11095-2025</t>
        </is>
      </c>
      <c r="B19037" s="1" t="n">
        <v>45723</v>
      </c>
      <c r="C19037" s="1" t="n">
        <v>45736</v>
      </c>
      <c r="D19037" t="inlineStr">
        <is>
          <t>VÄRMLANDS LÄN</t>
        </is>
      </c>
      <c r="E19037" t="inlineStr">
        <is>
          <t>EDA</t>
        </is>
      </c>
      <c r="G19037" t="n">
        <v>4.8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11137-2025</t>
        </is>
      </c>
      <c r="B19038" s="1" t="n">
        <v>45723</v>
      </c>
      <c r="C19038" s="1" t="n">
        <v>45736</v>
      </c>
      <c r="D19038" t="inlineStr">
        <is>
          <t>VÄRMLANDS LÄN</t>
        </is>
      </c>
      <c r="E19038" t="inlineStr">
        <is>
          <t>FILIPSTAD</t>
        </is>
      </c>
      <c r="F19038" t="inlineStr">
        <is>
          <t>Bergvik skog väst AB</t>
        </is>
      </c>
      <c r="G19038" t="n">
        <v>5.2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11068-2025</t>
        </is>
      </c>
      <c r="B19039" s="1" t="n">
        <v>45723</v>
      </c>
      <c r="C19039" s="1" t="n">
        <v>45736</v>
      </c>
      <c r="D19039" t="inlineStr">
        <is>
          <t>VÄRMLANDS LÄN</t>
        </is>
      </c>
      <c r="E19039" t="inlineStr">
        <is>
          <t>FILIPSTAD</t>
        </is>
      </c>
      <c r="F19039" t="inlineStr">
        <is>
          <t>Bergvik skog väst AB</t>
        </is>
      </c>
      <c r="G19039" t="n">
        <v>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10932-2025</t>
        </is>
      </c>
      <c r="B19040" s="1" t="n">
        <v>45723</v>
      </c>
      <c r="C19040" s="1" t="n">
        <v>45736</v>
      </c>
      <c r="D19040" t="inlineStr">
        <is>
          <t>VÄRMLANDS LÄN</t>
        </is>
      </c>
      <c r="E19040" t="inlineStr">
        <is>
          <t>KARLSTAD</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10942-2025</t>
        </is>
      </c>
      <c r="B19041" s="1" t="n">
        <v>45723</v>
      </c>
      <c r="C19041" s="1" t="n">
        <v>45736</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10979-2025</t>
        </is>
      </c>
      <c r="B19042" s="1" t="n">
        <v>45723</v>
      </c>
      <c r="C19042" s="1" t="n">
        <v>45736</v>
      </c>
      <c r="D19042" t="inlineStr">
        <is>
          <t>VÄRMLANDS LÄN</t>
        </is>
      </c>
      <c r="E19042" t="inlineStr">
        <is>
          <t>TORSBY</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11162-2025</t>
        </is>
      </c>
      <c r="B19043" s="1" t="n">
        <v>45723</v>
      </c>
      <c r="C19043" s="1" t="n">
        <v>45736</v>
      </c>
      <c r="D19043" t="inlineStr">
        <is>
          <t>VÄRMLANDS LÄN</t>
        </is>
      </c>
      <c r="E19043" t="inlineStr">
        <is>
          <t>SÄFFLE</t>
        </is>
      </c>
      <c r="G19043" t="n">
        <v>2.2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11102-2025</t>
        </is>
      </c>
      <c r="B19044" s="1" t="n">
        <v>45723</v>
      </c>
      <c r="C19044" s="1" t="n">
        <v>45736</v>
      </c>
      <c r="D19044" t="inlineStr">
        <is>
          <t>VÄRMLANDS LÄN</t>
        </is>
      </c>
      <c r="E19044" t="inlineStr">
        <is>
          <t>EDA</t>
        </is>
      </c>
      <c r="G19044" t="n">
        <v>16.5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11152-2025</t>
        </is>
      </c>
      <c r="B19045" s="1" t="n">
        <v>45723</v>
      </c>
      <c r="C19045" s="1" t="n">
        <v>45736</v>
      </c>
      <c r="D19045" t="inlineStr">
        <is>
          <t>VÄRMLANDS LÄN</t>
        </is>
      </c>
      <c r="E19045" t="inlineStr">
        <is>
          <t>SUNNE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11160-2025</t>
        </is>
      </c>
      <c r="B19046" s="1" t="n">
        <v>45723</v>
      </c>
      <c r="C19046" s="1" t="n">
        <v>45736</v>
      </c>
      <c r="D19046" t="inlineStr">
        <is>
          <t>VÄRMLANDS LÄN</t>
        </is>
      </c>
      <c r="E19046" t="inlineStr">
        <is>
          <t>HAGFORS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11180-2025</t>
        </is>
      </c>
      <c r="B19047" s="1" t="n">
        <v>45725</v>
      </c>
      <c r="C19047" s="1" t="n">
        <v>45736</v>
      </c>
      <c r="D19047" t="inlineStr">
        <is>
          <t>VÄRMLANDS LÄN</t>
        </is>
      </c>
      <c r="E19047" t="inlineStr">
        <is>
          <t>HAGFORS</t>
        </is>
      </c>
      <c r="G19047" t="n">
        <v>0.6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11192-2025</t>
        </is>
      </c>
      <c r="B19048" s="1" t="n">
        <v>45725</v>
      </c>
      <c r="C19048" s="1" t="n">
        <v>45736</v>
      </c>
      <c r="D19048" t="inlineStr">
        <is>
          <t>VÄRMLANDS LÄN</t>
        </is>
      </c>
      <c r="E19048" t="inlineStr">
        <is>
          <t>KARLSTAD</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11392-2025</t>
        </is>
      </c>
      <c r="B19049" s="1" t="n">
        <v>45725</v>
      </c>
      <c r="C19049" s="1" t="n">
        <v>45736</v>
      </c>
      <c r="D19049" t="inlineStr">
        <is>
          <t>VÄRMLANDS LÄN</t>
        </is>
      </c>
      <c r="E19049" t="inlineStr">
        <is>
          <t>SÄFFLE</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11194-2025</t>
        </is>
      </c>
      <c r="B19050" s="1" t="n">
        <v>45725</v>
      </c>
      <c r="C19050" s="1" t="n">
        <v>45736</v>
      </c>
      <c r="D19050" t="inlineStr">
        <is>
          <t>VÄRMLANDS LÄN</t>
        </is>
      </c>
      <c r="E19050" t="inlineStr">
        <is>
          <t>KARLSTAD</t>
        </is>
      </c>
      <c r="G19050" t="n">
        <v>5.3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11198-2025</t>
        </is>
      </c>
      <c r="B19051" s="1" t="n">
        <v>45725</v>
      </c>
      <c r="C19051" s="1" t="n">
        <v>45736</v>
      </c>
      <c r="D19051" t="inlineStr">
        <is>
          <t>VÄRMLANDS LÄN</t>
        </is>
      </c>
      <c r="E19051" t="inlineStr">
        <is>
          <t>ÅRJÄNG</t>
        </is>
      </c>
      <c r="G19051" t="n">
        <v>3.5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11183-2025</t>
        </is>
      </c>
      <c r="B19052" s="1" t="n">
        <v>45725</v>
      </c>
      <c r="C19052" s="1" t="n">
        <v>45736</v>
      </c>
      <c r="D19052" t="inlineStr">
        <is>
          <t>VÄRMLANDS LÄN</t>
        </is>
      </c>
      <c r="E19052" t="inlineStr">
        <is>
          <t>MUNKFORS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11191-2025</t>
        </is>
      </c>
      <c r="B19053" s="1" t="n">
        <v>45725</v>
      </c>
      <c r="C19053" s="1" t="n">
        <v>45736</v>
      </c>
      <c r="D19053" t="inlineStr">
        <is>
          <t>VÄRMLANDS LÄN</t>
        </is>
      </c>
      <c r="E19053" t="inlineStr">
        <is>
          <t>KARLSTAD</t>
        </is>
      </c>
      <c r="G19053" t="n">
        <v>6.8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11195-2025</t>
        </is>
      </c>
      <c r="B19054" s="1" t="n">
        <v>45725</v>
      </c>
      <c r="C19054" s="1" t="n">
        <v>45736</v>
      </c>
      <c r="D19054" t="inlineStr">
        <is>
          <t>VÄRMLANDS LÄN</t>
        </is>
      </c>
      <c r="E19054" t="inlineStr">
        <is>
          <t>TORSBY</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11241-2025</t>
        </is>
      </c>
      <c r="B19055" s="1" t="n">
        <v>45726</v>
      </c>
      <c r="C19055" s="1" t="n">
        <v>45736</v>
      </c>
      <c r="D19055" t="inlineStr">
        <is>
          <t>VÄRMLANDS LÄN</t>
        </is>
      </c>
      <c r="E19055" t="inlineStr">
        <is>
          <t>FILIPSTAD</t>
        </is>
      </c>
      <c r="F19055" t="inlineStr">
        <is>
          <t>Bergvik skog väst AB</t>
        </is>
      </c>
      <c r="G19055" t="n">
        <v>3.4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11321-2025</t>
        </is>
      </c>
      <c r="B19056" s="1" t="n">
        <v>45726</v>
      </c>
      <c r="C19056" s="1" t="n">
        <v>45736</v>
      </c>
      <c r="D19056" t="inlineStr">
        <is>
          <t>VÄRMLANDS LÄN</t>
        </is>
      </c>
      <c r="E19056" t="inlineStr">
        <is>
          <t>ARVIKA</t>
        </is>
      </c>
      <c r="G19056" t="n">
        <v>0.5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11230-2025</t>
        </is>
      </c>
      <c r="B19057" s="1" t="n">
        <v>45726</v>
      </c>
      <c r="C19057" s="1" t="n">
        <v>45736</v>
      </c>
      <c r="D19057" t="inlineStr">
        <is>
          <t>VÄRMLANDS LÄN</t>
        </is>
      </c>
      <c r="E19057" t="inlineStr">
        <is>
          <t>ARVIKA</t>
        </is>
      </c>
      <c r="F19057" t="inlineStr">
        <is>
          <t>Bergvik skog väst AB</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11242-2025</t>
        </is>
      </c>
      <c r="B19058" s="1" t="n">
        <v>45726</v>
      </c>
      <c r="C19058" s="1" t="n">
        <v>45736</v>
      </c>
      <c r="D19058" t="inlineStr">
        <is>
          <t>VÄRMLANDS LÄN</t>
        </is>
      </c>
      <c r="E19058" t="inlineStr">
        <is>
          <t>SUNNE</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11290-2025</t>
        </is>
      </c>
      <c r="B19059" s="1" t="n">
        <v>45726</v>
      </c>
      <c r="C19059" s="1" t="n">
        <v>45736</v>
      </c>
      <c r="D19059" t="inlineStr">
        <is>
          <t>VÄRMLANDS LÄN</t>
        </is>
      </c>
      <c r="E19059" t="inlineStr">
        <is>
          <t>STORFORS</t>
        </is>
      </c>
      <c r="G19059" t="n">
        <v>4.1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11402-2025</t>
        </is>
      </c>
      <c r="B19060" s="1" t="n">
        <v>45726</v>
      </c>
      <c r="C19060" s="1" t="n">
        <v>45736</v>
      </c>
      <c r="D19060" t="inlineStr">
        <is>
          <t>VÄRMLANDS LÄN</t>
        </is>
      </c>
      <c r="E19060" t="inlineStr">
        <is>
          <t>FORSHAGA</t>
        </is>
      </c>
      <c r="F19060" t="inlineStr">
        <is>
          <t>Bergvik skog väst AB</t>
        </is>
      </c>
      <c r="G19060" t="n">
        <v>28.1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45736</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45736</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11419-2025</t>
        </is>
      </c>
      <c r="B19063" s="1" t="n">
        <v>45726</v>
      </c>
      <c r="C19063" s="1" t="n">
        <v>45736</v>
      </c>
      <c r="D19063" t="inlineStr">
        <is>
          <t>VÄRMLANDS LÄN</t>
        </is>
      </c>
      <c r="E19063" t="inlineStr">
        <is>
          <t>HAGFORS</t>
        </is>
      </c>
      <c r="F19063" t="inlineStr">
        <is>
          <t>Bergvik skog väst AB</t>
        </is>
      </c>
      <c r="G19063" t="n">
        <v>9.800000000000001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11427-2025</t>
        </is>
      </c>
      <c r="B19064" s="1" t="n">
        <v>45726</v>
      </c>
      <c r="C19064" s="1" t="n">
        <v>45736</v>
      </c>
      <c r="D19064" t="inlineStr">
        <is>
          <t>VÄRMLANDS LÄN</t>
        </is>
      </c>
      <c r="E19064" t="inlineStr">
        <is>
          <t>TORSBY</t>
        </is>
      </c>
      <c r="G19064" t="n">
        <v>2.8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11431-2025</t>
        </is>
      </c>
      <c r="B19065" s="1" t="n">
        <v>45726</v>
      </c>
      <c r="C19065" s="1" t="n">
        <v>45736</v>
      </c>
      <c r="D19065" t="inlineStr">
        <is>
          <t>VÄRMLANDS LÄN</t>
        </is>
      </c>
      <c r="E19065" t="inlineStr">
        <is>
          <t>TORSBY</t>
        </is>
      </c>
      <c r="G19065" t="n">
        <v>10.2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11326-2025</t>
        </is>
      </c>
      <c r="B19066" s="1" t="n">
        <v>45726</v>
      </c>
      <c r="C19066" s="1" t="n">
        <v>45736</v>
      </c>
      <c r="D19066" t="inlineStr">
        <is>
          <t>VÄRMLANDS LÄN</t>
        </is>
      </c>
      <c r="E19066" t="inlineStr">
        <is>
          <t>HAGFORS</t>
        </is>
      </c>
      <c r="F19066" t="inlineStr">
        <is>
          <t>Bergvik skog väst AB</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11330-2025</t>
        </is>
      </c>
      <c r="B19067" s="1" t="n">
        <v>45726</v>
      </c>
      <c r="C19067" s="1" t="n">
        <v>45736</v>
      </c>
      <c r="D19067" t="inlineStr">
        <is>
          <t>VÄRMLANDS LÄN</t>
        </is>
      </c>
      <c r="E19067" t="inlineStr">
        <is>
          <t>EDA</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11342-2025</t>
        </is>
      </c>
      <c r="B19068" s="1" t="n">
        <v>45726</v>
      </c>
      <c r="C19068" s="1" t="n">
        <v>45736</v>
      </c>
      <c r="D19068" t="inlineStr">
        <is>
          <t>VÄRMLANDS LÄN</t>
        </is>
      </c>
      <c r="E19068" t="inlineStr">
        <is>
          <t>ARVIKA</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11367-2025</t>
        </is>
      </c>
      <c r="B19069" s="1" t="n">
        <v>45726</v>
      </c>
      <c r="C19069" s="1" t="n">
        <v>45736</v>
      </c>
      <c r="D19069" t="inlineStr">
        <is>
          <t>VÄRMLANDS LÄN</t>
        </is>
      </c>
      <c r="E19069" t="inlineStr">
        <is>
          <t>HAGFORS</t>
        </is>
      </c>
      <c r="F19069" t="inlineStr">
        <is>
          <t>Bergvik skog väst AB</t>
        </is>
      </c>
      <c r="G19069" t="n">
        <v>3.1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11395-2025</t>
        </is>
      </c>
      <c r="B19070" s="1" t="n">
        <v>45726</v>
      </c>
      <c r="C19070" s="1" t="n">
        <v>45736</v>
      </c>
      <c r="D19070" t="inlineStr">
        <is>
          <t>VÄRMLANDS LÄN</t>
        </is>
      </c>
      <c r="E19070" t="inlineStr">
        <is>
          <t>TORSBY</t>
        </is>
      </c>
      <c r="G19070" t="n">
        <v>25.3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11448-2025</t>
        </is>
      </c>
      <c r="B19071" s="1" t="n">
        <v>45726</v>
      </c>
      <c r="C19071" s="1" t="n">
        <v>45736</v>
      </c>
      <c r="D19071" t="inlineStr">
        <is>
          <t>VÄRMLANDS LÄN</t>
        </is>
      </c>
      <c r="E19071" t="inlineStr">
        <is>
          <t>HAGFORS</t>
        </is>
      </c>
      <c r="F19071" t="inlineStr">
        <is>
          <t>Bergvik skog väst AB</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11360-2025</t>
        </is>
      </c>
      <c r="B19072" s="1" t="n">
        <v>45726</v>
      </c>
      <c r="C19072" s="1" t="n">
        <v>45736</v>
      </c>
      <c r="D19072" t="inlineStr">
        <is>
          <t>VÄRMLANDS LÄN</t>
        </is>
      </c>
      <c r="E19072" t="inlineStr">
        <is>
          <t>HAGFORS</t>
        </is>
      </c>
      <c r="F19072" t="inlineStr">
        <is>
          <t>Bergvik skog väst AB</t>
        </is>
      </c>
      <c r="G19072" t="n">
        <v>13.3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11400-2025</t>
        </is>
      </c>
      <c r="B19073" s="1" t="n">
        <v>45726</v>
      </c>
      <c r="C19073" s="1" t="n">
        <v>45736</v>
      </c>
      <c r="D19073" t="inlineStr">
        <is>
          <t>VÄRMLANDS LÄN</t>
        </is>
      </c>
      <c r="E19073" t="inlineStr">
        <is>
          <t>EDA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11453-2025</t>
        </is>
      </c>
      <c r="B19074" s="1" t="n">
        <v>45726</v>
      </c>
      <c r="C19074" s="1" t="n">
        <v>45736</v>
      </c>
      <c r="D19074" t="inlineStr">
        <is>
          <t>VÄRMLANDS LÄN</t>
        </is>
      </c>
      <c r="E19074" t="inlineStr">
        <is>
          <t>FILIPSTAD</t>
        </is>
      </c>
      <c r="G19074" t="n">
        <v>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11401-2025</t>
        </is>
      </c>
      <c r="B19075" s="1" t="n">
        <v>45726</v>
      </c>
      <c r="C19075" s="1" t="n">
        <v>45736</v>
      </c>
      <c r="D19075" t="inlineStr">
        <is>
          <t>VÄRMLANDS LÄN</t>
        </is>
      </c>
      <c r="E19075" t="inlineStr">
        <is>
          <t>ÅRJÄNG</t>
        </is>
      </c>
      <c r="G19075" t="n">
        <v>0.4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11406-2025</t>
        </is>
      </c>
      <c r="B19076" s="1" t="n">
        <v>45726</v>
      </c>
      <c r="C19076" s="1" t="n">
        <v>45736</v>
      </c>
      <c r="D19076" t="inlineStr">
        <is>
          <t>VÄRMLANDS LÄN</t>
        </is>
      </c>
      <c r="E19076" t="inlineStr">
        <is>
          <t>TORSBY</t>
        </is>
      </c>
      <c r="G19076" t="n">
        <v>29.3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11514-2025</t>
        </is>
      </c>
      <c r="B19077" s="1" t="n">
        <v>45726</v>
      </c>
      <c r="C19077" s="1" t="n">
        <v>45736</v>
      </c>
      <c r="D19077" t="inlineStr">
        <is>
          <t>VÄRMLANDS LÄN</t>
        </is>
      </c>
      <c r="E19077" t="inlineStr">
        <is>
          <t>FILIPSTAD</t>
        </is>
      </c>
      <c r="G19077" t="n">
        <v>8.199999999999999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11569-2025</t>
        </is>
      </c>
      <c r="B19078" s="1" t="n">
        <v>45727</v>
      </c>
      <c r="C19078" s="1" t="n">
        <v>45736</v>
      </c>
      <c r="D19078" t="inlineStr">
        <is>
          <t>VÄRMLANDS LÄN</t>
        </is>
      </c>
      <c r="E19078" t="inlineStr">
        <is>
          <t>TORSBY</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11558-2025</t>
        </is>
      </c>
      <c r="B19079" s="1" t="n">
        <v>45727</v>
      </c>
      <c r="C19079" s="1" t="n">
        <v>45736</v>
      </c>
      <c r="D19079" t="inlineStr">
        <is>
          <t>VÄRMLANDS LÄN</t>
        </is>
      </c>
      <c r="E19079" t="inlineStr">
        <is>
          <t>KIL</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11562-2025</t>
        </is>
      </c>
      <c r="B19080" s="1" t="n">
        <v>45727</v>
      </c>
      <c r="C19080" s="1" t="n">
        <v>45736</v>
      </c>
      <c r="D19080" t="inlineStr">
        <is>
          <t>VÄRMLANDS LÄN</t>
        </is>
      </c>
      <c r="E19080" t="inlineStr">
        <is>
          <t>ARVIKA</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11581-2025</t>
        </is>
      </c>
      <c r="B19081" s="1" t="n">
        <v>45727</v>
      </c>
      <c r="C19081" s="1" t="n">
        <v>45736</v>
      </c>
      <c r="D19081" t="inlineStr">
        <is>
          <t>VÄRMLANDS LÄN</t>
        </is>
      </c>
      <c r="E19081" t="inlineStr">
        <is>
          <t>TORSBY</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11671-2025</t>
        </is>
      </c>
      <c r="B19082" s="1" t="n">
        <v>45727</v>
      </c>
      <c r="C19082" s="1" t="n">
        <v>45736</v>
      </c>
      <c r="D19082" t="inlineStr">
        <is>
          <t>VÄRMLANDS LÄN</t>
        </is>
      </c>
      <c r="E19082" t="inlineStr">
        <is>
          <t>ARVIKA</t>
        </is>
      </c>
      <c r="F19082" t="inlineStr">
        <is>
          <t>Bergvik skog väst AB</t>
        </is>
      </c>
      <c r="G19082" t="n">
        <v>6.7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11737-2025</t>
        </is>
      </c>
      <c r="B19083" s="1" t="n">
        <v>45727</v>
      </c>
      <c r="C19083" s="1" t="n">
        <v>45736</v>
      </c>
      <c r="D19083" t="inlineStr">
        <is>
          <t>VÄRMLANDS LÄN</t>
        </is>
      </c>
      <c r="E19083" t="inlineStr">
        <is>
          <t>SÄFFLE</t>
        </is>
      </c>
      <c r="G19083" t="n">
        <v>11.4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11670-2025</t>
        </is>
      </c>
      <c r="B19084" s="1" t="n">
        <v>45727</v>
      </c>
      <c r="C19084" s="1" t="n">
        <v>45736</v>
      </c>
      <c r="D19084" t="inlineStr">
        <is>
          <t>VÄRMLANDS LÄN</t>
        </is>
      </c>
      <c r="E19084" t="inlineStr">
        <is>
          <t>TORSBY</t>
        </is>
      </c>
      <c r="G19084" t="n">
        <v>10.9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11765-2025</t>
        </is>
      </c>
      <c r="B19085" s="1" t="n">
        <v>45727</v>
      </c>
      <c r="C19085" s="1" t="n">
        <v>45736</v>
      </c>
      <c r="D19085" t="inlineStr">
        <is>
          <t>VÄRMLANDS LÄN</t>
        </is>
      </c>
      <c r="E19085" t="inlineStr">
        <is>
          <t>FORSHAGA</t>
        </is>
      </c>
      <c r="F19085" t="inlineStr">
        <is>
          <t>Bergvik skog väst AB</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11744-2025</t>
        </is>
      </c>
      <c r="B19086" s="1" t="n">
        <v>45727</v>
      </c>
      <c r="C19086" s="1" t="n">
        <v>45736</v>
      </c>
      <c r="D19086" t="inlineStr">
        <is>
          <t>VÄRMLANDS LÄN</t>
        </is>
      </c>
      <c r="E19086" t="inlineStr">
        <is>
          <t>SÄFFLE</t>
        </is>
      </c>
      <c r="G19086" t="n">
        <v>5.8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11647-2025</t>
        </is>
      </c>
      <c r="B19087" s="1" t="n">
        <v>45727</v>
      </c>
      <c r="C19087" s="1" t="n">
        <v>45736</v>
      </c>
      <c r="D19087" t="inlineStr">
        <is>
          <t>VÄRMLANDS LÄN</t>
        </is>
      </c>
      <c r="E19087" t="inlineStr">
        <is>
          <t>ARVIKA</t>
        </is>
      </c>
      <c r="G19087" t="n">
        <v>9.9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11597-2025</t>
        </is>
      </c>
      <c r="B19088" s="1" t="n">
        <v>45727</v>
      </c>
      <c r="C19088" s="1" t="n">
        <v>45736</v>
      </c>
      <c r="D19088" t="inlineStr">
        <is>
          <t>VÄRMLANDS LÄN</t>
        </is>
      </c>
      <c r="E19088" t="inlineStr">
        <is>
          <t>GRUMS</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11601-2025</t>
        </is>
      </c>
      <c r="B19089" s="1" t="n">
        <v>45727</v>
      </c>
      <c r="C19089" s="1" t="n">
        <v>45736</v>
      </c>
      <c r="D19089" t="inlineStr">
        <is>
          <t>VÄRMLANDS LÄN</t>
        </is>
      </c>
      <c r="E19089" t="inlineStr">
        <is>
          <t>GRUMS</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11658-2025</t>
        </is>
      </c>
      <c r="B19090" s="1" t="n">
        <v>45727</v>
      </c>
      <c r="C19090" s="1" t="n">
        <v>45736</v>
      </c>
      <c r="D19090" t="inlineStr">
        <is>
          <t>VÄRMLANDS LÄN</t>
        </is>
      </c>
      <c r="E19090" t="inlineStr">
        <is>
          <t>ARVIKA</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11672-2025</t>
        </is>
      </c>
      <c r="B19091" s="1" t="n">
        <v>45727</v>
      </c>
      <c r="C19091" s="1" t="n">
        <v>45736</v>
      </c>
      <c r="D19091" t="inlineStr">
        <is>
          <t>VÄRMLANDS LÄN</t>
        </is>
      </c>
      <c r="E19091" t="inlineStr">
        <is>
          <t>TORSBY</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11677-2025</t>
        </is>
      </c>
      <c r="B19092" s="1" t="n">
        <v>45727</v>
      </c>
      <c r="C19092" s="1" t="n">
        <v>45736</v>
      </c>
      <c r="D19092" t="inlineStr">
        <is>
          <t>VÄRMLANDS LÄN</t>
        </is>
      </c>
      <c r="E19092" t="inlineStr">
        <is>
          <t>TORSBY</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11682-2025</t>
        </is>
      </c>
      <c r="B19093" s="1" t="n">
        <v>45727</v>
      </c>
      <c r="C19093" s="1" t="n">
        <v>45736</v>
      </c>
      <c r="D19093" t="inlineStr">
        <is>
          <t>VÄRMLANDS LÄN</t>
        </is>
      </c>
      <c r="E19093" t="inlineStr">
        <is>
          <t>KARLSTAD</t>
        </is>
      </c>
      <c r="F19093" t="inlineStr">
        <is>
          <t>Bergvik skog väst AB</t>
        </is>
      </c>
      <c r="G19093" t="n">
        <v>8.800000000000001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11686-2025</t>
        </is>
      </c>
      <c r="B19094" s="1" t="n">
        <v>45727</v>
      </c>
      <c r="C19094" s="1" t="n">
        <v>45736</v>
      </c>
      <c r="D19094" t="inlineStr">
        <is>
          <t>VÄRMLANDS LÄN</t>
        </is>
      </c>
      <c r="E19094" t="inlineStr">
        <is>
          <t>KARLSTAD</t>
        </is>
      </c>
      <c r="F19094" t="inlineStr">
        <is>
          <t>Naturvårdsverket</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11704-2025</t>
        </is>
      </c>
      <c r="B19095" s="1" t="n">
        <v>45727</v>
      </c>
      <c r="C19095" s="1" t="n">
        <v>45736</v>
      </c>
      <c r="D19095" t="inlineStr">
        <is>
          <t>VÄRMLANDS LÄN</t>
        </is>
      </c>
      <c r="E19095" t="inlineStr">
        <is>
          <t>ÅRJÄNG</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11709-2025</t>
        </is>
      </c>
      <c r="B19096" s="1" t="n">
        <v>45727</v>
      </c>
      <c r="C19096" s="1" t="n">
        <v>45736</v>
      </c>
      <c r="D19096" t="inlineStr">
        <is>
          <t>VÄRMLANDS LÄN</t>
        </is>
      </c>
      <c r="E19096" t="inlineStr">
        <is>
          <t>SUNNE</t>
        </is>
      </c>
      <c r="G19096" t="n">
        <v>11.6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45736</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45736</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11815-2025</t>
        </is>
      </c>
      <c r="B19099" s="1" t="n">
        <v>45728</v>
      </c>
      <c r="C19099" s="1" t="n">
        <v>45736</v>
      </c>
      <c r="D19099" t="inlineStr">
        <is>
          <t>VÄRMLANDS LÄN</t>
        </is>
      </c>
      <c r="E19099" t="inlineStr">
        <is>
          <t>ÅRJÄNG</t>
        </is>
      </c>
      <c r="G19099" t="n">
        <v>2.2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11813-2025</t>
        </is>
      </c>
      <c r="B19100" s="1" t="n">
        <v>45728</v>
      </c>
      <c r="C19100" s="1" t="n">
        <v>45736</v>
      </c>
      <c r="D19100" t="inlineStr">
        <is>
          <t>VÄRMLANDS LÄN</t>
        </is>
      </c>
      <c r="E19100" t="inlineStr">
        <is>
          <t>ÅRJÄNG</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11868-2025</t>
        </is>
      </c>
      <c r="B19101" s="1" t="n">
        <v>45728</v>
      </c>
      <c r="C19101" s="1" t="n">
        <v>45736</v>
      </c>
      <c r="D19101" t="inlineStr">
        <is>
          <t>VÄRMLANDS LÄN</t>
        </is>
      </c>
      <c r="E19101" t="inlineStr">
        <is>
          <t>TORSBY</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11872-2025</t>
        </is>
      </c>
      <c r="B19102" s="1" t="n">
        <v>45728</v>
      </c>
      <c r="C19102" s="1" t="n">
        <v>45736</v>
      </c>
      <c r="D19102" t="inlineStr">
        <is>
          <t>VÄRMLANDS LÄN</t>
        </is>
      </c>
      <c r="E19102" t="inlineStr">
        <is>
          <t>TORSBY</t>
        </is>
      </c>
      <c r="G19102" t="n">
        <v>7.4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11880-2025</t>
        </is>
      </c>
      <c r="B19103" s="1" t="n">
        <v>45728</v>
      </c>
      <c r="C19103" s="1" t="n">
        <v>45736</v>
      </c>
      <c r="D19103" t="inlineStr">
        <is>
          <t>VÄRMLANDS LÄN</t>
        </is>
      </c>
      <c r="E19103" t="inlineStr">
        <is>
          <t>ÅRJÄNG</t>
        </is>
      </c>
      <c r="F19103" t="inlineStr">
        <is>
          <t>Övriga Aktiebolag</t>
        </is>
      </c>
      <c r="G19103" t="n">
        <v>4.8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11862-2025</t>
        </is>
      </c>
      <c r="B19104" s="1" t="n">
        <v>45728</v>
      </c>
      <c r="C19104" s="1" t="n">
        <v>45736</v>
      </c>
      <c r="D19104" t="inlineStr">
        <is>
          <t>VÄRMLANDS LÄN</t>
        </is>
      </c>
      <c r="E19104" t="inlineStr">
        <is>
          <t>KIL</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11870-2025</t>
        </is>
      </c>
      <c r="B19105" s="1" t="n">
        <v>45728</v>
      </c>
      <c r="C19105" s="1" t="n">
        <v>45736</v>
      </c>
      <c r="D19105" t="inlineStr">
        <is>
          <t>VÄRMLANDS LÄN</t>
        </is>
      </c>
      <c r="E19105" t="inlineStr">
        <is>
          <t>GRUMS</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11874-2025</t>
        </is>
      </c>
      <c r="B19106" s="1" t="n">
        <v>45728</v>
      </c>
      <c r="C19106" s="1" t="n">
        <v>45736</v>
      </c>
      <c r="D19106" t="inlineStr">
        <is>
          <t>VÄRMLANDS LÄN</t>
        </is>
      </c>
      <c r="E19106" t="inlineStr">
        <is>
          <t>ÅRJÄNG</t>
        </is>
      </c>
      <c r="F19106" t="inlineStr">
        <is>
          <t>Övriga Aktiebolag</t>
        </is>
      </c>
      <c r="G19106" t="n">
        <v>3.5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45736</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45736</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11890-2025</t>
        </is>
      </c>
      <c r="B19109" s="1" t="n">
        <v>45728</v>
      </c>
      <c r="C19109" s="1" t="n">
        <v>45736</v>
      </c>
      <c r="D19109" t="inlineStr">
        <is>
          <t>VÄRMLANDS LÄN</t>
        </is>
      </c>
      <c r="E19109" t="inlineStr">
        <is>
          <t>ARVIKA</t>
        </is>
      </c>
      <c r="G19109" t="n">
        <v>1.5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11898-2025</t>
        </is>
      </c>
      <c r="B19110" s="1" t="n">
        <v>45728</v>
      </c>
      <c r="C19110" s="1" t="n">
        <v>45736</v>
      </c>
      <c r="D19110" t="inlineStr">
        <is>
          <t>VÄRMLANDS LÄN</t>
        </is>
      </c>
      <c r="E19110" t="inlineStr">
        <is>
          <t>ARVIKA</t>
        </is>
      </c>
      <c r="G19110" t="n">
        <v>0.7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11919-2025</t>
        </is>
      </c>
      <c r="B19111" s="1" t="n">
        <v>45728</v>
      </c>
      <c r="C19111" s="1" t="n">
        <v>45736</v>
      </c>
      <c r="D19111" t="inlineStr">
        <is>
          <t>VÄRMLANDS LÄN</t>
        </is>
      </c>
      <c r="E19111" t="inlineStr">
        <is>
          <t>SÄFFLE</t>
        </is>
      </c>
      <c r="G19111" t="n">
        <v>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11935-2025</t>
        </is>
      </c>
      <c r="B19112" s="1" t="n">
        <v>45728</v>
      </c>
      <c r="C19112" s="1" t="n">
        <v>45736</v>
      </c>
      <c r="D19112" t="inlineStr">
        <is>
          <t>VÄRMLANDS LÄN</t>
        </is>
      </c>
      <c r="E19112" t="inlineStr">
        <is>
          <t>SÄFFLE</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11963-2025</t>
        </is>
      </c>
      <c r="B19113" s="1" t="n">
        <v>45728</v>
      </c>
      <c r="C19113" s="1" t="n">
        <v>45736</v>
      </c>
      <c r="D19113" t="inlineStr">
        <is>
          <t>VÄRMLANDS LÄN</t>
        </is>
      </c>
      <c r="E19113" t="inlineStr">
        <is>
          <t>TORSBY</t>
        </is>
      </c>
      <c r="G19113" t="n">
        <v>23.4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11913-2025</t>
        </is>
      </c>
      <c r="B19114" s="1" t="n">
        <v>45728</v>
      </c>
      <c r="C19114" s="1" t="n">
        <v>45736</v>
      </c>
      <c r="D19114" t="inlineStr">
        <is>
          <t>VÄRMLANDS LÄN</t>
        </is>
      </c>
      <c r="E19114" t="inlineStr">
        <is>
          <t>ARVIKA</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11895-2025</t>
        </is>
      </c>
      <c r="B19115" s="1" t="n">
        <v>45728</v>
      </c>
      <c r="C19115" s="1" t="n">
        <v>45736</v>
      </c>
      <c r="D19115" t="inlineStr">
        <is>
          <t>VÄRMLANDS LÄN</t>
        </is>
      </c>
      <c r="E19115" t="inlineStr">
        <is>
          <t>KARLSTAD</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11899-2025</t>
        </is>
      </c>
      <c r="B19116" s="1" t="n">
        <v>45728</v>
      </c>
      <c r="C19116" s="1" t="n">
        <v>45736</v>
      </c>
      <c r="D19116" t="inlineStr">
        <is>
          <t>VÄRMLANDS LÄN</t>
        </is>
      </c>
      <c r="E19116" t="inlineStr">
        <is>
          <t>ÅRJÄNG</t>
        </is>
      </c>
      <c r="G19116" t="n">
        <v>3.9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11904-2025</t>
        </is>
      </c>
      <c r="B19117" s="1" t="n">
        <v>45728</v>
      </c>
      <c r="C19117" s="1" t="n">
        <v>45736</v>
      </c>
      <c r="D19117" t="inlineStr">
        <is>
          <t>VÄRMLANDS LÄN</t>
        </is>
      </c>
      <c r="E19117" t="inlineStr">
        <is>
          <t>SÄFFLE</t>
        </is>
      </c>
      <c r="G19117" t="n">
        <v>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11842-2025</t>
        </is>
      </c>
      <c r="B19118" s="1" t="n">
        <v>45728</v>
      </c>
      <c r="C19118" s="1" t="n">
        <v>45736</v>
      </c>
      <c r="D19118" t="inlineStr">
        <is>
          <t>VÄRMLANDS LÄN</t>
        </is>
      </c>
      <c r="E19118" t="inlineStr">
        <is>
          <t>TORSBY</t>
        </is>
      </c>
      <c r="F19118" t="inlineStr">
        <is>
          <t>Bergvik skog väst AB</t>
        </is>
      </c>
      <c r="G19118" t="n">
        <v>32.1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11885-2025</t>
        </is>
      </c>
      <c r="B19119" s="1" t="n">
        <v>45728</v>
      </c>
      <c r="C19119" s="1" t="n">
        <v>45736</v>
      </c>
      <c r="D19119" t="inlineStr">
        <is>
          <t>VÄRMLANDS LÄN</t>
        </is>
      </c>
      <c r="E19119" t="inlineStr">
        <is>
          <t>GRUMS</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11910-2025</t>
        </is>
      </c>
      <c r="B19120" s="1" t="n">
        <v>45728</v>
      </c>
      <c r="C19120" s="1" t="n">
        <v>45736</v>
      </c>
      <c r="D19120" t="inlineStr">
        <is>
          <t>VÄRMLANDS LÄN</t>
        </is>
      </c>
      <c r="E19120" t="inlineStr">
        <is>
          <t>SÄFFLE</t>
        </is>
      </c>
      <c r="G19120" t="n">
        <v>6.5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11914-2025</t>
        </is>
      </c>
      <c r="B19121" s="1" t="n">
        <v>45728</v>
      </c>
      <c r="C19121" s="1" t="n">
        <v>45736</v>
      </c>
      <c r="D19121" t="inlineStr">
        <is>
          <t>VÄRMLANDS LÄN</t>
        </is>
      </c>
      <c r="E19121" t="inlineStr">
        <is>
          <t>SÄFFLE</t>
        </is>
      </c>
      <c r="G19121" t="n">
        <v>3.5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11965-2025</t>
        </is>
      </c>
      <c r="B19122" s="1" t="n">
        <v>45728</v>
      </c>
      <c r="C19122" s="1" t="n">
        <v>45736</v>
      </c>
      <c r="D19122" t="inlineStr">
        <is>
          <t>VÄRMLANDS LÄN</t>
        </is>
      </c>
      <c r="E19122" t="inlineStr">
        <is>
          <t>SÄFFLE</t>
        </is>
      </c>
      <c r="G19122" t="n">
        <v>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11969-2025</t>
        </is>
      </c>
      <c r="B19123" s="1" t="n">
        <v>45728</v>
      </c>
      <c r="C19123" s="1" t="n">
        <v>45736</v>
      </c>
      <c r="D19123" t="inlineStr">
        <is>
          <t>VÄRMLANDS LÄN</t>
        </is>
      </c>
      <c r="E19123" t="inlineStr">
        <is>
          <t>ARVIKA</t>
        </is>
      </c>
      <c r="G19123" t="n">
        <v>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11999-2025</t>
        </is>
      </c>
      <c r="B19124" s="1" t="n">
        <v>45728</v>
      </c>
      <c r="C19124" s="1" t="n">
        <v>45736</v>
      </c>
      <c r="D19124" t="inlineStr">
        <is>
          <t>VÄRMLANDS LÄN</t>
        </is>
      </c>
      <c r="E19124" t="inlineStr">
        <is>
          <t>KRISTINEHAMN</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12091-2025</t>
        </is>
      </c>
      <c r="B19125" s="1" t="n">
        <v>45728</v>
      </c>
      <c r="C19125" s="1" t="n">
        <v>45736</v>
      </c>
      <c r="D19125" t="inlineStr">
        <is>
          <t>VÄRMLANDS LÄN</t>
        </is>
      </c>
      <c r="E19125" t="inlineStr">
        <is>
          <t>EDA</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12126-2025</t>
        </is>
      </c>
      <c r="B19126" s="1" t="n">
        <v>45729</v>
      </c>
      <c r="C19126" s="1" t="n">
        <v>45736</v>
      </c>
      <c r="D19126" t="inlineStr">
        <is>
          <t>VÄRMLANDS LÄN</t>
        </is>
      </c>
      <c r="E19126" t="inlineStr">
        <is>
          <t>STORFORS</t>
        </is>
      </c>
      <c r="F19126" t="inlineStr">
        <is>
          <t>Bergvik skog väst AB</t>
        </is>
      </c>
      <c r="G19126" t="n">
        <v>5.1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12158-2025</t>
        </is>
      </c>
      <c r="B19127" s="1" t="n">
        <v>45729</v>
      </c>
      <c r="C19127" s="1" t="n">
        <v>45736</v>
      </c>
      <c r="D19127" t="inlineStr">
        <is>
          <t>VÄRMLANDS LÄN</t>
        </is>
      </c>
      <c r="E19127" t="inlineStr">
        <is>
          <t>TORSBY</t>
        </is>
      </c>
      <c r="F19127" t="inlineStr">
        <is>
          <t>Övriga statliga verk och myndigheter</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12162-2025</t>
        </is>
      </c>
      <c r="B19128" s="1" t="n">
        <v>45729</v>
      </c>
      <c r="C19128" s="1" t="n">
        <v>45736</v>
      </c>
      <c r="D19128" t="inlineStr">
        <is>
          <t>VÄRMLANDS LÄN</t>
        </is>
      </c>
      <c r="E19128" t="inlineStr">
        <is>
          <t>ARVIKA</t>
        </is>
      </c>
      <c r="F19128" t="inlineStr">
        <is>
          <t>Bergvik skog väst AB</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12166-2025</t>
        </is>
      </c>
      <c r="B19129" s="1" t="n">
        <v>45729</v>
      </c>
      <c r="C19129" s="1" t="n">
        <v>45736</v>
      </c>
      <c r="D19129" t="inlineStr">
        <is>
          <t>VÄRMLANDS LÄN</t>
        </is>
      </c>
      <c r="E19129" t="inlineStr">
        <is>
          <t>ARVIKA</t>
        </is>
      </c>
      <c r="F19129" t="inlineStr">
        <is>
          <t>Bergvik skog väst AB</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12170-2025</t>
        </is>
      </c>
      <c r="B19130" s="1" t="n">
        <v>45729</v>
      </c>
      <c r="C19130" s="1" t="n">
        <v>45736</v>
      </c>
      <c r="D19130" t="inlineStr">
        <is>
          <t>VÄRMLANDS LÄN</t>
        </is>
      </c>
      <c r="E19130" t="inlineStr">
        <is>
          <t>ARVIKA</t>
        </is>
      </c>
      <c r="F19130" t="inlineStr">
        <is>
          <t>Bergvik skog väst AB</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12214-2025</t>
        </is>
      </c>
      <c r="B19131" s="1" t="n">
        <v>45729</v>
      </c>
      <c r="C19131" s="1" t="n">
        <v>45736</v>
      </c>
      <c r="D19131" t="inlineStr">
        <is>
          <t>VÄRMLANDS LÄN</t>
        </is>
      </c>
      <c r="E19131" t="inlineStr">
        <is>
          <t>KARLSTAD</t>
        </is>
      </c>
      <c r="G19131" t="n">
        <v>6.6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12125-2025</t>
        </is>
      </c>
      <c r="B19132" s="1" t="n">
        <v>45729</v>
      </c>
      <c r="C19132" s="1" t="n">
        <v>45736</v>
      </c>
      <c r="D19132" t="inlineStr">
        <is>
          <t>VÄRMLANDS LÄN</t>
        </is>
      </c>
      <c r="E19132" t="inlineStr">
        <is>
          <t>STORFORS</t>
        </is>
      </c>
      <c r="F19132" t="inlineStr">
        <is>
          <t>Bergvik skog väst AB</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12137-2025</t>
        </is>
      </c>
      <c r="B19133" s="1" t="n">
        <v>45729</v>
      </c>
      <c r="C19133" s="1" t="n">
        <v>45736</v>
      </c>
      <c r="D19133" t="inlineStr">
        <is>
          <t>VÄRMLANDS LÄN</t>
        </is>
      </c>
      <c r="E19133" t="inlineStr">
        <is>
          <t>ÅRJÄNG</t>
        </is>
      </c>
      <c r="G19133" t="n">
        <v>12.6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12161-2025</t>
        </is>
      </c>
      <c r="B19134" s="1" t="n">
        <v>45729</v>
      </c>
      <c r="C19134" s="1" t="n">
        <v>45736</v>
      </c>
      <c r="D19134" t="inlineStr">
        <is>
          <t>VÄRMLANDS LÄN</t>
        </is>
      </c>
      <c r="E19134" t="inlineStr">
        <is>
          <t>ARVIKA</t>
        </is>
      </c>
      <c r="F19134" t="inlineStr">
        <is>
          <t>Bergvik skog väst AB</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12197-2025</t>
        </is>
      </c>
      <c r="B19135" s="1" t="n">
        <v>45729</v>
      </c>
      <c r="C19135" s="1" t="n">
        <v>45736</v>
      </c>
      <c r="D19135" t="inlineStr">
        <is>
          <t>VÄRMLANDS LÄN</t>
        </is>
      </c>
      <c r="E19135" t="inlineStr">
        <is>
          <t>HAGFORS</t>
        </is>
      </c>
      <c r="F19135" t="inlineStr">
        <is>
          <t>Bergvik skog väst AB</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12217-2025</t>
        </is>
      </c>
      <c r="B19136" s="1" t="n">
        <v>45729</v>
      </c>
      <c r="C19136" s="1" t="n">
        <v>45736</v>
      </c>
      <c r="D19136" t="inlineStr">
        <is>
          <t>VÄRMLANDS LÄN</t>
        </is>
      </c>
      <c r="E19136" t="inlineStr">
        <is>
          <t>GRUMS</t>
        </is>
      </c>
      <c r="G19136" t="n">
        <v>4.6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12163-2025</t>
        </is>
      </c>
      <c r="B19137" s="1" t="n">
        <v>45729</v>
      </c>
      <c r="C19137" s="1" t="n">
        <v>45736</v>
      </c>
      <c r="D19137" t="inlineStr">
        <is>
          <t>VÄRMLANDS LÄN</t>
        </is>
      </c>
      <c r="E19137" t="inlineStr">
        <is>
          <t>TORSBY</t>
        </is>
      </c>
      <c r="F19137" t="inlineStr">
        <is>
          <t>Övriga statliga verk och myndigheter</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12167-2025</t>
        </is>
      </c>
      <c r="B19138" s="1" t="n">
        <v>45729</v>
      </c>
      <c r="C19138" s="1" t="n">
        <v>45736</v>
      </c>
      <c r="D19138" t="inlineStr">
        <is>
          <t>VÄRMLANDS LÄN</t>
        </is>
      </c>
      <c r="E19138" t="inlineStr">
        <is>
          <t>ARVIKA</t>
        </is>
      </c>
      <c r="F19138" t="inlineStr">
        <is>
          <t>Bergvik skog väst AB</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12195-2025</t>
        </is>
      </c>
      <c r="B19139" s="1" t="n">
        <v>45729</v>
      </c>
      <c r="C19139" s="1" t="n">
        <v>45736</v>
      </c>
      <c r="D19139" t="inlineStr">
        <is>
          <t>VÄRMLANDS LÄN</t>
        </is>
      </c>
      <c r="E19139" t="inlineStr">
        <is>
          <t>KIL</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12271-2025</t>
        </is>
      </c>
      <c r="B19140" s="1" t="n">
        <v>45729</v>
      </c>
      <c r="C19140" s="1" t="n">
        <v>45736</v>
      </c>
      <c r="D19140" t="inlineStr">
        <is>
          <t>VÄRMLANDS LÄN</t>
        </is>
      </c>
      <c r="E19140" t="inlineStr">
        <is>
          <t>SUNNE</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12291-2025</t>
        </is>
      </c>
      <c r="B19141" s="1" t="n">
        <v>45729</v>
      </c>
      <c r="C19141" s="1" t="n">
        <v>45736</v>
      </c>
      <c r="D19141" t="inlineStr">
        <is>
          <t>VÄRMLANDS LÄN</t>
        </is>
      </c>
      <c r="E19141" t="inlineStr">
        <is>
          <t>HAGFORS</t>
        </is>
      </c>
      <c r="F19141" t="inlineStr">
        <is>
          <t>Bergvik skog väst AB</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12232-2025</t>
        </is>
      </c>
      <c r="B19142" s="1" t="n">
        <v>45729</v>
      </c>
      <c r="C19142" s="1" t="n">
        <v>45736</v>
      </c>
      <c r="D19142" t="inlineStr">
        <is>
          <t>VÄRMLANDS LÄN</t>
        </is>
      </c>
      <c r="E19142" t="inlineStr">
        <is>
          <t>SÄFFLE</t>
        </is>
      </c>
      <c r="F19142" t="inlineStr">
        <is>
          <t>Bergvik skog väst AB</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12252-2025</t>
        </is>
      </c>
      <c r="B19143" s="1" t="n">
        <v>45729</v>
      </c>
      <c r="C19143" s="1" t="n">
        <v>45736</v>
      </c>
      <c r="D19143" t="inlineStr">
        <is>
          <t>VÄRMLANDS LÄN</t>
        </is>
      </c>
      <c r="E19143" t="inlineStr">
        <is>
          <t>STORFORS</t>
        </is>
      </c>
      <c r="F19143" t="inlineStr">
        <is>
          <t>Bergvik skog väst AB</t>
        </is>
      </c>
      <c r="G19143" t="n">
        <v>14.5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12316-2025</t>
        </is>
      </c>
      <c r="B19144" s="1" t="n">
        <v>45729</v>
      </c>
      <c r="C19144" s="1" t="n">
        <v>45736</v>
      </c>
      <c r="D19144" t="inlineStr">
        <is>
          <t>VÄRMLANDS LÄN</t>
        </is>
      </c>
      <c r="E19144" t="inlineStr">
        <is>
          <t>KARLSTAD</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12286-2025</t>
        </is>
      </c>
      <c r="B19145" s="1" t="n">
        <v>45729</v>
      </c>
      <c r="C19145" s="1" t="n">
        <v>45736</v>
      </c>
      <c r="D19145" t="inlineStr">
        <is>
          <t>VÄRMLANDS LÄN</t>
        </is>
      </c>
      <c r="E19145" t="inlineStr">
        <is>
          <t>EDA</t>
        </is>
      </c>
      <c r="G19145" t="n">
        <v>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12128-2025</t>
        </is>
      </c>
      <c r="B19146" s="1" t="n">
        <v>45729</v>
      </c>
      <c r="C19146" s="1" t="n">
        <v>45736</v>
      </c>
      <c r="D19146" t="inlineStr">
        <is>
          <t>VÄRMLANDS LÄN</t>
        </is>
      </c>
      <c r="E19146" t="inlineStr">
        <is>
          <t>STORFORS</t>
        </is>
      </c>
      <c r="F19146" t="inlineStr">
        <is>
          <t>Bergvik skog väst AB</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12132-2025</t>
        </is>
      </c>
      <c r="B19147" s="1" t="n">
        <v>45729</v>
      </c>
      <c r="C19147" s="1" t="n">
        <v>45736</v>
      </c>
      <c r="D19147" t="inlineStr">
        <is>
          <t>VÄRMLANDS LÄN</t>
        </is>
      </c>
      <c r="E19147" t="inlineStr">
        <is>
          <t>STORFORS</t>
        </is>
      </c>
      <c r="F19147" t="inlineStr">
        <is>
          <t>Bergvik skog väst AB</t>
        </is>
      </c>
      <c r="G19147" t="n">
        <v>24.9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12164-2025</t>
        </is>
      </c>
      <c r="B19148" s="1" t="n">
        <v>45729</v>
      </c>
      <c r="C19148" s="1" t="n">
        <v>45736</v>
      </c>
      <c r="D19148" t="inlineStr">
        <is>
          <t>VÄRMLANDS LÄN</t>
        </is>
      </c>
      <c r="E19148" t="inlineStr">
        <is>
          <t>ARVIKA</t>
        </is>
      </c>
      <c r="F19148" t="inlineStr">
        <is>
          <t>Bergvik skog väst AB</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45736</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45736</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45736</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45736</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12306-2025</t>
        </is>
      </c>
      <c r="B19153" s="1" t="n">
        <v>45729</v>
      </c>
      <c r="C19153" s="1" t="n">
        <v>45736</v>
      </c>
      <c r="D19153" t="inlineStr">
        <is>
          <t>VÄRMLANDS LÄN</t>
        </is>
      </c>
      <c r="E19153" t="inlineStr">
        <is>
          <t>HAGFORS</t>
        </is>
      </c>
      <c r="F19153" t="inlineStr">
        <is>
          <t>Bergvik skog väst AB</t>
        </is>
      </c>
      <c r="G19153" t="n">
        <v>11.8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12349-2025</t>
        </is>
      </c>
      <c r="B19154" s="1" t="n">
        <v>45730</v>
      </c>
      <c r="C19154" s="1" t="n">
        <v>45736</v>
      </c>
      <c r="D19154" t="inlineStr">
        <is>
          <t>VÄRMLANDS LÄN</t>
        </is>
      </c>
      <c r="E19154" t="inlineStr">
        <is>
          <t>KIL</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12350-2025</t>
        </is>
      </c>
      <c r="B19155" s="1" t="n">
        <v>45730</v>
      </c>
      <c r="C19155" s="1" t="n">
        <v>45736</v>
      </c>
      <c r="D19155" t="inlineStr">
        <is>
          <t>VÄRMLANDS LÄN</t>
        </is>
      </c>
      <c r="E19155" t="inlineStr">
        <is>
          <t>EDA</t>
        </is>
      </c>
      <c r="G19155" t="n">
        <v>7.4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12369-2025</t>
        </is>
      </c>
      <c r="B19156" s="1" t="n">
        <v>45730</v>
      </c>
      <c r="C19156" s="1" t="n">
        <v>45736</v>
      </c>
      <c r="D19156" t="inlineStr">
        <is>
          <t>VÄRMLANDS LÄN</t>
        </is>
      </c>
      <c r="E19156" t="inlineStr">
        <is>
          <t>EDA</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12321-2025</t>
        </is>
      </c>
      <c r="B19157" s="1" t="n">
        <v>45730</v>
      </c>
      <c r="C19157" s="1" t="n">
        <v>45736</v>
      </c>
      <c r="D19157" t="inlineStr">
        <is>
          <t>VÄRMLANDS LÄN</t>
        </is>
      </c>
      <c r="E19157" t="inlineStr">
        <is>
          <t>HAGFORS</t>
        </is>
      </c>
      <c r="F19157" t="inlineStr">
        <is>
          <t>Bergvik skog väst AB</t>
        </is>
      </c>
      <c r="G19157" t="n">
        <v>6.8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12482-2025</t>
        </is>
      </c>
      <c r="B19158" s="1" t="n">
        <v>45730</v>
      </c>
      <c r="C19158" s="1" t="n">
        <v>45736</v>
      </c>
      <c r="D19158" t="inlineStr">
        <is>
          <t>VÄRMLANDS LÄN</t>
        </is>
      </c>
      <c r="E19158" t="inlineStr">
        <is>
          <t>STORFORS</t>
        </is>
      </c>
      <c r="F19158" t="inlineStr">
        <is>
          <t>Bergvik skog väst AB</t>
        </is>
      </c>
      <c r="G19158" t="n">
        <v>1.9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12486-2025</t>
        </is>
      </c>
      <c r="B19159" s="1" t="n">
        <v>45730</v>
      </c>
      <c r="C19159" s="1" t="n">
        <v>45736</v>
      </c>
      <c r="D19159" t="inlineStr">
        <is>
          <t>VÄRMLANDS LÄN</t>
        </is>
      </c>
      <c r="E19159" t="inlineStr">
        <is>
          <t>KRISTINEHAMN</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12528-2025</t>
        </is>
      </c>
      <c r="B19160" s="1" t="n">
        <v>45730</v>
      </c>
      <c r="C19160" s="1" t="n">
        <v>45736</v>
      </c>
      <c r="D19160" t="inlineStr">
        <is>
          <t>VÄRMLANDS LÄN</t>
        </is>
      </c>
      <c r="E19160" t="inlineStr">
        <is>
          <t>TORSBY</t>
        </is>
      </c>
      <c r="G19160" t="n">
        <v>5.2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12402-2025</t>
        </is>
      </c>
      <c r="B19161" s="1" t="n">
        <v>45730</v>
      </c>
      <c r="C19161" s="1" t="n">
        <v>45736</v>
      </c>
      <c r="D19161" t="inlineStr">
        <is>
          <t>VÄRMLANDS LÄN</t>
        </is>
      </c>
      <c r="E19161" t="inlineStr">
        <is>
          <t>TORSBY</t>
        </is>
      </c>
      <c r="G19161" t="n">
        <v>1.5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12400-2025</t>
        </is>
      </c>
      <c r="B19162" s="1" t="n">
        <v>45730</v>
      </c>
      <c r="C19162" s="1" t="n">
        <v>45736</v>
      </c>
      <c r="D19162" t="inlineStr">
        <is>
          <t>VÄRMLANDS LÄN</t>
        </is>
      </c>
      <c r="E19162" t="inlineStr">
        <is>
          <t>ARVIKA</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12440-2025</t>
        </is>
      </c>
      <c r="B19163" s="1" t="n">
        <v>45730</v>
      </c>
      <c r="C19163" s="1" t="n">
        <v>45736</v>
      </c>
      <c r="D19163" t="inlineStr">
        <is>
          <t>VÄRMLANDS LÄN</t>
        </is>
      </c>
      <c r="E19163" t="inlineStr">
        <is>
          <t>TORSBY</t>
        </is>
      </c>
      <c r="G19163" t="n">
        <v>4.7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12521-2025</t>
        </is>
      </c>
      <c r="B19164" s="1" t="n">
        <v>45730</v>
      </c>
      <c r="C19164" s="1" t="n">
        <v>45736</v>
      </c>
      <c r="D19164" t="inlineStr">
        <is>
          <t>VÄRMLANDS LÄN</t>
        </is>
      </c>
      <c r="E19164" t="inlineStr">
        <is>
          <t>FILIPSTAD</t>
        </is>
      </c>
      <c r="F19164" t="inlineStr">
        <is>
          <t>Kommuner</t>
        </is>
      </c>
      <c r="G19164" t="n">
        <v>2.6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12531-2025</t>
        </is>
      </c>
      <c r="B19165" s="1" t="n">
        <v>45730</v>
      </c>
      <c r="C19165" s="1" t="n">
        <v>45736</v>
      </c>
      <c r="D19165" t="inlineStr">
        <is>
          <t>VÄRMLANDS LÄN</t>
        </is>
      </c>
      <c r="E19165" t="inlineStr">
        <is>
          <t>ARVIKA</t>
        </is>
      </c>
      <c r="F19165" t="inlineStr">
        <is>
          <t>Bergvik skog väst AB</t>
        </is>
      </c>
      <c r="G19165" t="n">
        <v>2.5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12539-2025</t>
        </is>
      </c>
      <c r="B19166" s="1" t="n">
        <v>45730</v>
      </c>
      <c r="C19166" s="1" t="n">
        <v>45736</v>
      </c>
      <c r="D19166" t="inlineStr">
        <is>
          <t>VÄRMLANDS LÄN</t>
        </is>
      </c>
      <c r="E19166" t="inlineStr">
        <is>
          <t>ARVIKA</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12556-2025</t>
        </is>
      </c>
      <c r="B19167" s="1" t="n">
        <v>45731</v>
      </c>
      <c r="C19167" s="1" t="n">
        <v>45736</v>
      </c>
      <c r="D19167" t="inlineStr">
        <is>
          <t>VÄRMLANDS LÄN</t>
        </is>
      </c>
      <c r="E19167" t="inlineStr">
        <is>
          <t>TORSBY</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12554-2025</t>
        </is>
      </c>
      <c r="B19168" s="1" t="n">
        <v>45731</v>
      </c>
      <c r="C19168" s="1" t="n">
        <v>45736</v>
      </c>
      <c r="D19168" t="inlineStr">
        <is>
          <t>VÄRMLANDS LÄN</t>
        </is>
      </c>
      <c r="E19168" t="inlineStr">
        <is>
          <t>TORSBY</t>
        </is>
      </c>
      <c r="G19168" t="n">
        <v>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12594-2025</t>
        </is>
      </c>
      <c r="B19169" s="1" t="n">
        <v>45732</v>
      </c>
      <c r="C19169" s="1" t="n">
        <v>45736</v>
      </c>
      <c r="D19169" t="inlineStr">
        <is>
          <t>VÄRMLANDS LÄN</t>
        </is>
      </c>
      <c r="E19169" t="inlineStr">
        <is>
          <t>FILIPSTAD</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12574-2025</t>
        </is>
      </c>
      <c r="B19170" s="1" t="n">
        <v>45732</v>
      </c>
      <c r="C19170" s="1" t="n">
        <v>45736</v>
      </c>
      <c r="D19170" t="inlineStr">
        <is>
          <t>VÄRMLANDS LÄN</t>
        </is>
      </c>
      <c r="E19170" t="inlineStr">
        <is>
          <t>TORSBY</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12630-2025</t>
        </is>
      </c>
      <c r="B19171" s="1" t="n">
        <v>45733</v>
      </c>
      <c r="C19171" s="1" t="n">
        <v>45736</v>
      </c>
      <c r="D19171" t="inlineStr">
        <is>
          <t>VÄRMLANDS LÄN</t>
        </is>
      </c>
      <c r="E19171" t="inlineStr">
        <is>
          <t>SÄFFLE</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12659-2025</t>
        </is>
      </c>
      <c r="B19172" s="1" t="n">
        <v>45733</v>
      </c>
      <c r="C19172" s="1" t="n">
        <v>45736</v>
      </c>
      <c r="D19172" t="inlineStr">
        <is>
          <t>VÄRMLANDS LÄN</t>
        </is>
      </c>
      <c r="E19172" t="inlineStr">
        <is>
          <t>ÅRJÄNG</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12639-2025</t>
        </is>
      </c>
      <c r="B19173" s="1" t="n">
        <v>45733</v>
      </c>
      <c r="C19173" s="1" t="n">
        <v>45736</v>
      </c>
      <c r="D19173" t="inlineStr">
        <is>
          <t>VÄRMLANDS LÄN</t>
        </is>
      </c>
      <c r="E19173" t="inlineStr">
        <is>
          <t>SÄFFLE</t>
        </is>
      </c>
      <c r="F19173" t="inlineStr">
        <is>
          <t>Kommuner</t>
        </is>
      </c>
      <c r="G19173" t="n">
        <v>1.6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12689-2025</t>
        </is>
      </c>
      <c r="B19174" s="1" t="n">
        <v>45733</v>
      </c>
      <c r="C19174" s="1" t="n">
        <v>45736</v>
      </c>
      <c r="D19174" t="inlineStr">
        <is>
          <t>VÄRMLANDS LÄN</t>
        </is>
      </c>
      <c r="E19174" t="inlineStr">
        <is>
          <t>EDA</t>
        </is>
      </c>
      <c r="F19174" t="inlineStr">
        <is>
          <t>Bergvik skog väst AB</t>
        </is>
      </c>
      <c r="G19174" t="n">
        <v>3.2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12633-2025</t>
        </is>
      </c>
      <c r="B19175" s="1" t="n">
        <v>45733</v>
      </c>
      <c r="C19175" s="1" t="n">
        <v>45736</v>
      </c>
      <c r="D19175" t="inlineStr">
        <is>
          <t>VÄRMLANDS LÄN</t>
        </is>
      </c>
      <c r="E19175" t="inlineStr">
        <is>
          <t>KARLSTAD</t>
        </is>
      </c>
      <c r="F19175" t="inlineStr">
        <is>
          <t>Bergvik skog väst AB</t>
        </is>
      </c>
      <c r="G19175" t="n">
        <v>9.1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12769-2025</t>
        </is>
      </c>
      <c r="B19176" s="1" t="n">
        <v>45733</v>
      </c>
      <c r="C19176" s="1" t="n">
        <v>45736</v>
      </c>
      <c r="D19176" t="inlineStr">
        <is>
          <t>VÄRMLANDS LÄN</t>
        </is>
      </c>
      <c r="E19176" t="inlineStr">
        <is>
          <t>EDA</t>
        </is>
      </c>
      <c r="G19176" t="n">
        <v>0.3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12777-2025</t>
        </is>
      </c>
      <c r="B19177" s="1" t="n">
        <v>45733</v>
      </c>
      <c r="C19177" s="1" t="n">
        <v>45736</v>
      </c>
      <c r="D19177" t="inlineStr">
        <is>
          <t>VÄRMLANDS LÄN</t>
        </is>
      </c>
      <c r="E19177" t="inlineStr">
        <is>
          <t>SÄFFLE</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12822-2025</t>
        </is>
      </c>
      <c r="B19178" s="1" t="n">
        <v>45733</v>
      </c>
      <c r="C19178" s="1" t="n">
        <v>45736</v>
      </c>
      <c r="D19178" t="inlineStr">
        <is>
          <t>VÄRMLANDS LÄN</t>
        </is>
      </c>
      <c r="E19178" t="inlineStr">
        <is>
          <t>EDA</t>
        </is>
      </c>
      <c r="G19178" t="n">
        <v>3.6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12826-2025</t>
        </is>
      </c>
      <c r="B19179" s="1" t="n">
        <v>45733</v>
      </c>
      <c r="C19179" s="1" t="n">
        <v>45736</v>
      </c>
      <c r="D19179" t="inlineStr">
        <is>
          <t>VÄRMLANDS LÄN</t>
        </is>
      </c>
      <c r="E19179" t="inlineStr">
        <is>
          <t>EDA</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12843-2025</t>
        </is>
      </c>
      <c r="B19180" s="1" t="n">
        <v>45733</v>
      </c>
      <c r="C19180" s="1" t="n">
        <v>45736</v>
      </c>
      <c r="D19180" t="inlineStr">
        <is>
          <t>VÄRMLANDS LÄN</t>
        </is>
      </c>
      <c r="E19180" t="inlineStr">
        <is>
          <t>EDA</t>
        </is>
      </c>
      <c r="G19180" t="n">
        <v>4.8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12716-2025</t>
        </is>
      </c>
      <c r="B19181" s="1" t="n">
        <v>45733</v>
      </c>
      <c r="C19181" s="1" t="n">
        <v>45736</v>
      </c>
      <c r="D19181" t="inlineStr">
        <is>
          <t>VÄRMLANDS LÄN</t>
        </is>
      </c>
      <c r="E19181" t="inlineStr">
        <is>
          <t>EDA</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12775-2025</t>
        </is>
      </c>
      <c r="B19182" s="1" t="n">
        <v>45733</v>
      </c>
      <c r="C19182" s="1" t="n">
        <v>45736</v>
      </c>
      <c r="D19182" t="inlineStr">
        <is>
          <t>VÄRMLANDS LÄN</t>
        </is>
      </c>
      <c r="E19182" t="inlineStr">
        <is>
          <t>SÄFFLE</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12824-2025</t>
        </is>
      </c>
      <c r="B19183" s="1" t="n">
        <v>45733</v>
      </c>
      <c r="C19183" s="1" t="n">
        <v>45736</v>
      </c>
      <c r="D19183" t="inlineStr">
        <is>
          <t>VÄRMLANDS LÄN</t>
        </is>
      </c>
      <c r="E19183" t="inlineStr">
        <is>
          <t>STORFORS</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12687-2025</t>
        </is>
      </c>
      <c r="B19184" s="1" t="n">
        <v>45733</v>
      </c>
      <c r="C19184" s="1" t="n">
        <v>45736</v>
      </c>
      <c r="D19184" t="inlineStr">
        <is>
          <t>VÄRMLANDS LÄN</t>
        </is>
      </c>
      <c r="E19184" t="inlineStr">
        <is>
          <t>ÅRJÄNG</t>
        </is>
      </c>
      <c r="G19184" t="n">
        <v>3.2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12691-2025</t>
        </is>
      </c>
      <c r="B19185" s="1" t="n">
        <v>45733</v>
      </c>
      <c r="C19185" s="1" t="n">
        <v>45736</v>
      </c>
      <c r="D19185" t="inlineStr">
        <is>
          <t>VÄRMLANDS LÄN</t>
        </is>
      </c>
      <c r="E19185" t="inlineStr">
        <is>
          <t>ARVIKA</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12740-2025</t>
        </is>
      </c>
      <c r="B19186" s="1" t="n">
        <v>45733</v>
      </c>
      <c r="C19186" s="1" t="n">
        <v>45736</v>
      </c>
      <c r="D19186" t="inlineStr">
        <is>
          <t>VÄRMLANDS LÄN</t>
        </is>
      </c>
      <c r="E19186" t="inlineStr">
        <is>
          <t>ÅRJÄNG</t>
        </is>
      </c>
      <c r="G19186" t="n">
        <v>2.9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12772-2025</t>
        </is>
      </c>
      <c r="B19187" s="1" t="n">
        <v>45733</v>
      </c>
      <c r="C19187" s="1" t="n">
        <v>45736</v>
      </c>
      <c r="D19187" t="inlineStr">
        <is>
          <t>VÄRMLANDS LÄN</t>
        </is>
      </c>
      <c r="E19187" t="inlineStr">
        <is>
          <t>SÄFFLE</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12813-2025</t>
        </is>
      </c>
      <c r="B19188" s="1" t="n">
        <v>45733</v>
      </c>
      <c r="C19188" s="1" t="n">
        <v>45736</v>
      </c>
      <c r="D19188" t="inlineStr">
        <is>
          <t>VÄRMLANDS LÄN</t>
        </is>
      </c>
      <c r="E19188" t="inlineStr">
        <is>
          <t>SUNNE</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12833-2025</t>
        </is>
      </c>
      <c r="B19189" s="1" t="n">
        <v>45733</v>
      </c>
      <c r="C19189" s="1" t="n">
        <v>45736</v>
      </c>
      <c r="D19189" t="inlineStr">
        <is>
          <t>VÄRMLANDS LÄN</t>
        </is>
      </c>
      <c r="E19189" t="inlineStr">
        <is>
          <t>KARLSTAD</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12837-2025</t>
        </is>
      </c>
      <c r="B19190" s="1" t="n">
        <v>45733</v>
      </c>
      <c r="C19190" s="1" t="n">
        <v>45736</v>
      </c>
      <c r="D19190" t="inlineStr">
        <is>
          <t>VÄRMLANDS LÄN</t>
        </is>
      </c>
      <c r="E19190" t="inlineStr">
        <is>
          <t>EDA</t>
        </is>
      </c>
      <c r="G19190" t="n">
        <v>4.1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12859-2025</t>
        </is>
      </c>
      <c r="B19191" s="1" t="n">
        <v>45733</v>
      </c>
      <c r="C19191" s="1" t="n">
        <v>45736</v>
      </c>
      <c r="D19191" t="inlineStr">
        <is>
          <t>VÄRMLANDS LÄN</t>
        </is>
      </c>
      <c r="E19191" t="inlineStr">
        <is>
          <t>FILIPSTAD</t>
        </is>
      </c>
      <c r="F19191" t="inlineStr">
        <is>
          <t>Bergvik skog väst AB</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12725-2025</t>
        </is>
      </c>
      <c r="B19192" s="1" t="n">
        <v>45733</v>
      </c>
      <c r="C19192" s="1" t="n">
        <v>45736</v>
      </c>
      <c r="D19192" t="inlineStr">
        <is>
          <t>VÄRMLANDS LÄN</t>
        </is>
      </c>
      <c r="E19192" t="inlineStr">
        <is>
          <t>EDA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12778-2025</t>
        </is>
      </c>
      <c r="B19193" s="1" t="n">
        <v>45733</v>
      </c>
      <c r="C19193" s="1" t="n">
        <v>45736</v>
      </c>
      <c r="D19193" t="inlineStr">
        <is>
          <t>VÄRMLANDS LÄN</t>
        </is>
      </c>
      <c r="E19193" t="inlineStr">
        <is>
          <t>HAGFORS</t>
        </is>
      </c>
      <c r="G19193" t="n">
        <v>1.7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12802-2025</t>
        </is>
      </c>
      <c r="B19194" s="1" t="n">
        <v>45733</v>
      </c>
      <c r="C19194" s="1" t="n">
        <v>45736</v>
      </c>
      <c r="D19194" t="inlineStr">
        <is>
          <t>VÄRMLANDS LÄN</t>
        </is>
      </c>
      <c r="E19194" t="inlineStr">
        <is>
          <t>SÄFFLE</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12811-2025</t>
        </is>
      </c>
      <c r="B19195" s="1" t="n">
        <v>45733</v>
      </c>
      <c r="C19195" s="1" t="n">
        <v>45736</v>
      </c>
      <c r="D19195" t="inlineStr">
        <is>
          <t>VÄRMLANDS LÄN</t>
        </is>
      </c>
      <c r="E19195" t="inlineStr">
        <is>
          <t>ARVIKA</t>
        </is>
      </c>
      <c r="F19195" t="inlineStr">
        <is>
          <t>Bergvik skog väst AB</t>
        </is>
      </c>
      <c r="G19195" t="n">
        <v>9.699999999999999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12819-2025</t>
        </is>
      </c>
      <c r="B19196" s="1" t="n">
        <v>45733</v>
      </c>
      <c r="C19196" s="1" t="n">
        <v>45736</v>
      </c>
      <c r="D19196" t="inlineStr">
        <is>
          <t>VÄRMLANDS LÄN</t>
        </is>
      </c>
      <c r="E19196" t="inlineStr">
        <is>
          <t>STORFORS</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12839-2025</t>
        </is>
      </c>
      <c r="B19197" s="1" t="n">
        <v>45733</v>
      </c>
      <c r="C19197" s="1" t="n">
        <v>45736</v>
      </c>
      <c r="D19197" t="inlineStr">
        <is>
          <t>VÄRMLANDS LÄN</t>
        </is>
      </c>
      <c r="E19197" t="inlineStr">
        <is>
          <t>STORFORS</t>
        </is>
      </c>
      <c r="F19197" t="inlineStr">
        <is>
          <t>Bergvik skog väst AB</t>
        </is>
      </c>
      <c r="G19197" t="n">
        <v>18.2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12930-2025</t>
        </is>
      </c>
      <c r="B19198" s="1" t="n">
        <v>45734</v>
      </c>
      <c r="C19198" s="1" t="n">
        <v>45736</v>
      </c>
      <c r="D19198" t="inlineStr">
        <is>
          <t>VÄRMLANDS LÄN</t>
        </is>
      </c>
      <c r="E19198" t="inlineStr">
        <is>
          <t>KIL</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13015-2025</t>
        </is>
      </c>
      <c r="B19199" s="1" t="n">
        <v>45734</v>
      </c>
      <c r="C19199" s="1" t="n">
        <v>45736</v>
      </c>
      <c r="D19199" t="inlineStr">
        <is>
          <t>VÄRMLANDS LÄN</t>
        </is>
      </c>
      <c r="E19199" t="inlineStr">
        <is>
          <t>STORFORS</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13068-2025</t>
        </is>
      </c>
      <c r="B19200" s="1" t="n">
        <v>45734</v>
      </c>
      <c r="C19200" s="1" t="n">
        <v>45736</v>
      </c>
      <c r="D19200" t="inlineStr">
        <is>
          <t>VÄRMLANDS LÄN</t>
        </is>
      </c>
      <c r="E19200" t="inlineStr">
        <is>
          <t>KARLSTAD</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12949-2025</t>
        </is>
      </c>
      <c r="B19201" s="1" t="n">
        <v>45734</v>
      </c>
      <c r="C19201" s="1" t="n">
        <v>45736</v>
      </c>
      <c r="D19201" t="inlineStr">
        <is>
          <t>VÄRMLANDS LÄN</t>
        </is>
      </c>
      <c r="E19201" t="inlineStr">
        <is>
          <t>KRISTINEHAMN</t>
        </is>
      </c>
      <c r="G19201" t="n">
        <v>3.3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12959-2025</t>
        </is>
      </c>
      <c r="B19202" s="1" t="n">
        <v>45734</v>
      </c>
      <c r="C19202" s="1" t="n">
        <v>45736</v>
      </c>
      <c r="D19202" t="inlineStr">
        <is>
          <t>VÄRMLANDS LÄN</t>
        </is>
      </c>
      <c r="E19202" t="inlineStr">
        <is>
          <t>TORSBY</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12982-2025</t>
        </is>
      </c>
      <c r="B19203" s="1" t="n">
        <v>45734</v>
      </c>
      <c r="C19203" s="1" t="n">
        <v>45736</v>
      </c>
      <c r="D19203" t="inlineStr">
        <is>
          <t>VÄRMLANDS LÄN</t>
        </is>
      </c>
      <c r="E19203" t="inlineStr">
        <is>
          <t>ÅRJÄNG</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13006-2025</t>
        </is>
      </c>
      <c r="B19204" s="1" t="n">
        <v>45734</v>
      </c>
      <c r="C19204" s="1" t="n">
        <v>45736</v>
      </c>
      <c r="D19204" t="inlineStr">
        <is>
          <t>VÄRMLANDS LÄN</t>
        </is>
      </c>
      <c r="E19204" t="inlineStr">
        <is>
          <t>TORSBY</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13099-2025</t>
        </is>
      </c>
      <c r="B19205" s="1" t="n">
        <v>45734</v>
      </c>
      <c r="C19205" s="1" t="n">
        <v>45736</v>
      </c>
      <c r="D19205" t="inlineStr">
        <is>
          <t>VÄRMLANDS LÄN</t>
        </is>
      </c>
      <c r="E19205" t="inlineStr">
        <is>
          <t>SUNNE</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12928-2025</t>
        </is>
      </c>
      <c r="B19206" s="1" t="n">
        <v>45734</v>
      </c>
      <c r="C19206" s="1" t="n">
        <v>45736</v>
      </c>
      <c r="D19206" t="inlineStr">
        <is>
          <t>VÄRMLANDS LÄN</t>
        </is>
      </c>
      <c r="E19206" t="inlineStr">
        <is>
          <t>KIL</t>
        </is>
      </c>
      <c r="G19206" t="n">
        <v>3.1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12948-2025</t>
        </is>
      </c>
      <c r="B19207" s="1" t="n">
        <v>45734</v>
      </c>
      <c r="C19207" s="1" t="n">
        <v>45736</v>
      </c>
      <c r="D19207" t="inlineStr">
        <is>
          <t>VÄRMLANDS LÄN</t>
        </is>
      </c>
      <c r="E19207" t="inlineStr">
        <is>
          <t>TORSBY</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13118-2025</t>
        </is>
      </c>
      <c r="B19208" s="1" t="n">
        <v>45734</v>
      </c>
      <c r="C19208" s="1" t="n">
        <v>45736</v>
      </c>
      <c r="D19208" t="inlineStr">
        <is>
          <t>VÄRMLANDS LÄN</t>
        </is>
      </c>
      <c r="E19208" t="inlineStr">
        <is>
          <t>KRISTINEHAMN</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13035-2025</t>
        </is>
      </c>
      <c r="B19209" s="1" t="n">
        <v>45734</v>
      </c>
      <c r="C19209" s="1" t="n">
        <v>45736</v>
      </c>
      <c r="D19209" t="inlineStr">
        <is>
          <t>VÄRMLANDS LÄN</t>
        </is>
      </c>
      <c r="E19209" t="inlineStr">
        <is>
          <t>SUNNE</t>
        </is>
      </c>
      <c r="G19209" t="n">
        <v>2.1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12993-2025</t>
        </is>
      </c>
      <c r="B19210" s="1" t="n">
        <v>45734</v>
      </c>
      <c r="C19210" s="1" t="n">
        <v>45736</v>
      </c>
      <c r="D19210" t="inlineStr">
        <is>
          <t>VÄRMLANDS LÄN</t>
        </is>
      </c>
      <c r="E19210" t="inlineStr">
        <is>
          <t>ÅRJÄNG</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13001-2025</t>
        </is>
      </c>
      <c r="B19211" s="1" t="n">
        <v>45734</v>
      </c>
      <c r="C19211" s="1" t="n">
        <v>45736</v>
      </c>
      <c r="D19211" t="inlineStr">
        <is>
          <t>VÄRMLANDS LÄN</t>
        </is>
      </c>
      <c r="E19211" t="inlineStr">
        <is>
          <t>ÅRJÄNG</t>
        </is>
      </c>
      <c r="G19211" t="n">
        <v>15.8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13029-2025</t>
        </is>
      </c>
      <c r="B19212" s="1" t="n">
        <v>45734</v>
      </c>
      <c r="C19212" s="1" t="n">
        <v>45736</v>
      </c>
      <c r="D19212" t="inlineStr">
        <is>
          <t>VÄRMLANDS LÄN</t>
        </is>
      </c>
      <c r="E19212" t="inlineStr">
        <is>
          <t>ÅRJÄNG</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13059-2025</t>
        </is>
      </c>
      <c r="B19213" s="1" t="n">
        <v>45734</v>
      </c>
      <c r="C19213" s="1" t="n">
        <v>45736</v>
      </c>
      <c r="D19213" t="inlineStr">
        <is>
          <t>VÄRMLANDS LÄN</t>
        </is>
      </c>
      <c r="E19213" t="inlineStr">
        <is>
          <t>KARLSTAD</t>
        </is>
      </c>
      <c r="G19213" t="n">
        <v>4.1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13094-2025</t>
        </is>
      </c>
      <c r="B19214" s="1" t="n">
        <v>45734</v>
      </c>
      <c r="C19214" s="1" t="n">
        <v>45736</v>
      </c>
      <c r="D19214" t="inlineStr">
        <is>
          <t>VÄRMLANDS LÄN</t>
        </is>
      </c>
      <c r="E19214" t="inlineStr">
        <is>
          <t>KIL</t>
        </is>
      </c>
      <c r="G19214" t="n">
        <v>3.9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13098-2025</t>
        </is>
      </c>
      <c r="B19215" s="1" t="n">
        <v>45734</v>
      </c>
      <c r="C19215" s="1" t="n">
        <v>45736</v>
      </c>
      <c r="D19215" t="inlineStr">
        <is>
          <t>VÄRMLANDS LÄN</t>
        </is>
      </c>
      <c r="E19215" t="inlineStr">
        <is>
          <t>KIL</t>
        </is>
      </c>
      <c r="G19215" t="n">
        <v>0.5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13012-2025</t>
        </is>
      </c>
      <c r="B19216" s="1" t="n">
        <v>45734</v>
      </c>
      <c r="C19216" s="1" t="n">
        <v>45736</v>
      </c>
      <c r="D19216" t="inlineStr">
        <is>
          <t>VÄRMLANDS LÄN</t>
        </is>
      </c>
      <c r="E19216" t="inlineStr">
        <is>
          <t>KARLSTAD</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13016-2025</t>
        </is>
      </c>
      <c r="B19217" s="1" t="n">
        <v>45734</v>
      </c>
      <c r="C19217" s="1" t="n">
        <v>45736</v>
      </c>
      <c r="D19217" t="inlineStr">
        <is>
          <t>VÄRMLANDS LÄN</t>
        </is>
      </c>
      <c r="E19217" t="inlineStr">
        <is>
          <t>FORSHAGA</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13036-2025</t>
        </is>
      </c>
      <c r="B19218" s="1" t="n">
        <v>45734</v>
      </c>
      <c r="C19218" s="1" t="n">
        <v>45736</v>
      </c>
      <c r="D19218" t="inlineStr">
        <is>
          <t>VÄRMLANDS LÄN</t>
        </is>
      </c>
      <c r="E19218" t="inlineStr">
        <is>
          <t>ÅRJÄNG</t>
        </is>
      </c>
      <c r="G19218" t="n">
        <v>5.6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13063-2025</t>
        </is>
      </c>
      <c r="B19219" s="1" t="n">
        <v>45734</v>
      </c>
      <c r="C19219" s="1" t="n">
        <v>45736</v>
      </c>
      <c r="D19219" t="inlineStr">
        <is>
          <t>VÄRMLANDS LÄN</t>
        </is>
      </c>
      <c r="E19219" t="inlineStr">
        <is>
          <t>KARLSTAD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13002-2025</t>
        </is>
      </c>
      <c r="B19220" s="1" t="n">
        <v>45734</v>
      </c>
      <c r="C19220" s="1" t="n">
        <v>45736</v>
      </c>
      <c r="D19220" t="inlineStr">
        <is>
          <t>VÄRMLANDS LÄN</t>
        </is>
      </c>
      <c r="E19220" t="inlineStr">
        <is>
          <t>ÅRJÄNG</t>
        </is>
      </c>
      <c r="G19220" t="n">
        <v>2.4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13166-2025</t>
        </is>
      </c>
      <c r="B19221" s="1" t="n">
        <v>45735</v>
      </c>
      <c r="C19221" s="1" t="n">
        <v>45736</v>
      </c>
      <c r="D19221" t="inlineStr">
        <is>
          <t>VÄRMLANDS LÄN</t>
        </is>
      </c>
      <c r="E19221" t="inlineStr">
        <is>
          <t>TORSBY</t>
        </is>
      </c>
      <c r="F19221" t="inlineStr">
        <is>
          <t>Bergvik skog väst AB</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13191-2025</t>
        </is>
      </c>
      <c r="B19222" s="1" t="n">
        <v>45735</v>
      </c>
      <c r="C19222" s="1" t="n">
        <v>45736</v>
      </c>
      <c r="D19222" t="inlineStr">
        <is>
          <t>VÄRMLANDS LÄN</t>
        </is>
      </c>
      <c r="E19222" t="inlineStr">
        <is>
          <t>TORSBY</t>
        </is>
      </c>
      <c r="G19222" t="n">
        <v>10.6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13158-2025</t>
        </is>
      </c>
      <c r="B19223" s="1" t="n">
        <v>45735</v>
      </c>
      <c r="C19223" s="1" t="n">
        <v>45736</v>
      </c>
      <c r="D19223" t="inlineStr">
        <is>
          <t>VÄRMLANDS LÄN</t>
        </is>
      </c>
      <c r="E19223" t="inlineStr">
        <is>
          <t>KARLSTAD</t>
        </is>
      </c>
      <c r="F19223" t="inlineStr">
        <is>
          <t>Bergvik skog väst AB</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13208-2025</t>
        </is>
      </c>
      <c r="B19224" s="1" t="n">
        <v>45735</v>
      </c>
      <c r="C19224" s="1" t="n">
        <v>45736</v>
      </c>
      <c r="D19224" t="inlineStr">
        <is>
          <t>VÄRMLANDS LÄN</t>
        </is>
      </c>
      <c r="E19224" t="inlineStr">
        <is>
          <t>SUNNE</t>
        </is>
      </c>
      <c r="G19224" t="n">
        <v>1.5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13238-2025</t>
        </is>
      </c>
      <c r="B19225" s="1" t="n">
        <v>45735</v>
      </c>
      <c r="C19225" s="1" t="n">
        <v>45736</v>
      </c>
      <c r="D19225" t="inlineStr">
        <is>
          <t>VÄRMLANDS LÄN</t>
        </is>
      </c>
      <c r="E19225" t="inlineStr">
        <is>
          <t>STORFORS</t>
        </is>
      </c>
      <c r="F19225" t="inlineStr">
        <is>
          <t>Bergvik skog väst AB</t>
        </is>
      </c>
      <c r="G19225" t="n">
        <v>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13275-2025</t>
        </is>
      </c>
      <c r="B19226" s="1" t="n">
        <v>45735</v>
      </c>
      <c r="C19226" s="1" t="n">
        <v>45736</v>
      </c>
      <c r="D19226" t="inlineStr">
        <is>
          <t>VÄRMLANDS LÄN</t>
        </is>
      </c>
      <c r="E19226" t="inlineStr">
        <is>
          <t>SUNNE</t>
        </is>
      </c>
      <c r="F19226" t="inlineStr">
        <is>
          <t>Bergvik skog väst AB</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13285-2025</t>
        </is>
      </c>
      <c r="B19227" s="1" t="n">
        <v>45735</v>
      </c>
      <c r="C19227" s="1" t="n">
        <v>45736</v>
      </c>
      <c r="D19227" t="inlineStr">
        <is>
          <t>VÄRMLANDS LÄN</t>
        </is>
      </c>
      <c r="E19227" t="inlineStr">
        <is>
          <t>TORSBY</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13189-2025</t>
        </is>
      </c>
      <c r="B19228" s="1" t="n">
        <v>45735</v>
      </c>
      <c r="C19228" s="1" t="n">
        <v>45736</v>
      </c>
      <c r="D19228" t="inlineStr">
        <is>
          <t>VÄRMLANDS LÄN</t>
        </is>
      </c>
      <c r="E19228" t="inlineStr">
        <is>
          <t>TORSBY</t>
        </is>
      </c>
      <c r="G19228" t="n">
        <v>15.4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13305-2025</t>
        </is>
      </c>
      <c r="B19229" s="1" t="n">
        <v>45735</v>
      </c>
      <c r="C19229" s="1" t="n">
        <v>45736</v>
      </c>
      <c r="D19229" t="inlineStr">
        <is>
          <t>VÄRMLANDS LÄN</t>
        </is>
      </c>
      <c r="E19229" t="inlineStr">
        <is>
          <t>SUNNE</t>
        </is>
      </c>
      <c r="G19229" t="n">
        <v>1.3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13233-2025</t>
        </is>
      </c>
      <c r="B19230" s="1" t="n">
        <v>45735</v>
      </c>
      <c r="C19230" s="1" t="n">
        <v>45736</v>
      </c>
      <c r="D19230" t="inlineStr">
        <is>
          <t>VÄRMLANDS LÄN</t>
        </is>
      </c>
      <c r="E19230" t="inlineStr">
        <is>
          <t>ARVIKA</t>
        </is>
      </c>
      <c r="F19230" t="inlineStr">
        <is>
          <t>Bergvik skog väst AB</t>
        </is>
      </c>
      <c r="G19230" t="n">
        <v>4.3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13289-2025</t>
        </is>
      </c>
      <c r="B19231" s="1" t="n">
        <v>45735</v>
      </c>
      <c r="C19231" s="1" t="n">
        <v>45736</v>
      </c>
      <c r="D19231" t="inlineStr">
        <is>
          <t>VÄRMLANDS LÄN</t>
        </is>
      </c>
      <c r="E19231" t="inlineStr">
        <is>
          <t>GRUMS</t>
        </is>
      </c>
      <c r="G19231" t="n">
        <v>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13317-2025</t>
        </is>
      </c>
      <c r="B19232" s="1" t="n">
        <v>45735</v>
      </c>
      <c r="C19232" s="1" t="n">
        <v>45736</v>
      </c>
      <c r="D19232" t="inlineStr">
        <is>
          <t>VÄRMLANDS LÄN</t>
        </is>
      </c>
      <c r="E19232" t="inlineStr">
        <is>
          <t>ÅRJÄNG</t>
        </is>
      </c>
      <c r="G19232" t="n">
        <v>3.7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13286-2025</t>
        </is>
      </c>
      <c r="B19233" s="1" t="n">
        <v>45735</v>
      </c>
      <c r="C19233" s="1" t="n">
        <v>45736</v>
      </c>
      <c r="D19233" t="inlineStr">
        <is>
          <t>VÄRMLANDS LÄN</t>
        </is>
      </c>
      <c r="E19233" t="inlineStr">
        <is>
          <t>ARVIKA</t>
        </is>
      </c>
      <c r="F19233" t="inlineStr">
        <is>
          <t>Bergvik skog väst AB</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13306-2025</t>
        </is>
      </c>
      <c r="B19234" s="1" t="n">
        <v>45735</v>
      </c>
      <c r="C19234" s="1" t="n">
        <v>45736</v>
      </c>
      <c r="D19234" t="inlineStr">
        <is>
          <t>VÄRMLANDS LÄN</t>
        </is>
      </c>
      <c r="E19234" t="inlineStr">
        <is>
          <t>SUNNE</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13187-2025</t>
        </is>
      </c>
      <c r="B19235" s="1" t="n">
        <v>45735</v>
      </c>
      <c r="C19235" s="1" t="n">
        <v>45736</v>
      </c>
      <c r="D19235" t="inlineStr">
        <is>
          <t>VÄRMLANDS LÄN</t>
        </is>
      </c>
      <c r="E19235" t="inlineStr">
        <is>
          <t>ARVIKA</t>
        </is>
      </c>
      <c r="F19235" t="inlineStr">
        <is>
          <t>Bergvik skog väst AB</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13340-2025</t>
        </is>
      </c>
      <c r="B19236" s="1" t="n">
        <v>45735</v>
      </c>
      <c r="C19236" s="1" t="n">
        <v>45736</v>
      </c>
      <c r="D19236" t="inlineStr">
        <is>
          <t>VÄRMLANDS LÄN</t>
        </is>
      </c>
      <c r="E19236" t="inlineStr">
        <is>
          <t>HAGFORS</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13287-2025</t>
        </is>
      </c>
      <c r="B19237" s="1" t="n">
        <v>45735</v>
      </c>
      <c r="C19237" s="1" t="n">
        <v>45736</v>
      </c>
      <c r="D19237" t="inlineStr">
        <is>
          <t>VÄRMLANDS LÄN</t>
        </is>
      </c>
      <c r="E19237" t="inlineStr">
        <is>
          <t>ÅRJÄNG</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13325-2025</t>
        </is>
      </c>
      <c r="B19238" s="1" t="n">
        <v>45735</v>
      </c>
      <c r="C19238" s="1" t="n">
        <v>45736</v>
      </c>
      <c r="D19238" t="inlineStr">
        <is>
          <t>VÄRMLANDS LÄN</t>
        </is>
      </c>
      <c r="E19238" t="inlineStr">
        <is>
          <t>SUNNE</t>
        </is>
      </c>
      <c r="F19238" t="inlineStr">
        <is>
          <t>Bergvik skog väst AB</t>
        </is>
      </c>
      <c r="G19238" t="n">
        <v>6.2</v>
      </c>
      <c r="H19238" t="n">
        <v>0</v>
      </c>
      <c r="I19238" t="n">
        <v>0</v>
      </c>
      <c r="J19238" t="n">
        <v>0</v>
      </c>
      <c r="K19238" t="n">
        <v>0</v>
      </c>
      <c r="L19238" t="n">
        <v>0</v>
      </c>
      <c r="M19238" t="n">
        <v>0</v>
      </c>
      <c r="N19238" t="n">
        <v>0</v>
      </c>
      <c r="O19238" t="n">
        <v>0</v>
      </c>
      <c r="P19238" t="n">
        <v>0</v>
      </c>
      <c r="Q19238" t="n">
        <v>0</v>
      </c>
      <c r="R19238" s="2" t="inlineStr"/>
    </row>
    <row r="19239">
      <c r="A19239" t="inlineStr">
        <is>
          <t>A 13358-2025</t>
        </is>
      </c>
      <c r="B19239" s="1" t="n">
        <v>45735</v>
      </c>
      <c r="C19239" s="1" t="n">
        <v>45736</v>
      </c>
      <c r="D19239" t="inlineStr">
        <is>
          <t>VÄRMLANDS LÄN</t>
        </is>
      </c>
      <c r="E19239" t="inlineStr">
        <is>
          <t>KARLSTAD</t>
        </is>
      </c>
      <c r="F19239" t="inlineStr">
        <is>
          <t>Bergvik skog väst AB</t>
        </is>
      </c>
      <c r="G19239" t="n">
        <v>2</v>
      </c>
      <c r="H19239" t="n">
        <v>0</v>
      </c>
      <c r="I19239" t="n">
        <v>0</v>
      </c>
      <c r="J19239" t="n">
        <v>0</v>
      </c>
      <c r="K19239" t="n">
        <v>0</v>
      </c>
      <c r="L19239" t="n">
        <v>0</v>
      </c>
      <c r="M19239" t="n">
        <v>0</v>
      </c>
      <c r="N19239" t="n">
        <v>0</v>
      </c>
      <c r="O19239" t="n">
        <v>0</v>
      </c>
      <c r="P19239" t="n">
        <v>0</v>
      </c>
      <c r="Q19239" t="n">
        <v>0</v>
      </c>
      <c r="R19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2025-03-20T17:32:21Z</dcterms:created>
  <dcterms:modified xmlns:dcterms="http://purl.org/dc/terms/" xmlns:xsi="http://www.w3.org/2001/XMLSchema-instance" xsi:type="dcterms:W3CDTF">2025-03-20T17:32:45Z</dcterms:modified>
</cp:coreProperties>
</file>